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E:\D DRIVE\ASSIGNMENTS FILE\0 Major Projects\0 AI Data\Actual data for PBER AI\PBE for AI Work 09.02.26\"/>
    </mc:Choice>
  </mc:AlternateContent>
  <xr:revisionPtr revIDLastSave="0" documentId="13_ncr:1_{83652953-2AC7-41B8-B14C-E281FDB882BD}" xr6:coauthVersionLast="47" xr6:coauthVersionMax="47" xr10:uidLastSave="{00000000-0000-0000-0000-000000000000}"/>
  <bookViews>
    <workbookView xWindow="-120" yWindow="-120" windowWidth="29040" windowHeight="15720" tabRatio="775" firstSheet="11" activeTab="11" xr2:uid="{00000000-000D-0000-FFFF-FFFF00000000}"/>
  </bookViews>
  <sheets>
    <sheet name="Basic cost (R0)" sheetId="41" state="hidden" r:id="rId1"/>
    <sheet name="GM" sheetId="18" state="hidden" r:id="rId2"/>
    <sheet name="cash flow (Old)" sheetId="6" state="hidden" r:id="rId3"/>
    <sheet name="FA" sheetId="8" state="hidden" r:id="rId4"/>
    <sheet name="Gross Margin(Pre revised)" sheetId="37" state="hidden" r:id="rId5"/>
    <sheet name="CashFlow" sheetId="30" state="hidden" r:id="rId6"/>
    <sheet name="MoM" sheetId="12" state="hidden" r:id="rId7"/>
    <sheet name="Pkg Cost" sheetId="15" state="hidden" r:id="rId8"/>
    <sheet name="CTE Rate" sheetId="28" state="hidden" r:id="rId9"/>
    <sheet name="Scope change from R1" sheetId="32" state="hidden" r:id="rId10"/>
    <sheet name="Civil scope change from R1" sheetId="33" state="hidden" r:id="rId11"/>
    <sheet name="PBER" sheetId="39" r:id="rId12"/>
  </sheets>
  <externalReferences>
    <externalReference r:id="rId13"/>
    <externalReference r:id="rId14"/>
    <externalReference r:id="rId15"/>
  </externalReferences>
  <definedNames>
    <definedName name="_xlnm.Print_Area" localSheetId="0">'Basic cost (R0)'!$A$7:$K$229</definedName>
    <definedName name="_xlnm.Print_Area" localSheetId="5">CashFlow!$N$1:$AK$60</definedName>
    <definedName name="_xlnm.Print_Area" localSheetId="10">'Civil scope change from R1'!$A$1:$G$34</definedName>
    <definedName name="_xlnm.Print_Area" localSheetId="8">'CTE Rate'!$B$8:$C$37</definedName>
    <definedName name="_xlnm.Print_Area" localSheetId="3">FA!$B$7:$E$22</definedName>
    <definedName name="_xlnm.Print_Area" localSheetId="6">MoM!$A$1:$Q$79</definedName>
    <definedName name="_xlnm.Print_Area" localSheetId="11">PBER!$A$1:$F$31</definedName>
    <definedName name="_xlnm.Print_Area" localSheetId="9">'Scope change from R1'!$A$2:$F$30</definedName>
    <definedName name="_xlnm.Print_Titles" localSheetId="11">PBER!$13:$13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7" i="41" l="1"/>
  <c r="F226" i="41"/>
  <c r="F225" i="41"/>
  <c r="F224" i="41"/>
  <c r="F223" i="41"/>
  <c r="F222" i="41"/>
  <c r="F221" i="41"/>
  <c r="F220" i="41"/>
  <c r="F219" i="41"/>
  <c r="F218" i="41"/>
  <c r="F217" i="41"/>
  <c r="F216" i="41"/>
  <c r="F215" i="41"/>
  <c r="F212" i="41"/>
  <c r="F211" i="41"/>
  <c r="E211" i="41"/>
  <c r="F210" i="41"/>
  <c r="F209" i="41"/>
  <c r="F208" i="41"/>
  <c r="E208" i="41"/>
  <c r="F207" i="41"/>
  <c r="E206" i="41"/>
  <c r="F206" i="41" s="1"/>
  <c r="E205" i="41"/>
  <c r="F205" i="41" s="1"/>
  <c r="F204" i="41"/>
  <c r="E204" i="41"/>
  <c r="F203" i="41"/>
  <c r="E203" i="41"/>
  <c r="E202" i="41"/>
  <c r="F202" i="41" s="1"/>
  <c r="F201" i="41"/>
  <c r="E201" i="41"/>
  <c r="E200" i="41"/>
  <c r="F200" i="41" s="1"/>
  <c r="E199" i="41"/>
  <c r="F199" i="41" s="1"/>
  <c r="E198" i="41"/>
  <c r="F198" i="41" s="1"/>
  <c r="F197" i="41"/>
  <c r="E197" i="41"/>
  <c r="F196" i="41"/>
  <c r="E196" i="41"/>
  <c r="E195" i="41"/>
  <c r="F195" i="41" s="1"/>
  <c r="A195" i="41"/>
  <c r="A196" i="41" s="1"/>
  <c r="A197" i="41" s="1"/>
  <c r="A198" i="41" s="1"/>
  <c r="A199" i="41" s="1"/>
  <c r="A200" i="41" s="1"/>
  <c r="A201" i="41" s="1"/>
  <c r="A202" i="41" s="1"/>
  <c r="A203" i="41" s="1"/>
  <c r="A204" i="41" s="1"/>
  <c r="A205" i="41" s="1"/>
  <c r="A206" i="41" s="1"/>
  <c r="E194" i="41"/>
  <c r="F194" i="41" s="1"/>
  <c r="F193" i="41"/>
  <c r="E192" i="41"/>
  <c r="F192" i="41" s="1"/>
  <c r="F191" i="41"/>
  <c r="E191" i="41"/>
  <c r="F190" i="41"/>
  <c r="E190" i="41"/>
  <c r="E189" i="41"/>
  <c r="F189" i="41" s="1"/>
  <c r="J183" i="41"/>
  <c r="G183" i="41"/>
  <c r="D183" i="41"/>
  <c r="F183" i="41" s="1"/>
  <c r="H183" i="41" s="1"/>
  <c r="F179" i="41"/>
  <c r="E178" i="41"/>
  <c r="F178" i="41" s="1"/>
  <c r="F177" i="41"/>
  <c r="F176" i="41"/>
  <c r="E176" i="41"/>
  <c r="E175" i="41"/>
  <c r="F175" i="41" s="1"/>
  <c r="E174" i="41"/>
  <c r="F174" i="41" s="1"/>
  <c r="E173" i="41"/>
  <c r="F173" i="41" s="1"/>
  <c r="E172" i="41"/>
  <c r="F172" i="41" s="1"/>
  <c r="F171" i="41"/>
  <c r="E171" i="41"/>
  <c r="F170" i="41"/>
  <c r="F169" i="41"/>
  <c r="E169" i="41"/>
  <c r="F163" i="41"/>
  <c r="F162" i="41"/>
  <c r="F164" i="41" s="1"/>
  <c r="F158" i="41"/>
  <c r="F159" i="41" s="1"/>
  <c r="H155" i="41"/>
  <c r="F154" i="41"/>
  <c r="F155" i="41" s="1"/>
  <c r="F149" i="41"/>
  <c r="F148" i="41"/>
  <c r="F147" i="41"/>
  <c r="F146" i="41"/>
  <c r="F145" i="41"/>
  <c r="F144" i="41"/>
  <c r="F143" i="41"/>
  <c r="F142" i="41"/>
  <c r="F141" i="41"/>
  <c r="F140" i="41"/>
  <c r="F139" i="41"/>
  <c r="F138" i="41"/>
  <c r="F133" i="41"/>
  <c r="F132" i="41"/>
  <c r="E132" i="41"/>
  <c r="E131" i="41"/>
  <c r="F131" i="41" s="1"/>
  <c r="F130" i="41"/>
  <c r="F129" i="41"/>
  <c r="F128" i="41"/>
  <c r="F127" i="41"/>
  <c r="F123" i="41"/>
  <c r="E122" i="41"/>
  <c r="F122" i="41" s="1"/>
  <c r="F121" i="41"/>
  <c r="F120" i="41"/>
  <c r="F119" i="41"/>
  <c r="F118" i="41"/>
  <c r="F117" i="41"/>
  <c r="F116" i="41"/>
  <c r="E113" i="41"/>
  <c r="F113" i="41" s="1"/>
  <c r="E112" i="41"/>
  <c r="F112" i="41" s="1"/>
  <c r="E111" i="41"/>
  <c r="F111" i="41" s="1"/>
  <c r="F110" i="41"/>
  <c r="F109" i="41"/>
  <c r="F108" i="41"/>
  <c r="F107" i="41"/>
  <c r="F106" i="41"/>
  <c r="F105" i="41"/>
  <c r="F104" i="41"/>
  <c r="F103" i="41"/>
  <c r="E101" i="41"/>
  <c r="F101" i="41" s="1"/>
  <c r="F99" i="41"/>
  <c r="F98" i="41"/>
  <c r="F97" i="41"/>
  <c r="F96" i="41"/>
  <c r="F95" i="41"/>
  <c r="F94" i="41"/>
  <c r="F93" i="41"/>
  <c r="F92" i="41"/>
  <c r="F91" i="41"/>
  <c r="F90" i="41"/>
  <c r="F88" i="41"/>
  <c r="F87" i="41"/>
  <c r="F81" i="41"/>
  <c r="F80" i="41"/>
  <c r="F79" i="41"/>
  <c r="F78" i="41"/>
  <c r="F77" i="41"/>
  <c r="F76" i="41"/>
  <c r="F75" i="41"/>
  <c r="F74" i="41"/>
  <c r="F73" i="41"/>
  <c r="F72" i="41"/>
  <c r="F71" i="41"/>
  <c r="F70" i="41"/>
  <c r="F69" i="41"/>
  <c r="F68" i="41"/>
  <c r="F67" i="41"/>
  <c r="F66" i="41"/>
  <c r="F65" i="41"/>
  <c r="F64" i="41"/>
  <c r="F63" i="41"/>
  <c r="F62" i="41"/>
  <c r="F61" i="41"/>
  <c r="F60" i="41"/>
  <c r="F59" i="41"/>
  <c r="F58" i="41"/>
  <c r="F57" i="41"/>
  <c r="I56" i="41"/>
  <c r="I64" i="41" s="1"/>
  <c r="F56" i="41"/>
  <c r="I55" i="41"/>
  <c r="I57" i="41" s="1"/>
  <c r="F55" i="41"/>
  <c r="I54" i="41"/>
  <c r="F54" i="41"/>
  <c r="F53" i="41"/>
  <c r="F52" i="41"/>
  <c r="F51" i="41"/>
  <c r="F50" i="41"/>
  <c r="F49" i="41"/>
  <c r="F48" i="41"/>
  <c r="F47" i="41"/>
  <c r="F46" i="41"/>
  <c r="F45" i="41"/>
  <c r="F44" i="41"/>
  <c r="F43" i="41"/>
  <c r="F42" i="41"/>
  <c r="F41" i="41"/>
  <c r="F40" i="41"/>
  <c r="E39" i="41"/>
  <c r="F39" i="41" s="1"/>
  <c r="E38" i="41"/>
  <c r="F38" i="41" s="1"/>
  <c r="E37" i="41"/>
  <c r="F37" i="41" s="1"/>
  <c r="E36" i="41"/>
  <c r="F36" i="41" s="1"/>
  <c r="F33" i="41"/>
  <c r="F32" i="41"/>
  <c r="F29" i="41"/>
  <c r="E28" i="41"/>
  <c r="F28" i="41" s="1"/>
  <c r="F27" i="41"/>
  <c r="F25" i="41"/>
  <c r="F24" i="41"/>
  <c r="A23" i="41"/>
  <c r="A24" i="41" s="1"/>
  <c r="A25" i="41" s="1"/>
  <c r="A26" i="41" s="1"/>
  <c r="A27" i="41" s="1"/>
  <c r="A28" i="41" s="1"/>
  <c r="A29" i="41" s="1"/>
  <c r="F22" i="41"/>
  <c r="F18" i="41"/>
  <c r="E17" i="41"/>
  <c r="F17" i="41" s="1"/>
  <c r="E15" i="41"/>
  <c r="F15" i="41" s="1"/>
  <c r="E13" i="41"/>
  <c r="F13" i="41" s="1"/>
  <c r="E12" i="41"/>
  <c r="F12" i="41" s="1"/>
  <c r="E11" i="41"/>
  <c r="F11" i="41" s="1"/>
  <c r="E10" i="41"/>
  <c r="F10" i="41" s="1"/>
  <c r="I3" i="41"/>
  <c r="H3" i="41"/>
  <c r="F3" i="41"/>
  <c r="I159" i="41" l="1"/>
  <c r="F180" i="41"/>
  <c r="F229" i="41"/>
  <c r="F230" i="41" s="1"/>
  <c r="I34" i="41"/>
  <c r="F151" i="41"/>
  <c r="I82" i="41"/>
  <c r="I63" i="41"/>
  <c r="I65" i="41" s="1"/>
  <c r="I59" i="41"/>
  <c r="I61" i="41" s="1"/>
  <c r="I30" i="41"/>
  <c r="F134" i="41"/>
  <c r="J164" i="41"/>
  <c r="F30" i="41"/>
  <c r="F213" i="41"/>
  <c r="F19" i="41"/>
  <c r="F34" i="41"/>
  <c r="F82" i="41"/>
  <c r="I58" i="41"/>
  <c r="I60" i="41"/>
  <c r="I62" i="41"/>
  <c r="F84" i="41" l="1"/>
  <c r="I84" i="41" s="1"/>
  <c r="I151" i="41"/>
  <c r="J84" i="41" l="1"/>
  <c r="K84" i="41"/>
  <c r="L84" i="41" l="1"/>
  <c r="F90" i="37" l="1"/>
  <c r="E68" i="37" s="1"/>
  <c r="F92" i="37"/>
  <c r="E67" i="37" s="1"/>
  <c r="E54" i="37" l="1"/>
  <c r="AJ13" i="30" l="1"/>
  <c r="Q12" i="30"/>
  <c r="P12" i="30"/>
  <c r="R10" i="30" l="1"/>
  <c r="Q10" i="30"/>
  <c r="E81" i="37"/>
  <c r="E84" i="37" s="1"/>
  <c r="E27" i="37" s="1"/>
  <c r="H66" i="37"/>
  <c r="D66" i="37"/>
  <c r="E55" i="37"/>
  <c r="G55" i="37" s="1"/>
  <c r="H55" i="37" s="1"/>
  <c r="S54" i="37"/>
  <c r="S55" i="37" s="1"/>
  <c r="G54" i="37"/>
  <c r="H54" i="37" s="1"/>
  <c r="S50" i="37"/>
  <c r="S49" i="37"/>
  <c r="K47" i="37"/>
  <c r="T46" i="37"/>
  <c r="S48" i="37" s="1"/>
  <c r="S46" i="37"/>
  <c r="K46" i="37"/>
  <c r="D46" i="37"/>
  <c r="D49" i="37" s="1"/>
  <c r="C46" i="37"/>
  <c r="C49" i="37" s="1"/>
  <c r="G43" i="37"/>
  <c r="I43" i="37" s="1"/>
  <c r="G42" i="37"/>
  <c r="L46" i="37" s="1"/>
  <c r="G41" i="37"/>
  <c r="M48" i="37" s="1"/>
  <c r="E31" i="37"/>
  <c r="D31" i="37"/>
  <c r="E28" i="37"/>
  <c r="A28" i="37"/>
  <c r="A16" i="37"/>
  <c r="A17" i="37" s="1"/>
  <c r="A18" i="37" s="1"/>
  <c r="A19" i="37" s="1"/>
  <c r="A20" i="37" s="1"/>
  <c r="A21" i="37" s="1"/>
  <c r="A22" i="37" s="1"/>
  <c r="A23" i="37" s="1"/>
  <c r="A24" i="37" s="1"/>
  <c r="A10" i="37"/>
  <c r="A11" i="37" s="1"/>
  <c r="A12" i="37" s="1"/>
  <c r="A13" i="37" s="1"/>
  <c r="A3" i="37"/>
  <c r="M47" i="37" l="1"/>
  <c r="M46" i="37"/>
  <c r="M50" i="37" s="1"/>
  <c r="E19" i="37" s="1"/>
  <c r="D28" i="37" s="1"/>
  <c r="F31" i="37"/>
  <c r="L47" i="37"/>
  <c r="E23" i="37" s="1"/>
  <c r="E24" i="37" s="1"/>
  <c r="L48" i="37"/>
  <c r="L50" i="37" s="1"/>
  <c r="H42" i="37" s="1"/>
  <c r="I42" i="37" s="1"/>
  <c r="E18" i="37" l="1"/>
  <c r="E20" i="37" s="1"/>
  <c r="E21" i="37" s="1"/>
  <c r="D27" i="37" s="1"/>
  <c r="F27" i="37" s="1"/>
  <c r="H41" i="37"/>
  <c r="I41" i="37" s="1"/>
  <c r="F28" i="37"/>
  <c r="F29" i="37" l="1"/>
  <c r="J13" i="12" l="1"/>
  <c r="O15" i="12"/>
  <c r="J15" i="12" l="1"/>
  <c r="I14" i="12"/>
  <c r="J14" i="12" s="1"/>
  <c r="I15" i="12"/>
  <c r="I13" i="12"/>
  <c r="E24" i="32" l="1"/>
  <c r="F24" i="32" s="1"/>
  <c r="E25" i="32"/>
  <c r="F25" i="32" s="1"/>
  <c r="B26" i="32"/>
  <c r="B25" i="32"/>
  <c r="B24" i="32"/>
  <c r="F23" i="32" l="1"/>
  <c r="F22" i="32"/>
  <c r="E19" i="32"/>
  <c r="F19" i="32" s="1"/>
  <c r="G32" i="33"/>
  <c r="G31" i="33"/>
  <c r="E10" i="32"/>
  <c r="E21" i="32"/>
  <c r="D21" i="32"/>
  <c r="B21" i="32"/>
  <c r="E20" i="32"/>
  <c r="F20" i="32" s="1"/>
  <c r="B20" i="32"/>
  <c r="F33" i="32"/>
  <c r="F21" i="32" l="1"/>
  <c r="E18" i="32" l="1"/>
  <c r="F18" i="32" s="1"/>
  <c r="E17" i="32"/>
  <c r="F17" i="32" s="1"/>
  <c r="G4" i="33" l="1"/>
  <c r="G6" i="33"/>
  <c r="G8" i="33"/>
  <c r="G10" i="33"/>
  <c r="G11" i="33"/>
  <c r="G12" i="33"/>
  <c r="G13" i="33"/>
  <c r="G14" i="33"/>
  <c r="G15" i="33"/>
  <c r="G16" i="33"/>
  <c r="G17" i="33"/>
  <c r="G18" i="33"/>
  <c r="G19" i="33"/>
  <c r="G20" i="33"/>
  <c r="G21" i="33"/>
  <c r="G22" i="33"/>
  <c r="G23" i="33"/>
  <c r="G24" i="33"/>
  <c r="G25" i="33"/>
  <c r="G26" i="33"/>
  <c r="G27" i="33"/>
  <c r="G28" i="33"/>
  <c r="G29" i="33"/>
  <c r="G30" i="33"/>
  <c r="G3" i="33"/>
  <c r="G9" i="33"/>
  <c r="G7" i="33"/>
  <c r="E5" i="33"/>
  <c r="G5" i="33" s="1"/>
  <c r="E16" i="32"/>
  <c r="F16" i="32" s="1"/>
  <c r="B16" i="32"/>
  <c r="F10" i="32"/>
  <c r="E11" i="32"/>
  <c r="D11" i="32"/>
  <c r="B11" i="32"/>
  <c r="E9" i="32"/>
  <c r="F9" i="32" s="1"/>
  <c r="G33" i="33" l="1"/>
  <c r="F28" i="32" s="1"/>
  <c r="F11" i="32"/>
  <c r="AC12" i="30" l="1"/>
  <c r="N6" i="30"/>
  <c r="M15" i="30"/>
  <c r="F14" i="30"/>
  <c r="AK3684" i="30"/>
  <c r="AK3683" i="30"/>
  <c r="AK3682" i="30"/>
  <c r="AK3681" i="30"/>
  <c r="AK3680" i="30"/>
  <c r="AK3679" i="30"/>
  <c r="AK3678" i="30"/>
  <c r="AK3677" i="30"/>
  <c r="AK3676" i="30"/>
  <c r="AK3675" i="30"/>
  <c r="AK3674" i="30"/>
  <c r="AK3673" i="30"/>
  <c r="AK3672" i="30"/>
  <c r="AK3671" i="30"/>
  <c r="AK3670" i="30"/>
  <c r="AK3669" i="30"/>
  <c r="AK3668" i="30"/>
  <c r="AK3667" i="30"/>
  <c r="AK3666" i="30"/>
  <c r="AK3665" i="30"/>
  <c r="AK3664" i="30"/>
  <c r="AK3663" i="30"/>
  <c r="AK3662" i="30"/>
  <c r="AK3661" i="30"/>
  <c r="AK3660" i="30"/>
  <c r="AK3659" i="30"/>
  <c r="AK3658" i="30"/>
  <c r="AK3657" i="30"/>
  <c r="AK3656" i="30"/>
  <c r="AK3655" i="30"/>
  <c r="AK3654" i="30"/>
  <c r="AK3653" i="30"/>
  <c r="AK3652" i="30"/>
  <c r="AK3651" i="30"/>
  <c r="AK3650" i="30"/>
  <c r="AK3649" i="30"/>
  <c r="AK3648" i="30"/>
  <c r="AK3647" i="30"/>
  <c r="AK3646" i="30"/>
  <c r="AK3645" i="30"/>
  <c r="AK3644" i="30"/>
  <c r="AK3643" i="30"/>
  <c r="AK3642" i="30"/>
  <c r="AK3641" i="30"/>
  <c r="AK3640" i="30"/>
  <c r="AK3639" i="30"/>
  <c r="AK3638" i="30"/>
  <c r="AK3637" i="30"/>
  <c r="AK3636" i="30"/>
  <c r="AK3635" i="30"/>
  <c r="AK3634" i="30"/>
  <c r="AK3633" i="30"/>
  <c r="AK3632" i="30"/>
  <c r="AK3631" i="30"/>
  <c r="AK3630" i="30"/>
  <c r="AK3629" i="30"/>
  <c r="AK3628" i="30"/>
  <c r="AK3627" i="30"/>
  <c r="AK3626" i="30"/>
  <c r="AK3625" i="30"/>
  <c r="AK3624" i="30"/>
  <c r="AK3623" i="30"/>
  <c r="AK3622" i="30"/>
  <c r="AK3621" i="30"/>
  <c r="AK3620" i="30"/>
  <c r="AK3619" i="30"/>
  <c r="AK3618" i="30"/>
  <c r="AK3617" i="30"/>
  <c r="AK3616" i="30"/>
  <c r="AK3615" i="30"/>
  <c r="AK3614" i="30"/>
  <c r="AK3613" i="30"/>
  <c r="AK3612" i="30"/>
  <c r="AK3611" i="30"/>
  <c r="AK3610" i="30"/>
  <c r="AK3609" i="30"/>
  <c r="AK3608" i="30"/>
  <c r="AK3607" i="30"/>
  <c r="AK3606" i="30"/>
  <c r="AK3605" i="30"/>
  <c r="AK3604" i="30"/>
  <c r="AK3603" i="30"/>
  <c r="AK3602" i="30"/>
  <c r="AK3601" i="30"/>
  <c r="AK3600" i="30"/>
  <c r="AK3599" i="30"/>
  <c r="AK3598" i="30"/>
  <c r="AK3597" i="30"/>
  <c r="AK3596" i="30"/>
  <c r="AK3595" i="30"/>
  <c r="AK3594" i="30"/>
  <c r="AK3593" i="30"/>
  <c r="AK3592" i="30"/>
  <c r="AK3591" i="30"/>
  <c r="AK3590" i="30"/>
  <c r="AK3589" i="30"/>
  <c r="AK3588" i="30"/>
  <c r="AK3587" i="30"/>
  <c r="AK3586" i="30"/>
  <c r="AK3585" i="30"/>
  <c r="AK3584" i="30"/>
  <c r="AK3583" i="30"/>
  <c r="AK3582" i="30"/>
  <c r="AK3581" i="30"/>
  <c r="AK3580" i="30"/>
  <c r="AK3579" i="30"/>
  <c r="AK3578" i="30"/>
  <c r="AK3577" i="30"/>
  <c r="AK3576" i="30"/>
  <c r="AK3575" i="30"/>
  <c r="AK3574" i="30"/>
  <c r="AK3573" i="30"/>
  <c r="AK3572" i="30"/>
  <c r="AK3571" i="30"/>
  <c r="AK3570" i="30"/>
  <c r="AK3569" i="30"/>
  <c r="AK3568" i="30"/>
  <c r="AK3567" i="30"/>
  <c r="AK3566" i="30"/>
  <c r="AK3565" i="30"/>
  <c r="AK3564" i="30"/>
  <c r="AK3563" i="30"/>
  <c r="AK3562" i="30"/>
  <c r="AK3561" i="30"/>
  <c r="AK3560" i="30"/>
  <c r="AK3559" i="30"/>
  <c r="AK3558" i="30"/>
  <c r="AK3557" i="30"/>
  <c r="AK3556" i="30"/>
  <c r="AK3555" i="30"/>
  <c r="AK3554" i="30"/>
  <c r="AK3553" i="30"/>
  <c r="AK3552" i="30"/>
  <c r="AK3551" i="30"/>
  <c r="AK3550" i="30"/>
  <c r="AK3549" i="30"/>
  <c r="AK3548" i="30"/>
  <c r="AK3547" i="30"/>
  <c r="AK3546" i="30"/>
  <c r="AK3545" i="30"/>
  <c r="AK3544" i="30"/>
  <c r="AK3543" i="30"/>
  <c r="AK3542" i="30"/>
  <c r="AK3541" i="30"/>
  <c r="AK3540" i="30"/>
  <c r="AK3539" i="30"/>
  <c r="AK3538" i="30"/>
  <c r="AK3537" i="30"/>
  <c r="AK3536" i="30"/>
  <c r="AK3535" i="30"/>
  <c r="AK3534" i="30"/>
  <c r="AK3533" i="30"/>
  <c r="AK3532" i="30"/>
  <c r="AK3531" i="30"/>
  <c r="AK3530" i="30"/>
  <c r="AK3529" i="30"/>
  <c r="AK3528" i="30"/>
  <c r="AK3527" i="30"/>
  <c r="AK3526" i="30"/>
  <c r="AK3525" i="30"/>
  <c r="AK3524" i="30"/>
  <c r="AK3523" i="30"/>
  <c r="AK3522" i="30"/>
  <c r="AK3521" i="30"/>
  <c r="AK3520" i="30"/>
  <c r="AK3519" i="30"/>
  <c r="AK3518" i="30"/>
  <c r="AK3517" i="30"/>
  <c r="AK3516" i="30"/>
  <c r="AK3515" i="30"/>
  <c r="AK3514" i="30"/>
  <c r="AK3513" i="30"/>
  <c r="AK3512" i="30"/>
  <c r="AK3511" i="30"/>
  <c r="AK3510" i="30"/>
  <c r="AK3509" i="30"/>
  <c r="AK3508" i="30"/>
  <c r="AK3507" i="30"/>
  <c r="AK3506" i="30"/>
  <c r="AK3505" i="30"/>
  <c r="AK3504" i="30"/>
  <c r="AK3503" i="30"/>
  <c r="AK3502" i="30"/>
  <c r="AK3501" i="30"/>
  <c r="AK3500" i="30"/>
  <c r="AK3499" i="30"/>
  <c r="AK3498" i="30"/>
  <c r="AK3497" i="30"/>
  <c r="AK3496" i="30"/>
  <c r="AK3495" i="30"/>
  <c r="AK3494" i="30"/>
  <c r="AK3493" i="30"/>
  <c r="AK3492" i="30"/>
  <c r="AK3491" i="30"/>
  <c r="AK3490" i="30"/>
  <c r="AK3489" i="30"/>
  <c r="AK3488" i="30"/>
  <c r="AK3487" i="30"/>
  <c r="AK3486" i="30"/>
  <c r="AK3485" i="30"/>
  <c r="AK3484" i="30"/>
  <c r="AK3483" i="30"/>
  <c r="AK3482" i="30"/>
  <c r="AK3481" i="30"/>
  <c r="AK3480" i="30"/>
  <c r="AK3479" i="30"/>
  <c r="AK3478" i="30"/>
  <c r="AK3477" i="30"/>
  <c r="AK3476" i="30"/>
  <c r="AK3475" i="30"/>
  <c r="AK3474" i="30"/>
  <c r="AK3473" i="30"/>
  <c r="AK3472" i="30"/>
  <c r="AK3471" i="30"/>
  <c r="AK3470" i="30"/>
  <c r="AK3469" i="30"/>
  <c r="AK3468" i="30"/>
  <c r="AK3467" i="30"/>
  <c r="AK3466" i="30"/>
  <c r="AK3465" i="30"/>
  <c r="AK3464" i="30"/>
  <c r="AK3463" i="30"/>
  <c r="AK3462" i="30"/>
  <c r="AK3461" i="30"/>
  <c r="AK3460" i="30"/>
  <c r="AK3459" i="30"/>
  <c r="AK3458" i="30"/>
  <c r="AK3457" i="30"/>
  <c r="AK3456" i="30"/>
  <c r="AK3455" i="30"/>
  <c r="AK3454" i="30"/>
  <c r="AK3453" i="30"/>
  <c r="AK3452" i="30"/>
  <c r="AK3451" i="30"/>
  <c r="AK3450" i="30"/>
  <c r="AK3449" i="30"/>
  <c r="AK3448" i="30"/>
  <c r="AK3447" i="30"/>
  <c r="AK3446" i="30"/>
  <c r="AK3445" i="30"/>
  <c r="AK3444" i="30"/>
  <c r="AK3443" i="30"/>
  <c r="AK3442" i="30"/>
  <c r="AK3441" i="30"/>
  <c r="AK3440" i="30"/>
  <c r="AK3439" i="30"/>
  <c r="AK3438" i="30"/>
  <c r="AK3437" i="30"/>
  <c r="AK3436" i="30"/>
  <c r="AK3435" i="30"/>
  <c r="AK3434" i="30"/>
  <c r="AK3433" i="30"/>
  <c r="AK3432" i="30"/>
  <c r="AK3431" i="30"/>
  <c r="AK3430" i="30"/>
  <c r="AK3429" i="30"/>
  <c r="AK3428" i="30"/>
  <c r="AK3427" i="30"/>
  <c r="AK3426" i="30"/>
  <c r="AK3425" i="30"/>
  <c r="AK3424" i="30"/>
  <c r="AK3423" i="30"/>
  <c r="AK3422" i="30"/>
  <c r="AK3421" i="30"/>
  <c r="AK3420" i="30"/>
  <c r="AK3419" i="30"/>
  <c r="AK3418" i="30"/>
  <c r="AK3417" i="30"/>
  <c r="AK3416" i="30"/>
  <c r="AK3415" i="30"/>
  <c r="AK3414" i="30"/>
  <c r="AK3413" i="30"/>
  <c r="AK3412" i="30"/>
  <c r="AK3411" i="30"/>
  <c r="AK3410" i="30"/>
  <c r="AK3409" i="30"/>
  <c r="AK3408" i="30"/>
  <c r="AK3407" i="30"/>
  <c r="AK3406" i="30"/>
  <c r="AK3405" i="30"/>
  <c r="AK3404" i="30"/>
  <c r="AK3403" i="30"/>
  <c r="AK3402" i="30"/>
  <c r="AK3401" i="30"/>
  <c r="AK3400" i="30"/>
  <c r="AK3399" i="30"/>
  <c r="AK3398" i="30"/>
  <c r="AK3397" i="30"/>
  <c r="AK3396" i="30"/>
  <c r="AK3395" i="30"/>
  <c r="AK3394" i="30"/>
  <c r="AK3393" i="30"/>
  <c r="AK3392" i="30"/>
  <c r="AK3391" i="30"/>
  <c r="AK3390" i="30"/>
  <c r="AK3389" i="30"/>
  <c r="AK3388" i="30"/>
  <c r="AK3387" i="30"/>
  <c r="AK3386" i="30"/>
  <c r="AK3385" i="30"/>
  <c r="AK3384" i="30"/>
  <c r="AK3383" i="30"/>
  <c r="AK3382" i="30"/>
  <c r="AK3381" i="30"/>
  <c r="AK3380" i="30"/>
  <c r="AK3379" i="30"/>
  <c r="AK3378" i="30"/>
  <c r="AK3377" i="30"/>
  <c r="AK3376" i="30"/>
  <c r="AK3375" i="30"/>
  <c r="AK3374" i="30"/>
  <c r="AK3373" i="30"/>
  <c r="AK3372" i="30"/>
  <c r="AK3371" i="30"/>
  <c r="AK3370" i="30"/>
  <c r="AK3369" i="30"/>
  <c r="AK3368" i="30"/>
  <c r="AK3367" i="30"/>
  <c r="AK3366" i="30"/>
  <c r="AK3365" i="30"/>
  <c r="AK3364" i="30"/>
  <c r="AK3363" i="30"/>
  <c r="AK3362" i="30"/>
  <c r="AK3361" i="30"/>
  <c r="AK3360" i="30"/>
  <c r="AK3359" i="30"/>
  <c r="AK3358" i="30"/>
  <c r="AK3357" i="30"/>
  <c r="AK3356" i="30"/>
  <c r="AK3355" i="30"/>
  <c r="AK3354" i="30"/>
  <c r="AK3353" i="30"/>
  <c r="AK3352" i="30"/>
  <c r="AK3351" i="30"/>
  <c r="AK3350" i="30"/>
  <c r="AK3349" i="30"/>
  <c r="AK3348" i="30"/>
  <c r="AK3347" i="30"/>
  <c r="AK3346" i="30"/>
  <c r="AK3345" i="30"/>
  <c r="AK3344" i="30"/>
  <c r="AK3343" i="30"/>
  <c r="AK3342" i="30"/>
  <c r="AK3341" i="30"/>
  <c r="AK3340" i="30"/>
  <c r="AK3339" i="30"/>
  <c r="AK3338" i="30"/>
  <c r="AK3337" i="30"/>
  <c r="AK3336" i="30"/>
  <c r="AK3335" i="30"/>
  <c r="AK3334" i="30"/>
  <c r="AK3333" i="30"/>
  <c r="AK3332" i="30"/>
  <c r="AK3331" i="30"/>
  <c r="AK3330" i="30"/>
  <c r="AK3329" i="30"/>
  <c r="AK3328" i="30"/>
  <c r="AK3327" i="30"/>
  <c r="AK3326" i="30"/>
  <c r="AK3325" i="30"/>
  <c r="AK3324" i="30"/>
  <c r="AK3323" i="30"/>
  <c r="AK3322" i="30"/>
  <c r="AK3321" i="30"/>
  <c r="AK3320" i="30"/>
  <c r="AK3319" i="30"/>
  <c r="AK3318" i="30"/>
  <c r="AK3317" i="30"/>
  <c r="AK3316" i="30"/>
  <c r="AK3315" i="30"/>
  <c r="AK3314" i="30"/>
  <c r="AK3313" i="30"/>
  <c r="AK3312" i="30"/>
  <c r="AK3311" i="30"/>
  <c r="AK3310" i="30"/>
  <c r="AK3309" i="30"/>
  <c r="AK3308" i="30"/>
  <c r="AK3307" i="30"/>
  <c r="AK3306" i="30"/>
  <c r="AK3305" i="30"/>
  <c r="AK3304" i="30"/>
  <c r="AK3303" i="30"/>
  <c r="AK3302" i="30"/>
  <c r="AK3301" i="30"/>
  <c r="AK3300" i="30"/>
  <c r="AK3299" i="30"/>
  <c r="AK3298" i="30"/>
  <c r="AK3297" i="30"/>
  <c r="AK3296" i="30"/>
  <c r="AK3295" i="30"/>
  <c r="AK3294" i="30"/>
  <c r="AK3293" i="30"/>
  <c r="AK3292" i="30"/>
  <c r="AK3291" i="30"/>
  <c r="AK3290" i="30"/>
  <c r="AK3289" i="30"/>
  <c r="AK3288" i="30"/>
  <c r="AK3287" i="30"/>
  <c r="AK3286" i="30"/>
  <c r="AK3285" i="30"/>
  <c r="AK3284" i="30"/>
  <c r="AK3283" i="30"/>
  <c r="AK3282" i="30"/>
  <c r="AK3281" i="30"/>
  <c r="AK3280" i="30"/>
  <c r="AK3279" i="30"/>
  <c r="AK3278" i="30"/>
  <c r="AK3277" i="30"/>
  <c r="AK3276" i="30"/>
  <c r="AK3275" i="30"/>
  <c r="AK3274" i="30"/>
  <c r="AK3273" i="30"/>
  <c r="AK3272" i="30"/>
  <c r="AK3271" i="30"/>
  <c r="AK3270" i="30"/>
  <c r="AK3269" i="30"/>
  <c r="AK3268" i="30"/>
  <c r="AK3267" i="30"/>
  <c r="AK3266" i="30"/>
  <c r="AK3265" i="30"/>
  <c r="AK3264" i="30"/>
  <c r="AK3263" i="30"/>
  <c r="AK3262" i="30"/>
  <c r="AK3261" i="30"/>
  <c r="AK3260" i="30"/>
  <c r="AK3259" i="30"/>
  <c r="AK3258" i="30"/>
  <c r="AK3257" i="30"/>
  <c r="AK3256" i="30"/>
  <c r="AK3255" i="30"/>
  <c r="AK3254" i="30"/>
  <c r="AK3253" i="30"/>
  <c r="AK3252" i="30"/>
  <c r="AK3251" i="30"/>
  <c r="AK3250" i="30"/>
  <c r="AK3249" i="30"/>
  <c r="AK3248" i="30"/>
  <c r="AK3247" i="30"/>
  <c r="AK3246" i="30"/>
  <c r="AK3245" i="30"/>
  <c r="AK3244" i="30"/>
  <c r="AK3243" i="30"/>
  <c r="AK3242" i="30"/>
  <c r="AK3241" i="30"/>
  <c r="AK3240" i="30"/>
  <c r="AK3239" i="30"/>
  <c r="AK3238" i="30"/>
  <c r="AK3237" i="30"/>
  <c r="AK3236" i="30"/>
  <c r="AK3235" i="30"/>
  <c r="AK3234" i="30"/>
  <c r="AK3233" i="30"/>
  <c r="AK3232" i="30"/>
  <c r="AK3231" i="30"/>
  <c r="AK3230" i="30"/>
  <c r="AK3229" i="30"/>
  <c r="AK3228" i="30"/>
  <c r="AK3227" i="30"/>
  <c r="AK3226" i="30"/>
  <c r="AK3225" i="30"/>
  <c r="AK3224" i="30"/>
  <c r="AK3223" i="30"/>
  <c r="AK3222" i="30"/>
  <c r="AK3221" i="30"/>
  <c r="AK3220" i="30"/>
  <c r="AK3219" i="30"/>
  <c r="AK3218" i="30"/>
  <c r="AK3217" i="30"/>
  <c r="AK3216" i="30"/>
  <c r="AK3215" i="30"/>
  <c r="AK3214" i="30"/>
  <c r="AK3213" i="30"/>
  <c r="AK3212" i="30"/>
  <c r="AK3211" i="30"/>
  <c r="AK3210" i="30"/>
  <c r="AK3209" i="30"/>
  <c r="AK3208" i="30"/>
  <c r="AK3207" i="30"/>
  <c r="AK3206" i="30"/>
  <c r="AK3205" i="30"/>
  <c r="AK3204" i="30"/>
  <c r="AK3203" i="30"/>
  <c r="AK3202" i="30"/>
  <c r="AK3201" i="30"/>
  <c r="AK3200" i="30"/>
  <c r="AK3199" i="30"/>
  <c r="AK3198" i="30"/>
  <c r="AK3197" i="30"/>
  <c r="AK3196" i="30"/>
  <c r="AK3195" i="30"/>
  <c r="AK3194" i="30"/>
  <c r="AK3193" i="30"/>
  <c r="AK3192" i="30"/>
  <c r="AK3191" i="30"/>
  <c r="AK3190" i="30"/>
  <c r="AK3189" i="30"/>
  <c r="AK3188" i="30"/>
  <c r="AK3187" i="30"/>
  <c r="AK3186" i="30"/>
  <c r="AK3185" i="30"/>
  <c r="AK3184" i="30"/>
  <c r="AK3183" i="30"/>
  <c r="AK3182" i="30"/>
  <c r="AK3181" i="30"/>
  <c r="AK3180" i="30"/>
  <c r="AK3179" i="30"/>
  <c r="AK3178" i="30"/>
  <c r="AK3177" i="30"/>
  <c r="AK3176" i="30"/>
  <c r="AK3175" i="30"/>
  <c r="AK3174" i="30"/>
  <c r="AK3173" i="30"/>
  <c r="AK3172" i="30"/>
  <c r="AK3171" i="30"/>
  <c r="AK3170" i="30"/>
  <c r="AK3169" i="30"/>
  <c r="AK3168" i="30"/>
  <c r="AK3167" i="30"/>
  <c r="AK3166" i="30"/>
  <c r="AK3165" i="30"/>
  <c r="AK3164" i="30"/>
  <c r="AK3163" i="30"/>
  <c r="AK3162" i="30"/>
  <c r="AK3161" i="30"/>
  <c r="AK3160" i="30"/>
  <c r="AK3159" i="30"/>
  <c r="AK3158" i="30"/>
  <c r="AK3157" i="30"/>
  <c r="AK3156" i="30"/>
  <c r="AK3155" i="30"/>
  <c r="AK3154" i="30"/>
  <c r="AK3153" i="30"/>
  <c r="AK3152" i="30"/>
  <c r="AK3151" i="30"/>
  <c r="AK3150" i="30"/>
  <c r="AK3149" i="30"/>
  <c r="AK3148" i="30"/>
  <c r="AK3147" i="30"/>
  <c r="AK3146" i="30"/>
  <c r="AK3145" i="30"/>
  <c r="AK3144" i="30"/>
  <c r="AK3143" i="30"/>
  <c r="AK3142" i="30"/>
  <c r="AK3141" i="30"/>
  <c r="AK3140" i="30"/>
  <c r="AK3139" i="30"/>
  <c r="AK3138" i="30"/>
  <c r="AK3137" i="30"/>
  <c r="AK3136" i="30"/>
  <c r="AK3135" i="30"/>
  <c r="AK3134" i="30"/>
  <c r="AK3133" i="30"/>
  <c r="AK3132" i="30"/>
  <c r="AK3131" i="30"/>
  <c r="AK3130" i="30"/>
  <c r="AK3129" i="30"/>
  <c r="AK3128" i="30"/>
  <c r="AK3127" i="30"/>
  <c r="AK3126" i="30"/>
  <c r="AK3125" i="30"/>
  <c r="AK3124" i="30"/>
  <c r="AK3123" i="30"/>
  <c r="AK3122" i="30"/>
  <c r="AK3121" i="30"/>
  <c r="AK3120" i="30"/>
  <c r="AK3119" i="30"/>
  <c r="AK3118" i="30"/>
  <c r="AK3117" i="30"/>
  <c r="AK3116" i="30"/>
  <c r="AK3115" i="30"/>
  <c r="AK3114" i="30"/>
  <c r="AK3113" i="30"/>
  <c r="AK3112" i="30"/>
  <c r="AK3111" i="30"/>
  <c r="AK3110" i="30"/>
  <c r="AK3109" i="30"/>
  <c r="AK3108" i="30"/>
  <c r="AK3107" i="30"/>
  <c r="AK3106" i="30"/>
  <c r="AK3105" i="30"/>
  <c r="AK3104" i="30"/>
  <c r="AK3103" i="30"/>
  <c r="AK3102" i="30"/>
  <c r="AK3101" i="30"/>
  <c r="AK3100" i="30"/>
  <c r="AK3099" i="30"/>
  <c r="AK3098" i="30"/>
  <c r="AK3097" i="30"/>
  <c r="AK3096" i="30"/>
  <c r="AK3095" i="30"/>
  <c r="AK3094" i="30"/>
  <c r="AK3093" i="30"/>
  <c r="AK3092" i="30"/>
  <c r="AK3091" i="30"/>
  <c r="AK3090" i="30"/>
  <c r="AK3089" i="30"/>
  <c r="AK3088" i="30"/>
  <c r="AK3087" i="30"/>
  <c r="AK3086" i="30"/>
  <c r="AK3085" i="30"/>
  <c r="AK3084" i="30"/>
  <c r="AK3083" i="30"/>
  <c r="AK3082" i="30"/>
  <c r="AK3081" i="30"/>
  <c r="AK3080" i="30"/>
  <c r="AK3079" i="30"/>
  <c r="AK3078" i="30"/>
  <c r="AK3077" i="30"/>
  <c r="AK3076" i="30"/>
  <c r="AK3075" i="30"/>
  <c r="AK3074" i="30"/>
  <c r="AK3073" i="30"/>
  <c r="AK3072" i="30"/>
  <c r="AK3071" i="30"/>
  <c r="AK3070" i="30"/>
  <c r="AK3069" i="30"/>
  <c r="AK3068" i="30"/>
  <c r="AK3067" i="30"/>
  <c r="AK3066" i="30"/>
  <c r="AK3065" i="30"/>
  <c r="AK3064" i="30"/>
  <c r="AK3063" i="30"/>
  <c r="AK3062" i="30"/>
  <c r="AK3061" i="30"/>
  <c r="AK3060" i="30"/>
  <c r="AK3059" i="30"/>
  <c r="AK3058" i="30"/>
  <c r="AK3057" i="30"/>
  <c r="AK3056" i="30"/>
  <c r="AK3055" i="30"/>
  <c r="AK3054" i="30"/>
  <c r="AK3053" i="30"/>
  <c r="AK3052" i="30"/>
  <c r="AK3051" i="30"/>
  <c r="AK3050" i="30"/>
  <c r="AK3049" i="30"/>
  <c r="AK3048" i="30"/>
  <c r="AK3047" i="30"/>
  <c r="AK3046" i="30"/>
  <c r="AK3045" i="30"/>
  <c r="AK3044" i="30"/>
  <c r="AK3043" i="30"/>
  <c r="AK3042" i="30"/>
  <c r="AK3041" i="30"/>
  <c r="AK3040" i="30"/>
  <c r="AK3039" i="30"/>
  <c r="AK3038" i="30"/>
  <c r="AK3037" i="30"/>
  <c r="AK3036" i="30"/>
  <c r="AK3035" i="30"/>
  <c r="AK3034" i="30"/>
  <c r="AK3033" i="30"/>
  <c r="AK3032" i="30"/>
  <c r="AK3031" i="30"/>
  <c r="AK3030" i="30"/>
  <c r="AK3029" i="30"/>
  <c r="AK3028" i="30"/>
  <c r="AK3027" i="30"/>
  <c r="AK3026" i="30"/>
  <c r="AK3025" i="30"/>
  <c r="AK3024" i="30"/>
  <c r="AK3023" i="30"/>
  <c r="AK3022" i="30"/>
  <c r="AK3021" i="30"/>
  <c r="AK3020" i="30"/>
  <c r="AK3019" i="30"/>
  <c r="AK3018" i="30"/>
  <c r="AK3017" i="30"/>
  <c r="AK3016" i="30"/>
  <c r="AK3015" i="30"/>
  <c r="AK3014" i="30"/>
  <c r="AK3013" i="30"/>
  <c r="AK3012" i="30"/>
  <c r="AK3011" i="30"/>
  <c r="AK3010" i="30"/>
  <c r="AK3009" i="30"/>
  <c r="AK3008" i="30"/>
  <c r="AK3007" i="30"/>
  <c r="AK3006" i="30"/>
  <c r="AK3005" i="30"/>
  <c r="AK3004" i="30"/>
  <c r="AK3003" i="30"/>
  <c r="AK3002" i="30"/>
  <c r="AK3001" i="30"/>
  <c r="AK3000" i="30"/>
  <c r="AK2999" i="30"/>
  <c r="AK2998" i="30"/>
  <c r="AK2997" i="30"/>
  <c r="AK2996" i="30"/>
  <c r="AK2995" i="30"/>
  <c r="AK2994" i="30"/>
  <c r="AK2993" i="30"/>
  <c r="AK2992" i="30"/>
  <c r="AK2991" i="30"/>
  <c r="AK2990" i="30"/>
  <c r="AK2989" i="30"/>
  <c r="AK2988" i="30"/>
  <c r="AK2987" i="30"/>
  <c r="AK2986" i="30"/>
  <c r="AK2985" i="30"/>
  <c r="AK2984" i="30"/>
  <c r="AK2983" i="30"/>
  <c r="AK2982" i="30"/>
  <c r="AK2981" i="30"/>
  <c r="AK2980" i="30"/>
  <c r="AK2979" i="30"/>
  <c r="AK2978" i="30"/>
  <c r="AK2977" i="30"/>
  <c r="AK2976" i="30"/>
  <c r="AK2975" i="30"/>
  <c r="AK2974" i="30"/>
  <c r="AK2973" i="30"/>
  <c r="AK2972" i="30"/>
  <c r="AK2971" i="30"/>
  <c r="AK2970" i="30"/>
  <c r="AK2969" i="30"/>
  <c r="AK2968" i="30"/>
  <c r="AK2967" i="30"/>
  <c r="AK2966" i="30"/>
  <c r="AK2965" i="30"/>
  <c r="AK2964" i="30"/>
  <c r="AK2963" i="30"/>
  <c r="AK2962" i="30"/>
  <c r="AK2961" i="30"/>
  <c r="AK2960" i="30"/>
  <c r="AK2959" i="30"/>
  <c r="AK2958" i="30"/>
  <c r="AK2957" i="30"/>
  <c r="AK2956" i="30"/>
  <c r="AK2955" i="30"/>
  <c r="AK2954" i="30"/>
  <c r="AK2953" i="30"/>
  <c r="AK2952" i="30"/>
  <c r="AK2951" i="30"/>
  <c r="AK2950" i="30"/>
  <c r="AK2949" i="30"/>
  <c r="AK2948" i="30"/>
  <c r="AK2947" i="30"/>
  <c r="AK2946" i="30"/>
  <c r="AK2945" i="30"/>
  <c r="AK2944" i="30"/>
  <c r="AK2943" i="30"/>
  <c r="AK2942" i="30"/>
  <c r="AK2941" i="30"/>
  <c r="AK2940" i="30"/>
  <c r="AK2939" i="30"/>
  <c r="AK2938" i="30"/>
  <c r="AK2937" i="30"/>
  <c r="AK2936" i="30"/>
  <c r="AK2935" i="30"/>
  <c r="AK2934" i="30"/>
  <c r="AK2933" i="30"/>
  <c r="AK2932" i="30"/>
  <c r="AK2931" i="30"/>
  <c r="AK2930" i="30"/>
  <c r="AK2929" i="30"/>
  <c r="AK2928" i="30"/>
  <c r="AK2927" i="30"/>
  <c r="AK2926" i="30"/>
  <c r="AK2925" i="30"/>
  <c r="AK2924" i="30"/>
  <c r="AK2923" i="30"/>
  <c r="AK2922" i="30"/>
  <c r="AK2921" i="30"/>
  <c r="AK2920" i="30"/>
  <c r="AK2919" i="30"/>
  <c r="AK2918" i="30"/>
  <c r="AK2917" i="30"/>
  <c r="AK2916" i="30"/>
  <c r="AK2915" i="30"/>
  <c r="AK2914" i="30"/>
  <c r="AK2913" i="30"/>
  <c r="AK2912" i="30"/>
  <c r="AK2911" i="30"/>
  <c r="AK2910" i="30"/>
  <c r="AK2909" i="30"/>
  <c r="AK2908" i="30"/>
  <c r="AK2907" i="30"/>
  <c r="AK2906" i="30"/>
  <c r="AK2905" i="30"/>
  <c r="AK2904" i="30"/>
  <c r="AK2903" i="30"/>
  <c r="AK2902" i="30"/>
  <c r="AK2901" i="30"/>
  <c r="AK2900" i="30"/>
  <c r="AK2899" i="30"/>
  <c r="AK2898" i="30"/>
  <c r="AK2897" i="30"/>
  <c r="AK2896" i="30"/>
  <c r="AK2895" i="30"/>
  <c r="AK2894" i="30"/>
  <c r="AK2893" i="30"/>
  <c r="AK2892" i="30"/>
  <c r="AK2891" i="30"/>
  <c r="AK2890" i="30"/>
  <c r="AK2889" i="30"/>
  <c r="AK2888" i="30"/>
  <c r="AK2887" i="30"/>
  <c r="AK2886" i="30"/>
  <c r="AK2885" i="30"/>
  <c r="AK2884" i="30"/>
  <c r="AK2883" i="30"/>
  <c r="AK2882" i="30"/>
  <c r="AK2881" i="30"/>
  <c r="AK2880" i="30"/>
  <c r="AK2879" i="30"/>
  <c r="AK2878" i="30"/>
  <c r="AK2877" i="30"/>
  <c r="AK2876" i="30"/>
  <c r="AK2875" i="30"/>
  <c r="AK2874" i="30"/>
  <c r="AK2873" i="30"/>
  <c r="AK2872" i="30"/>
  <c r="AK2871" i="30"/>
  <c r="AK2870" i="30"/>
  <c r="AK2869" i="30"/>
  <c r="AK2868" i="30"/>
  <c r="AK2867" i="30"/>
  <c r="AK2866" i="30"/>
  <c r="AK2865" i="30"/>
  <c r="AK2864" i="30"/>
  <c r="AK2863" i="30"/>
  <c r="AK2862" i="30"/>
  <c r="AK2861" i="30"/>
  <c r="AK2860" i="30"/>
  <c r="AK2859" i="30"/>
  <c r="AK2858" i="30"/>
  <c r="AK2857" i="30"/>
  <c r="AK2856" i="30"/>
  <c r="AK2855" i="30"/>
  <c r="AK2854" i="30"/>
  <c r="AK2853" i="30"/>
  <c r="AK2852" i="30"/>
  <c r="AK2851" i="30"/>
  <c r="AK2850" i="30"/>
  <c r="AK2849" i="30"/>
  <c r="AK2848" i="30"/>
  <c r="AK2847" i="30"/>
  <c r="AK2846" i="30"/>
  <c r="AK2845" i="30"/>
  <c r="AK2844" i="30"/>
  <c r="AK2843" i="30"/>
  <c r="AK2842" i="30"/>
  <c r="AK2841" i="30"/>
  <c r="AK2840" i="30"/>
  <c r="AK2839" i="30"/>
  <c r="AK2838" i="30"/>
  <c r="AK2837" i="30"/>
  <c r="AK2836" i="30"/>
  <c r="AK2835" i="30"/>
  <c r="AK2834" i="30"/>
  <c r="AK2833" i="30"/>
  <c r="AK2832" i="30"/>
  <c r="AK2831" i="30"/>
  <c r="AK2830" i="30"/>
  <c r="AK2829" i="30"/>
  <c r="AK2828" i="30"/>
  <c r="AK2827" i="30"/>
  <c r="AK2826" i="30"/>
  <c r="AK2825" i="30"/>
  <c r="AK2824" i="30"/>
  <c r="AK2823" i="30"/>
  <c r="AK2822" i="30"/>
  <c r="AK2821" i="30"/>
  <c r="AK2820" i="30"/>
  <c r="AK2819" i="30"/>
  <c r="AK2818" i="30"/>
  <c r="AK2817" i="30"/>
  <c r="AK2816" i="30"/>
  <c r="AK2815" i="30"/>
  <c r="AK2814" i="30"/>
  <c r="AK2813" i="30"/>
  <c r="AK2812" i="30"/>
  <c r="AK2811" i="30"/>
  <c r="AK2810" i="30"/>
  <c r="AK2809" i="30"/>
  <c r="AK2808" i="30"/>
  <c r="AK2807" i="30"/>
  <c r="AK2806" i="30"/>
  <c r="AK2805" i="30"/>
  <c r="AK2804" i="30"/>
  <c r="AK2803" i="30"/>
  <c r="AK2802" i="30"/>
  <c r="AK2801" i="30"/>
  <c r="AK2800" i="30"/>
  <c r="AK2799" i="30"/>
  <c r="AK2798" i="30"/>
  <c r="AK2797" i="30"/>
  <c r="AK2796" i="30"/>
  <c r="AK2795" i="30"/>
  <c r="AK2794" i="30"/>
  <c r="AK2793" i="30"/>
  <c r="AK2792" i="30"/>
  <c r="AK2791" i="30"/>
  <c r="AK2790" i="30"/>
  <c r="AK2789" i="30"/>
  <c r="AK2788" i="30"/>
  <c r="AK2787" i="30"/>
  <c r="AK2786" i="30"/>
  <c r="AK2785" i="30"/>
  <c r="AK2784" i="30"/>
  <c r="AK2783" i="30"/>
  <c r="AK2782" i="30"/>
  <c r="AK2781" i="30"/>
  <c r="AK2780" i="30"/>
  <c r="AK2779" i="30"/>
  <c r="AK2778" i="30"/>
  <c r="AK2777" i="30"/>
  <c r="AK2776" i="30"/>
  <c r="AK2775" i="30"/>
  <c r="AK2774" i="30"/>
  <c r="AK2773" i="30"/>
  <c r="AK2772" i="30"/>
  <c r="AK2771" i="30"/>
  <c r="AK2770" i="30"/>
  <c r="AK2769" i="30"/>
  <c r="AK2768" i="30"/>
  <c r="AK2767" i="30"/>
  <c r="AK2766" i="30"/>
  <c r="AK2765" i="30"/>
  <c r="AK2764" i="30"/>
  <c r="AK2763" i="30"/>
  <c r="AK2762" i="30"/>
  <c r="AK2761" i="30"/>
  <c r="AK2760" i="30"/>
  <c r="AK2759" i="30"/>
  <c r="AK2758" i="30"/>
  <c r="AK2757" i="30"/>
  <c r="AK2756" i="30"/>
  <c r="AK2755" i="30"/>
  <c r="AK2754" i="30"/>
  <c r="AK2753" i="30"/>
  <c r="AK2752" i="30"/>
  <c r="AK2751" i="30"/>
  <c r="AK2750" i="30"/>
  <c r="AK2749" i="30"/>
  <c r="AK2748" i="30"/>
  <c r="AK2747" i="30"/>
  <c r="AK2746" i="30"/>
  <c r="AK2745" i="30"/>
  <c r="AK2744" i="30"/>
  <c r="AK2743" i="30"/>
  <c r="AK2742" i="30"/>
  <c r="AK2741" i="30"/>
  <c r="AK2740" i="30"/>
  <c r="AK2739" i="30"/>
  <c r="AK2738" i="30"/>
  <c r="AK2737" i="30"/>
  <c r="AK2736" i="30"/>
  <c r="AK2735" i="30"/>
  <c r="AK2734" i="30"/>
  <c r="AK2733" i="30"/>
  <c r="AK2732" i="30"/>
  <c r="AK2731" i="30"/>
  <c r="AK2730" i="30"/>
  <c r="AK2729" i="30"/>
  <c r="AK2728" i="30"/>
  <c r="AK2727" i="30"/>
  <c r="AK2726" i="30"/>
  <c r="AK2725" i="30"/>
  <c r="AK2724" i="30"/>
  <c r="AK2723" i="30"/>
  <c r="AK2722" i="30"/>
  <c r="AK2721" i="30"/>
  <c r="AK2720" i="30"/>
  <c r="AK2719" i="30"/>
  <c r="AK2718" i="30"/>
  <c r="AK2717" i="30"/>
  <c r="AK2716" i="30"/>
  <c r="AK2715" i="30"/>
  <c r="AK2714" i="30"/>
  <c r="AK2713" i="30"/>
  <c r="AK2712" i="30"/>
  <c r="AK2711" i="30"/>
  <c r="AK2710" i="30"/>
  <c r="AK2709" i="30"/>
  <c r="AK2708" i="30"/>
  <c r="AK2707" i="30"/>
  <c r="AK2706" i="30"/>
  <c r="AK2705" i="30"/>
  <c r="AK2704" i="30"/>
  <c r="AK2703" i="30"/>
  <c r="AK2702" i="30"/>
  <c r="AK2701" i="30"/>
  <c r="AK2700" i="30"/>
  <c r="AK2699" i="30"/>
  <c r="AK2698" i="30"/>
  <c r="AK2697" i="30"/>
  <c r="AK2696" i="30"/>
  <c r="AK2695" i="30"/>
  <c r="AK2694" i="30"/>
  <c r="AK2693" i="30"/>
  <c r="AK2692" i="30"/>
  <c r="AK2691" i="30"/>
  <c r="AK2690" i="30"/>
  <c r="AK2689" i="30"/>
  <c r="AK2688" i="30"/>
  <c r="AK2687" i="30"/>
  <c r="AK2686" i="30"/>
  <c r="AK2685" i="30"/>
  <c r="AK2684" i="30"/>
  <c r="AK2683" i="30"/>
  <c r="AK2682" i="30"/>
  <c r="AK2681" i="30"/>
  <c r="AK2680" i="30"/>
  <c r="AK2679" i="30"/>
  <c r="AK2678" i="30"/>
  <c r="AK2677" i="30"/>
  <c r="AK2676" i="30"/>
  <c r="AK2675" i="30"/>
  <c r="AK2674" i="30"/>
  <c r="AK2673" i="30"/>
  <c r="AK2672" i="30"/>
  <c r="AK2671" i="30"/>
  <c r="AK2670" i="30"/>
  <c r="AK2669" i="30"/>
  <c r="AK2668" i="30"/>
  <c r="AK2667" i="30"/>
  <c r="AK2666" i="30"/>
  <c r="AK2665" i="30"/>
  <c r="AK2664" i="30"/>
  <c r="AK2663" i="30"/>
  <c r="AK2662" i="30"/>
  <c r="AK2661" i="30"/>
  <c r="AK2660" i="30"/>
  <c r="AK2659" i="30"/>
  <c r="AK2658" i="30"/>
  <c r="AK2657" i="30"/>
  <c r="AK2656" i="30"/>
  <c r="AK2655" i="30"/>
  <c r="AK2654" i="30"/>
  <c r="AK2653" i="30"/>
  <c r="AK2652" i="30"/>
  <c r="AK2651" i="30"/>
  <c r="AK2650" i="30"/>
  <c r="AK2649" i="30"/>
  <c r="AK2648" i="30"/>
  <c r="AK2647" i="30"/>
  <c r="AK2646" i="30"/>
  <c r="AK2645" i="30"/>
  <c r="AK2644" i="30"/>
  <c r="AK2643" i="30"/>
  <c r="AK2642" i="30"/>
  <c r="AK2641" i="30"/>
  <c r="AK2640" i="30"/>
  <c r="AK2639" i="30"/>
  <c r="AK2638" i="30"/>
  <c r="AK2637" i="30"/>
  <c r="AK2636" i="30"/>
  <c r="AK2635" i="30"/>
  <c r="AK2634" i="30"/>
  <c r="AK2633" i="30"/>
  <c r="AK2632" i="30"/>
  <c r="AK2631" i="30"/>
  <c r="AK2630" i="30"/>
  <c r="AK2629" i="30"/>
  <c r="AK2628" i="30"/>
  <c r="AK2627" i="30"/>
  <c r="AK2626" i="30"/>
  <c r="AK2625" i="30"/>
  <c r="AK2624" i="30"/>
  <c r="AK2623" i="30"/>
  <c r="AK2622" i="30"/>
  <c r="AK2621" i="30"/>
  <c r="AK2620" i="30"/>
  <c r="AK2619" i="30"/>
  <c r="AK2618" i="30"/>
  <c r="AK2617" i="30"/>
  <c r="AK2616" i="30"/>
  <c r="AK2615" i="30"/>
  <c r="AK2614" i="30"/>
  <c r="AK2613" i="30"/>
  <c r="AK2612" i="30"/>
  <c r="AK2611" i="30"/>
  <c r="AK2610" i="30"/>
  <c r="AK2609" i="30"/>
  <c r="AK2608" i="30"/>
  <c r="AK2607" i="30"/>
  <c r="AK2606" i="30"/>
  <c r="AK2605" i="30"/>
  <c r="AK2604" i="30"/>
  <c r="AK2603" i="30"/>
  <c r="AK2602" i="30"/>
  <c r="AK2601" i="30"/>
  <c r="AK2600" i="30"/>
  <c r="AK2599" i="30"/>
  <c r="AK2598" i="30"/>
  <c r="AK2597" i="30"/>
  <c r="AK2596" i="30"/>
  <c r="AK2595" i="30"/>
  <c r="AK2594" i="30"/>
  <c r="AK2593" i="30"/>
  <c r="AK2592" i="30"/>
  <c r="AK2591" i="30"/>
  <c r="AK2590" i="30"/>
  <c r="AK2589" i="30"/>
  <c r="AK2588" i="30"/>
  <c r="AK2587" i="30"/>
  <c r="AK2586" i="30"/>
  <c r="AK2585" i="30"/>
  <c r="AK2584" i="30"/>
  <c r="AK2583" i="30"/>
  <c r="AK2582" i="30"/>
  <c r="AK2581" i="30"/>
  <c r="AK2580" i="30"/>
  <c r="AK2579" i="30"/>
  <c r="AK2578" i="30"/>
  <c r="AK2577" i="30"/>
  <c r="AK2576" i="30"/>
  <c r="AK2575" i="30"/>
  <c r="AK2574" i="30"/>
  <c r="AK2573" i="30"/>
  <c r="AK2572" i="30"/>
  <c r="AK2571" i="30"/>
  <c r="AK2570" i="30"/>
  <c r="AK2569" i="30"/>
  <c r="AK2568" i="30"/>
  <c r="AK2567" i="30"/>
  <c r="AK2566" i="30"/>
  <c r="AK2565" i="30"/>
  <c r="AK2564" i="30"/>
  <c r="AK2563" i="30"/>
  <c r="AK2562" i="30"/>
  <c r="AK2561" i="30"/>
  <c r="AK2560" i="30"/>
  <c r="AK2559" i="30"/>
  <c r="AK2558" i="30"/>
  <c r="AK2557" i="30"/>
  <c r="AK2556" i="30"/>
  <c r="AK2555" i="30"/>
  <c r="AK2554" i="30"/>
  <c r="AK2553" i="30"/>
  <c r="AK2552" i="30"/>
  <c r="AK2551" i="30"/>
  <c r="AK2550" i="30"/>
  <c r="AK2549" i="30"/>
  <c r="AK2548" i="30"/>
  <c r="AK2547" i="30"/>
  <c r="AK2546" i="30"/>
  <c r="AK2545" i="30"/>
  <c r="AK2544" i="30"/>
  <c r="AK2543" i="30"/>
  <c r="AK2542" i="30"/>
  <c r="AK2541" i="30"/>
  <c r="AK2540" i="30"/>
  <c r="AK2539" i="30"/>
  <c r="AK2538" i="30"/>
  <c r="AK2537" i="30"/>
  <c r="AK2536" i="30"/>
  <c r="AK2535" i="30"/>
  <c r="AK2534" i="30"/>
  <c r="AK2533" i="30"/>
  <c r="AK2532" i="30"/>
  <c r="AK2531" i="30"/>
  <c r="AK2530" i="30"/>
  <c r="AK2529" i="30"/>
  <c r="AK2528" i="30"/>
  <c r="AK2527" i="30"/>
  <c r="AK2526" i="30"/>
  <c r="AK2525" i="30"/>
  <c r="AK2524" i="30"/>
  <c r="AK2523" i="30"/>
  <c r="AK2522" i="30"/>
  <c r="AK2521" i="30"/>
  <c r="AK2520" i="30"/>
  <c r="AK2519" i="30"/>
  <c r="AK2518" i="30"/>
  <c r="AK2517" i="30"/>
  <c r="AK2516" i="30"/>
  <c r="AK2515" i="30"/>
  <c r="AK2514" i="30"/>
  <c r="AK2513" i="30"/>
  <c r="AK2512" i="30"/>
  <c r="AK2511" i="30"/>
  <c r="AK2510" i="30"/>
  <c r="AK2509" i="30"/>
  <c r="AK2508" i="30"/>
  <c r="AK2507" i="30"/>
  <c r="AK2506" i="30"/>
  <c r="AK2505" i="30"/>
  <c r="AK2504" i="30"/>
  <c r="AK2503" i="30"/>
  <c r="AK2502" i="30"/>
  <c r="AK2501" i="30"/>
  <c r="AK2500" i="30"/>
  <c r="AK2499" i="30"/>
  <c r="AK2498" i="30"/>
  <c r="AK2497" i="30"/>
  <c r="AK2496" i="30"/>
  <c r="AK2495" i="30"/>
  <c r="AK2494" i="30"/>
  <c r="AK2493" i="30"/>
  <c r="AK2492" i="30"/>
  <c r="AK2491" i="30"/>
  <c r="AK2490" i="30"/>
  <c r="AK2489" i="30"/>
  <c r="AK2488" i="30"/>
  <c r="AK2487" i="30"/>
  <c r="AK2486" i="30"/>
  <c r="AK2485" i="30"/>
  <c r="AK2484" i="30"/>
  <c r="AK2483" i="30"/>
  <c r="AK2482" i="30"/>
  <c r="AK2481" i="30"/>
  <c r="AK2480" i="30"/>
  <c r="AK2479" i="30"/>
  <c r="AK2478" i="30"/>
  <c r="AK2477" i="30"/>
  <c r="AK2476" i="30"/>
  <c r="AK2475" i="30"/>
  <c r="AK2474" i="30"/>
  <c r="AK2473" i="30"/>
  <c r="AK2472" i="30"/>
  <c r="AK2471" i="30"/>
  <c r="AK2470" i="30"/>
  <c r="AK2469" i="30"/>
  <c r="AK2468" i="30"/>
  <c r="AK2467" i="30"/>
  <c r="AK2466" i="30"/>
  <c r="AK2465" i="30"/>
  <c r="AK2464" i="30"/>
  <c r="AK2463" i="30"/>
  <c r="AK2462" i="30"/>
  <c r="AK2461" i="30"/>
  <c r="AK2460" i="30"/>
  <c r="AK2459" i="30"/>
  <c r="AK2458" i="30"/>
  <c r="AK2457" i="30"/>
  <c r="AK2456" i="30"/>
  <c r="AK2455" i="30"/>
  <c r="AK2454" i="30"/>
  <c r="AK2453" i="30"/>
  <c r="AK2452" i="30"/>
  <c r="AK2451" i="30"/>
  <c r="AK2450" i="30"/>
  <c r="AK2449" i="30"/>
  <c r="AK2448" i="30"/>
  <c r="AK2447" i="30"/>
  <c r="AK2446" i="30"/>
  <c r="AK2445" i="30"/>
  <c r="AK2444" i="30"/>
  <c r="AK2443" i="30"/>
  <c r="AK2442" i="30"/>
  <c r="AK2441" i="30"/>
  <c r="AK2440" i="30"/>
  <c r="AK2439" i="30"/>
  <c r="AK2438" i="30"/>
  <c r="AK2437" i="30"/>
  <c r="AK2436" i="30"/>
  <c r="AK2435" i="30"/>
  <c r="AK2434" i="30"/>
  <c r="AK2433" i="30"/>
  <c r="AK2432" i="30"/>
  <c r="AK2431" i="30"/>
  <c r="AK2430" i="30"/>
  <c r="AK2429" i="30"/>
  <c r="AK2428" i="30"/>
  <c r="AK2427" i="30"/>
  <c r="AK2426" i="30"/>
  <c r="AK2425" i="30"/>
  <c r="AK2424" i="30"/>
  <c r="AK2423" i="30"/>
  <c r="AK2422" i="30"/>
  <c r="AK2421" i="30"/>
  <c r="AK2420" i="30"/>
  <c r="AK2419" i="30"/>
  <c r="AK2418" i="30"/>
  <c r="AK2417" i="30"/>
  <c r="AK2416" i="30"/>
  <c r="AK2415" i="30"/>
  <c r="AK2414" i="30"/>
  <c r="AK2413" i="30"/>
  <c r="AK2412" i="30"/>
  <c r="AK2411" i="30"/>
  <c r="AK2410" i="30"/>
  <c r="AK2409" i="30"/>
  <c r="AK2408" i="30"/>
  <c r="AK2407" i="30"/>
  <c r="AK2406" i="30"/>
  <c r="AK2405" i="30"/>
  <c r="AK2404" i="30"/>
  <c r="AK2403" i="30"/>
  <c r="AK2402" i="30"/>
  <c r="AK2401" i="30"/>
  <c r="AK2400" i="30"/>
  <c r="AK2399" i="30"/>
  <c r="AK2398" i="30"/>
  <c r="AK2397" i="30"/>
  <c r="AK2396" i="30"/>
  <c r="AK2395" i="30"/>
  <c r="AK2394" i="30"/>
  <c r="AK2393" i="30"/>
  <c r="AK2392" i="30"/>
  <c r="AK2391" i="30"/>
  <c r="AK2390" i="30"/>
  <c r="AK2389" i="30"/>
  <c r="AK2388" i="30"/>
  <c r="AK2387" i="30"/>
  <c r="AK2386" i="30"/>
  <c r="AK2385" i="30"/>
  <c r="AK2384" i="30"/>
  <c r="AK2383" i="30"/>
  <c r="AK2382" i="30"/>
  <c r="AK2381" i="30"/>
  <c r="AK2380" i="30"/>
  <c r="AK2379" i="30"/>
  <c r="AK2378" i="30"/>
  <c r="AK2377" i="30"/>
  <c r="AK2376" i="30"/>
  <c r="AK2375" i="30"/>
  <c r="AK2374" i="30"/>
  <c r="AK2373" i="30"/>
  <c r="AK2372" i="30"/>
  <c r="AK2371" i="30"/>
  <c r="AK2370" i="30"/>
  <c r="AK2369" i="30"/>
  <c r="AK2368" i="30"/>
  <c r="AK2367" i="30"/>
  <c r="AK2366" i="30"/>
  <c r="AK2365" i="30"/>
  <c r="AK2364" i="30"/>
  <c r="AK2363" i="30"/>
  <c r="AK2362" i="30"/>
  <c r="AK2361" i="30"/>
  <c r="AK2360" i="30"/>
  <c r="AK2359" i="30"/>
  <c r="AK2358" i="30"/>
  <c r="AK2357" i="30"/>
  <c r="AK2356" i="30"/>
  <c r="AK2355" i="30"/>
  <c r="AK2354" i="30"/>
  <c r="AK2353" i="30"/>
  <c r="AK2352" i="30"/>
  <c r="AK2351" i="30"/>
  <c r="AK2350" i="30"/>
  <c r="AK2349" i="30"/>
  <c r="AK2348" i="30"/>
  <c r="AK2347" i="30"/>
  <c r="AK2346" i="30"/>
  <c r="AK2345" i="30"/>
  <c r="AK2344" i="30"/>
  <c r="AK2343" i="30"/>
  <c r="AK2342" i="30"/>
  <c r="AK2341" i="30"/>
  <c r="AK2340" i="30"/>
  <c r="AK2339" i="30"/>
  <c r="AK2338" i="30"/>
  <c r="AK2337" i="30"/>
  <c r="AK2336" i="30"/>
  <c r="AK2335" i="30"/>
  <c r="AK2334" i="30"/>
  <c r="AK2333" i="30"/>
  <c r="AK2332" i="30"/>
  <c r="AK2331" i="30"/>
  <c r="AK2330" i="30"/>
  <c r="AK2329" i="30"/>
  <c r="AK2328" i="30"/>
  <c r="AK2327" i="30"/>
  <c r="AK2326" i="30"/>
  <c r="AK2325" i="30"/>
  <c r="AK2324" i="30"/>
  <c r="AK2323" i="30"/>
  <c r="AK2322" i="30"/>
  <c r="AK2321" i="30"/>
  <c r="AK2320" i="30"/>
  <c r="AK2319" i="30"/>
  <c r="AK2318" i="30"/>
  <c r="AK2317" i="30"/>
  <c r="AK2316" i="30"/>
  <c r="AK2315" i="30"/>
  <c r="AK2314" i="30"/>
  <c r="AK2313" i="30"/>
  <c r="AK2312" i="30"/>
  <c r="AK2311" i="30"/>
  <c r="AK2310" i="30"/>
  <c r="AK2309" i="30"/>
  <c r="AK2308" i="30"/>
  <c r="AK2307" i="30"/>
  <c r="AK2306" i="30"/>
  <c r="AK2305" i="30"/>
  <c r="AK2304" i="30"/>
  <c r="AK2303" i="30"/>
  <c r="AK2302" i="30"/>
  <c r="AK2301" i="30"/>
  <c r="AK2300" i="30"/>
  <c r="AK2299" i="30"/>
  <c r="AK2298" i="30"/>
  <c r="AK2297" i="30"/>
  <c r="AK2296" i="30"/>
  <c r="AK2295" i="30"/>
  <c r="AK2294" i="30"/>
  <c r="AK2293" i="30"/>
  <c r="AK2292" i="30"/>
  <c r="AK2291" i="30"/>
  <c r="AK2290" i="30"/>
  <c r="AK2289" i="30"/>
  <c r="AK2288" i="30"/>
  <c r="AK2287" i="30"/>
  <c r="AK2286" i="30"/>
  <c r="AK2285" i="30"/>
  <c r="AK2284" i="30"/>
  <c r="AK2283" i="30"/>
  <c r="AK2282" i="30"/>
  <c r="AK2281" i="30"/>
  <c r="AK2280" i="30"/>
  <c r="AK2279" i="30"/>
  <c r="AK2278" i="30"/>
  <c r="AK2277" i="30"/>
  <c r="AK2276" i="30"/>
  <c r="AK2275" i="30"/>
  <c r="AK2274" i="30"/>
  <c r="AK2273" i="30"/>
  <c r="AK2272" i="30"/>
  <c r="AK2271" i="30"/>
  <c r="AK2270" i="30"/>
  <c r="AK2269" i="30"/>
  <c r="AK2268" i="30"/>
  <c r="AK2267" i="30"/>
  <c r="AK2266" i="30"/>
  <c r="AK2265" i="30"/>
  <c r="AK2264" i="30"/>
  <c r="AK2263" i="30"/>
  <c r="AK2262" i="30"/>
  <c r="AK2261" i="30"/>
  <c r="AK2260" i="30"/>
  <c r="AK2259" i="30"/>
  <c r="AK2258" i="30"/>
  <c r="AK2257" i="30"/>
  <c r="AK2256" i="30"/>
  <c r="AK2255" i="30"/>
  <c r="AK2254" i="30"/>
  <c r="AK2253" i="30"/>
  <c r="AK2252" i="30"/>
  <c r="AK2251" i="30"/>
  <c r="AK2250" i="30"/>
  <c r="AK2249" i="30"/>
  <c r="AK2248" i="30"/>
  <c r="AK2247" i="30"/>
  <c r="AK2246" i="30"/>
  <c r="AK2245" i="30"/>
  <c r="AK2244" i="30"/>
  <c r="AK2243" i="30"/>
  <c r="AK2242" i="30"/>
  <c r="AK2241" i="30"/>
  <c r="AK2240" i="30"/>
  <c r="AK2239" i="30"/>
  <c r="AK2238" i="30"/>
  <c r="AK2237" i="30"/>
  <c r="AK2236" i="30"/>
  <c r="AK2235" i="30"/>
  <c r="AK2234" i="30"/>
  <c r="AK2233" i="30"/>
  <c r="AK2232" i="30"/>
  <c r="AK2231" i="30"/>
  <c r="AK2230" i="30"/>
  <c r="AK2229" i="30"/>
  <c r="AK2228" i="30"/>
  <c r="AK2227" i="30"/>
  <c r="AK2226" i="30"/>
  <c r="AK2225" i="30"/>
  <c r="AK2224" i="30"/>
  <c r="AK2223" i="30"/>
  <c r="AK2222" i="30"/>
  <c r="AK2221" i="30"/>
  <c r="AK2220" i="30"/>
  <c r="AK2219" i="30"/>
  <c r="AK2218" i="30"/>
  <c r="AK2217" i="30"/>
  <c r="AK2216" i="30"/>
  <c r="AK2215" i="30"/>
  <c r="AK2214" i="30"/>
  <c r="AK2213" i="30"/>
  <c r="AK2212" i="30"/>
  <c r="AK2211" i="30"/>
  <c r="AK2210" i="30"/>
  <c r="AK2209" i="30"/>
  <c r="AK2208" i="30"/>
  <c r="AK2207" i="30"/>
  <c r="AK2206" i="30"/>
  <c r="AK2205" i="30"/>
  <c r="AK2204" i="30"/>
  <c r="AK2203" i="30"/>
  <c r="AK2202" i="30"/>
  <c r="AK2201" i="30"/>
  <c r="AK2200" i="30"/>
  <c r="AK2199" i="30"/>
  <c r="AK2198" i="30"/>
  <c r="AK2197" i="30"/>
  <c r="AK2196" i="30"/>
  <c r="AK2195" i="30"/>
  <c r="AK2194" i="30"/>
  <c r="AK2193" i="30"/>
  <c r="AK2192" i="30"/>
  <c r="AK2191" i="30"/>
  <c r="AK2190" i="30"/>
  <c r="AK2189" i="30"/>
  <c r="AK2188" i="30"/>
  <c r="AK2187" i="30"/>
  <c r="AK2186" i="30"/>
  <c r="AK2185" i="30"/>
  <c r="AK2184" i="30"/>
  <c r="AK2183" i="30"/>
  <c r="AK2182" i="30"/>
  <c r="AK2181" i="30"/>
  <c r="AK2180" i="30"/>
  <c r="AK2179" i="30"/>
  <c r="AK2178" i="30"/>
  <c r="AK2177" i="30"/>
  <c r="AK2176" i="30"/>
  <c r="AK2175" i="30"/>
  <c r="AK2174" i="30"/>
  <c r="AK2173" i="30"/>
  <c r="AK2172" i="30"/>
  <c r="AK2171" i="30"/>
  <c r="AK2170" i="30"/>
  <c r="AK2169" i="30"/>
  <c r="AK2168" i="30"/>
  <c r="AK2167" i="30"/>
  <c r="AK2166" i="30"/>
  <c r="AK2165" i="30"/>
  <c r="AK2164" i="30"/>
  <c r="AK2163" i="30"/>
  <c r="AK2162" i="30"/>
  <c r="AK2161" i="30"/>
  <c r="AK2160" i="30"/>
  <c r="AK2159" i="30"/>
  <c r="AK2158" i="30"/>
  <c r="AK2157" i="30"/>
  <c r="AK2156" i="30"/>
  <c r="AK2155" i="30"/>
  <c r="AK2154" i="30"/>
  <c r="AK2153" i="30"/>
  <c r="AK2152" i="30"/>
  <c r="AK2151" i="30"/>
  <c r="AK2150" i="30"/>
  <c r="AK2149" i="30"/>
  <c r="AK2148" i="30"/>
  <c r="AK2147" i="30"/>
  <c r="AK2146" i="30"/>
  <c r="AK2145" i="30"/>
  <c r="AK2144" i="30"/>
  <c r="AK2143" i="30"/>
  <c r="AK2142" i="30"/>
  <c r="AK2141" i="30"/>
  <c r="AK2140" i="30"/>
  <c r="AK2139" i="30"/>
  <c r="AK2138" i="30"/>
  <c r="AK2137" i="30"/>
  <c r="AK2136" i="30"/>
  <c r="AK2135" i="30"/>
  <c r="AK2134" i="30"/>
  <c r="AK2133" i="30"/>
  <c r="AK2132" i="30"/>
  <c r="AK2131" i="30"/>
  <c r="AK2130" i="30"/>
  <c r="AK2129" i="30"/>
  <c r="AK2128" i="30"/>
  <c r="AK2127" i="30"/>
  <c r="AK2126" i="30"/>
  <c r="AK2125" i="30"/>
  <c r="AK2124" i="30"/>
  <c r="AK2123" i="30"/>
  <c r="AK2122" i="30"/>
  <c r="AK2121" i="30"/>
  <c r="AK2120" i="30"/>
  <c r="AK2119" i="30"/>
  <c r="AK2118" i="30"/>
  <c r="AK2117" i="30"/>
  <c r="AK2116" i="30"/>
  <c r="AK2115" i="30"/>
  <c r="AK2114" i="30"/>
  <c r="AK2113" i="30"/>
  <c r="AK2112" i="30"/>
  <c r="AK2111" i="30"/>
  <c r="AK2110" i="30"/>
  <c r="AK2109" i="30"/>
  <c r="AK2108" i="30"/>
  <c r="AK2107" i="30"/>
  <c r="AK2106" i="30"/>
  <c r="AK2105" i="30"/>
  <c r="AK2104" i="30"/>
  <c r="AK2103" i="30"/>
  <c r="AK2102" i="30"/>
  <c r="AK2101" i="30"/>
  <c r="AK2100" i="30"/>
  <c r="AK2099" i="30"/>
  <c r="AK2098" i="30"/>
  <c r="AK2097" i="30"/>
  <c r="AK2096" i="30"/>
  <c r="AK2095" i="30"/>
  <c r="AK2094" i="30"/>
  <c r="AK2093" i="30"/>
  <c r="AK2092" i="30"/>
  <c r="AK2091" i="30"/>
  <c r="AK2090" i="30"/>
  <c r="AK2089" i="30"/>
  <c r="AK2088" i="30"/>
  <c r="AK2087" i="30"/>
  <c r="AK2086" i="30"/>
  <c r="AK2085" i="30"/>
  <c r="AK2084" i="30"/>
  <c r="AK2083" i="30"/>
  <c r="AK2082" i="30"/>
  <c r="AK2081" i="30"/>
  <c r="AK2080" i="30"/>
  <c r="AK2079" i="30"/>
  <c r="AK2078" i="30"/>
  <c r="AK2077" i="30"/>
  <c r="AK2076" i="30"/>
  <c r="AK2075" i="30"/>
  <c r="AK2074" i="30"/>
  <c r="AK2073" i="30"/>
  <c r="AK2072" i="30"/>
  <c r="AK2071" i="30"/>
  <c r="AK2070" i="30"/>
  <c r="AK2069" i="30"/>
  <c r="AK2068" i="30"/>
  <c r="AK2067" i="30"/>
  <c r="AK2066" i="30"/>
  <c r="AK2065" i="30"/>
  <c r="AK2064" i="30"/>
  <c r="AK2063" i="30"/>
  <c r="AK2062" i="30"/>
  <c r="AK2061" i="30"/>
  <c r="AK2060" i="30"/>
  <c r="AK2059" i="30"/>
  <c r="AK2058" i="30"/>
  <c r="AK2057" i="30"/>
  <c r="AK2056" i="30"/>
  <c r="AK2055" i="30"/>
  <c r="AK2054" i="30"/>
  <c r="AK2053" i="30"/>
  <c r="AK2052" i="30"/>
  <c r="AK2051" i="30"/>
  <c r="AK2050" i="30"/>
  <c r="AK2049" i="30"/>
  <c r="AK2048" i="30"/>
  <c r="AK2047" i="30"/>
  <c r="AK2046" i="30"/>
  <c r="AK2045" i="30"/>
  <c r="AK2044" i="30"/>
  <c r="AK2043" i="30"/>
  <c r="AK2042" i="30"/>
  <c r="AK2041" i="30"/>
  <c r="AK2040" i="30"/>
  <c r="AK2039" i="30"/>
  <c r="AK2038" i="30"/>
  <c r="AK2037" i="30"/>
  <c r="AK2036" i="30"/>
  <c r="AK2035" i="30"/>
  <c r="AK2034" i="30"/>
  <c r="AK2033" i="30"/>
  <c r="AK2032" i="30"/>
  <c r="AK2031" i="30"/>
  <c r="AK2030" i="30"/>
  <c r="AK2029" i="30"/>
  <c r="AK2028" i="30"/>
  <c r="AK2027" i="30"/>
  <c r="AK2026" i="30"/>
  <c r="AK2025" i="30"/>
  <c r="AK2024" i="30"/>
  <c r="AK2023" i="30"/>
  <c r="AK2022" i="30"/>
  <c r="AK2021" i="30"/>
  <c r="AK2020" i="30"/>
  <c r="AK2019" i="30"/>
  <c r="AK2018" i="30"/>
  <c r="AK2017" i="30"/>
  <c r="AK2016" i="30"/>
  <c r="AK2015" i="30"/>
  <c r="AK2014" i="30"/>
  <c r="AK2013" i="30"/>
  <c r="AK2012" i="30"/>
  <c r="AK2011" i="30"/>
  <c r="AK2010" i="30"/>
  <c r="AK2009" i="30"/>
  <c r="AK2008" i="30"/>
  <c r="AK2007" i="30"/>
  <c r="AK2006" i="30"/>
  <c r="AK2005" i="30"/>
  <c r="AK2004" i="30"/>
  <c r="AK2003" i="30"/>
  <c r="AK2002" i="30"/>
  <c r="AK2001" i="30"/>
  <c r="AK2000" i="30"/>
  <c r="AK1999" i="30"/>
  <c r="AK1998" i="30"/>
  <c r="AK1997" i="30"/>
  <c r="AK1996" i="30"/>
  <c r="AK1995" i="30"/>
  <c r="AK1994" i="30"/>
  <c r="AK1993" i="30"/>
  <c r="AK1992" i="30"/>
  <c r="AK1991" i="30"/>
  <c r="AK1990" i="30"/>
  <c r="AK1989" i="30"/>
  <c r="AK1988" i="30"/>
  <c r="AK1987" i="30"/>
  <c r="AK1986" i="30"/>
  <c r="AK1985" i="30"/>
  <c r="AK1984" i="30"/>
  <c r="AK1983" i="30"/>
  <c r="AK1982" i="30"/>
  <c r="AK1981" i="30"/>
  <c r="AK1980" i="30"/>
  <c r="AK1979" i="30"/>
  <c r="AK1978" i="30"/>
  <c r="AK1977" i="30"/>
  <c r="AK1976" i="30"/>
  <c r="AK1975" i="30"/>
  <c r="AK1974" i="30"/>
  <c r="AK1973" i="30"/>
  <c r="AK1972" i="30"/>
  <c r="AK1971" i="30"/>
  <c r="AK1970" i="30"/>
  <c r="AK1969" i="30"/>
  <c r="AK1968" i="30"/>
  <c r="AK1967" i="30"/>
  <c r="AK1966" i="30"/>
  <c r="AK1965" i="30"/>
  <c r="AK1964" i="30"/>
  <c r="AK1963" i="30"/>
  <c r="AK1962" i="30"/>
  <c r="AK1961" i="30"/>
  <c r="AK1960" i="30"/>
  <c r="AK1959" i="30"/>
  <c r="AK1958" i="30"/>
  <c r="AK1957" i="30"/>
  <c r="AK1956" i="30"/>
  <c r="AK1955" i="30"/>
  <c r="AK1954" i="30"/>
  <c r="AK1953" i="30"/>
  <c r="AK1952" i="30"/>
  <c r="AK1951" i="30"/>
  <c r="AK1950" i="30"/>
  <c r="AK1949" i="30"/>
  <c r="AK1948" i="30"/>
  <c r="AK1947" i="30"/>
  <c r="AK1946" i="30"/>
  <c r="AK1945" i="30"/>
  <c r="AK1944" i="30"/>
  <c r="AK1943" i="30"/>
  <c r="AK1942" i="30"/>
  <c r="AK1941" i="30"/>
  <c r="AK1940" i="30"/>
  <c r="AK1939" i="30"/>
  <c r="AK1938" i="30"/>
  <c r="AK1937" i="30"/>
  <c r="AK1936" i="30"/>
  <c r="AK1935" i="30"/>
  <c r="AK1934" i="30"/>
  <c r="AK1933" i="30"/>
  <c r="AK1932" i="30"/>
  <c r="AK1931" i="30"/>
  <c r="AK1930" i="30"/>
  <c r="AK1929" i="30"/>
  <c r="AK1928" i="30"/>
  <c r="AK1927" i="30"/>
  <c r="AK1926" i="30"/>
  <c r="AK1925" i="30"/>
  <c r="AK1924" i="30"/>
  <c r="AK1923" i="30"/>
  <c r="AK1922" i="30"/>
  <c r="AK1921" i="30"/>
  <c r="AK1920" i="30"/>
  <c r="AK1919" i="30"/>
  <c r="AK1918" i="30"/>
  <c r="AK1917" i="30"/>
  <c r="AK1916" i="30"/>
  <c r="AK1915" i="30"/>
  <c r="AK1914" i="30"/>
  <c r="AK1913" i="30"/>
  <c r="AK1912" i="30"/>
  <c r="AK1911" i="30"/>
  <c r="AK1910" i="30"/>
  <c r="AK1909" i="30"/>
  <c r="AK1908" i="30"/>
  <c r="AK1907" i="30"/>
  <c r="AK1906" i="30"/>
  <c r="AK1905" i="30"/>
  <c r="AK1904" i="30"/>
  <c r="AK1903" i="30"/>
  <c r="AK1902" i="30"/>
  <c r="AK1901" i="30"/>
  <c r="AK1900" i="30"/>
  <c r="AK1899" i="30"/>
  <c r="AK1898" i="30"/>
  <c r="AK1897" i="30"/>
  <c r="AK1896" i="30"/>
  <c r="AK1895" i="30"/>
  <c r="AK1894" i="30"/>
  <c r="AK1893" i="30"/>
  <c r="AK1892" i="30"/>
  <c r="AK1891" i="30"/>
  <c r="AK1890" i="30"/>
  <c r="AK1889" i="30"/>
  <c r="AK1888" i="30"/>
  <c r="AK1887" i="30"/>
  <c r="AK1886" i="30"/>
  <c r="AK1885" i="30"/>
  <c r="AK1884" i="30"/>
  <c r="AK1883" i="30"/>
  <c r="AK1882" i="30"/>
  <c r="AK1881" i="30"/>
  <c r="AK1880" i="30"/>
  <c r="AK1879" i="30"/>
  <c r="AK1878" i="30"/>
  <c r="AK1877" i="30"/>
  <c r="AK1876" i="30"/>
  <c r="AK1875" i="30"/>
  <c r="AK1874" i="30"/>
  <c r="AK1873" i="30"/>
  <c r="AK1872" i="30"/>
  <c r="AK1871" i="30"/>
  <c r="AK1870" i="30"/>
  <c r="AK1869" i="30"/>
  <c r="AK1868" i="30"/>
  <c r="AK1867" i="30"/>
  <c r="AK1866" i="30"/>
  <c r="AK1865" i="30"/>
  <c r="AK1864" i="30"/>
  <c r="AK1863" i="30"/>
  <c r="AK1862" i="30"/>
  <c r="AK1861" i="30"/>
  <c r="AK1860" i="30"/>
  <c r="AK1859" i="30"/>
  <c r="AK1858" i="30"/>
  <c r="AK1857" i="30"/>
  <c r="AK1856" i="30"/>
  <c r="AK1855" i="30"/>
  <c r="AK1854" i="30"/>
  <c r="AK1853" i="30"/>
  <c r="AK1852" i="30"/>
  <c r="AK1851" i="30"/>
  <c r="AK1850" i="30"/>
  <c r="AK1849" i="30"/>
  <c r="AK1848" i="30"/>
  <c r="AK1847" i="30"/>
  <c r="AK1846" i="30"/>
  <c r="AK1845" i="30"/>
  <c r="AK1844" i="30"/>
  <c r="AK1843" i="30"/>
  <c r="AK1842" i="30"/>
  <c r="AK1841" i="30"/>
  <c r="AK1840" i="30"/>
  <c r="AK1839" i="30"/>
  <c r="AK1838" i="30"/>
  <c r="AK1837" i="30"/>
  <c r="AK1836" i="30"/>
  <c r="AK1835" i="30"/>
  <c r="AK1834" i="30"/>
  <c r="AK1833" i="30"/>
  <c r="AK1832" i="30"/>
  <c r="AK1831" i="30"/>
  <c r="AK1830" i="30"/>
  <c r="AK1829" i="30"/>
  <c r="AK1828" i="30"/>
  <c r="AK1827" i="30"/>
  <c r="AK1826" i="30"/>
  <c r="AK1825" i="30"/>
  <c r="AK1824" i="30"/>
  <c r="AK1823" i="30"/>
  <c r="AK1822" i="30"/>
  <c r="AK1821" i="30"/>
  <c r="AK1820" i="30"/>
  <c r="AK1819" i="30"/>
  <c r="AK1818" i="30"/>
  <c r="AK1817" i="30"/>
  <c r="AK1816" i="30"/>
  <c r="AK1815" i="30"/>
  <c r="AK1814" i="30"/>
  <c r="AK1813" i="30"/>
  <c r="AK1812" i="30"/>
  <c r="AK1811" i="30"/>
  <c r="AK1810" i="30"/>
  <c r="AK1809" i="30"/>
  <c r="AK1808" i="30"/>
  <c r="AK1807" i="30"/>
  <c r="AK1806" i="30"/>
  <c r="AK1805" i="30"/>
  <c r="AK1804" i="30"/>
  <c r="AK1803" i="30"/>
  <c r="AK1802" i="30"/>
  <c r="AK1801" i="30"/>
  <c r="AK1800" i="30"/>
  <c r="AK1799" i="30"/>
  <c r="AK1798" i="30"/>
  <c r="AK1797" i="30"/>
  <c r="AK1796" i="30"/>
  <c r="AK1795" i="30"/>
  <c r="AK1794" i="30"/>
  <c r="AK1793" i="30"/>
  <c r="AK1792" i="30"/>
  <c r="AK1791" i="30"/>
  <c r="AK1790" i="30"/>
  <c r="AK1789" i="30"/>
  <c r="AK1788" i="30"/>
  <c r="AK1787" i="30"/>
  <c r="AK1786" i="30"/>
  <c r="AK1785" i="30"/>
  <c r="AK1784" i="30"/>
  <c r="AK1783" i="30"/>
  <c r="AK1782" i="30"/>
  <c r="AK1781" i="30"/>
  <c r="AK1780" i="30"/>
  <c r="AK1779" i="30"/>
  <c r="AK1778" i="30"/>
  <c r="AK1777" i="30"/>
  <c r="AK1776" i="30"/>
  <c r="AK1775" i="30"/>
  <c r="AK1774" i="30"/>
  <c r="AK1773" i="30"/>
  <c r="AK1772" i="30"/>
  <c r="AK1771" i="30"/>
  <c r="AK1770" i="30"/>
  <c r="AK1769" i="30"/>
  <c r="AK1768" i="30"/>
  <c r="AK1767" i="30"/>
  <c r="AK1766" i="30"/>
  <c r="AK1765" i="30"/>
  <c r="AK1764" i="30"/>
  <c r="AK1763" i="30"/>
  <c r="AK1762" i="30"/>
  <c r="AK1761" i="30"/>
  <c r="AK1760" i="30"/>
  <c r="AK1759" i="30"/>
  <c r="AK1758" i="30"/>
  <c r="AK1757" i="30"/>
  <c r="AK1756" i="30"/>
  <c r="AK1755" i="30"/>
  <c r="AK1754" i="30"/>
  <c r="AK1753" i="30"/>
  <c r="AK1752" i="30"/>
  <c r="AK1751" i="30"/>
  <c r="AK1750" i="30"/>
  <c r="AK1749" i="30"/>
  <c r="AK1748" i="30"/>
  <c r="AK1747" i="30"/>
  <c r="AK1746" i="30"/>
  <c r="AK1745" i="30"/>
  <c r="AK1744" i="30"/>
  <c r="AK1743" i="30"/>
  <c r="AK1742" i="30"/>
  <c r="AK1741" i="30"/>
  <c r="AK1740" i="30"/>
  <c r="AK1739" i="30"/>
  <c r="AK1738" i="30"/>
  <c r="AK1737" i="30"/>
  <c r="AK1736" i="30"/>
  <c r="AK1735" i="30"/>
  <c r="AK1734" i="30"/>
  <c r="AK1733" i="30"/>
  <c r="AK1732" i="30"/>
  <c r="AK1731" i="30"/>
  <c r="AK1730" i="30"/>
  <c r="AK1729" i="30"/>
  <c r="AK1728" i="30"/>
  <c r="AK1727" i="30"/>
  <c r="AK1726" i="30"/>
  <c r="AK1725" i="30"/>
  <c r="AK1724" i="30"/>
  <c r="AK1723" i="30"/>
  <c r="AK1722" i="30"/>
  <c r="AK1721" i="30"/>
  <c r="AK1720" i="30"/>
  <c r="AK1719" i="30"/>
  <c r="AK1718" i="30"/>
  <c r="AK1717" i="30"/>
  <c r="AK1716" i="30"/>
  <c r="AK1715" i="30"/>
  <c r="AK1714" i="30"/>
  <c r="AK1713" i="30"/>
  <c r="AK1712" i="30"/>
  <c r="AK1711" i="30"/>
  <c r="AK1710" i="30"/>
  <c r="AK1709" i="30"/>
  <c r="AK1708" i="30"/>
  <c r="AK1707" i="30"/>
  <c r="AK1706" i="30"/>
  <c r="AK1705" i="30"/>
  <c r="AK1704" i="30"/>
  <c r="AK1703" i="30"/>
  <c r="AK1702" i="30"/>
  <c r="AK1701" i="30"/>
  <c r="AK1700" i="30"/>
  <c r="AK1699" i="30"/>
  <c r="AK1698" i="30"/>
  <c r="AK1697" i="30"/>
  <c r="AK1696" i="30"/>
  <c r="AK1695" i="30"/>
  <c r="AK1694" i="30"/>
  <c r="AK1693" i="30"/>
  <c r="AK1692" i="30"/>
  <c r="AK1691" i="30"/>
  <c r="AK1690" i="30"/>
  <c r="AK1689" i="30"/>
  <c r="AK1688" i="30"/>
  <c r="AK1687" i="30"/>
  <c r="AK1686" i="30"/>
  <c r="AK1685" i="30"/>
  <c r="AK1684" i="30"/>
  <c r="AK1683" i="30"/>
  <c r="AK1682" i="30"/>
  <c r="AK1681" i="30"/>
  <c r="AK1680" i="30"/>
  <c r="AK1679" i="30"/>
  <c r="AK1678" i="30"/>
  <c r="AK1677" i="30"/>
  <c r="AK1676" i="30"/>
  <c r="AK1675" i="30"/>
  <c r="AK1674" i="30"/>
  <c r="AK1673" i="30"/>
  <c r="AK1672" i="30"/>
  <c r="AK1671" i="30"/>
  <c r="AK1670" i="30"/>
  <c r="AK1669" i="30"/>
  <c r="AK1668" i="30"/>
  <c r="AK1667" i="30"/>
  <c r="AK1666" i="30"/>
  <c r="AK1665" i="30"/>
  <c r="AK1664" i="30"/>
  <c r="AK1663" i="30"/>
  <c r="AK1662" i="30"/>
  <c r="AK1661" i="30"/>
  <c r="AK1660" i="30"/>
  <c r="AK1659" i="30"/>
  <c r="AK1658" i="30"/>
  <c r="AK1657" i="30"/>
  <c r="AK1656" i="30"/>
  <c r="AK1655" i="30"/>
  <c r="AK1654" i="30"/>
  <c r="AK1653" i="30"/>
  <c r="AK1652" i="30"/>
  <c r="AK1651" i="30"/>
  <c r="AK1650" i="30"/>
  <c r="AK1649" i="30"/>
  <c r="AK1648" i="30"/>
  <c r="AK1647" i="30"/>
  <c r="AK1646" i="30"/>
  <c r="AK1645" i="30"/>
  <c r="AK1644" i="30"/>
  <c r="AK1643" i="30"/>
  <c r="AK1642" i="30"/>
  <c r="AK1641" i="30"/>
  <c r="AK1640" i="30"/>
  <c r="AK1639" i="30"/>
  <c r="AK1638" i="30"/>
  <c r="AK1637" i="30"/>
  <c r="AK1636" i="30"/>
  <c r="AK1635" i="30"/>
  <c r="AK1634" i="30"/>
  <c r="AK1633" i="30"/>
  <c r="AK1632" i="30"/>
  <c r="AK1631" i="30"/>
  <c r="AK1630" i="30"/>
  <c r="AK1629" i="30"/>
  <c r="AK1628" i="30"/>
  <c r="AK1627" i="30"/>
  <c r="AK1626" i="30"/>
  <c r="AK1625" i="30"/>
  <c r="AK1624" i="30"/>
  <c r="AK1623" i="30"/>
  <c r="AK1622" i="30"/>
  <c r="AK1621" i="30"/>
  <c r="AK1620" i="30"/>
  <c r="AK1619" i="30"/>
  <c r="AK1618" i="30"/>
  <c r="AK1617" i="30"/>
  <c r="AK1616" i="30"/>
  <c r="AK1615" i="30"/>
  <c r="AK1614" i="30"/>
  <c r="AK1613" i="30"/>
  <c r="AK1612" i="30"/>
  <c r="AK1611" i="30"/>
  <c r="AK1610" i="30"/>
  <c r="AK1609" i="30"/>
  <c r="AK1608" i="30"/>
  <c r="AK1607" i="30"/>
  <c r="AK1606" i="30"/>
  <c r="AK1605" i="30"/>
  <c r="AK1604" i="30"/>
  <c r="AK1603" i="30"/>
  <c r="AK1602" i="30"/>
  <c r="AK1601" i="30"/>
  <c r="AK1600" i="30"/>
  <c r="AK1599" i="30"/>
  <c r="AK1598" i="30"/>
  <c r="AK1597" i="30"/>
  <c r="AK1596" i="30"/>
  <c r="AK1595" i="30"/>
  <c r="AK1594" i="30"/>
  <c r="AK1593" i="30"/>
  <c r="AK1592" i="30"/>
  <c r="AK1591" i="30"/>
  <c r="AK1590" i="30"/>
  <c r="AK1589" i="30"/>
  <c r="AK1588" i="30"/>
  <c r="AK1587" i="30"/>
  <c r="AK1586" i="30"/>
  <c r="AK1585" i="30"/>
  <c r="AK1584" i="30"/>
  <c r="AK1583" i="30"/>
  <c r="AK1582" i="30"/>
  <c r="AK1581" i="30"/>
  <c r="AK1580" i="30"/>
  <c r="AK1579" i="30"/>
  <c r="AK1578" i="30"/>
  <c r="AK1577" i="30"/>
  <c r="AK1576" i="30"/>
  <c r="AK1575" i="30"/>
  <c r="AK1574" i="30"/>
  <c r="AK1573" i="30"/>
  <c r="AK1572" i="30"/>
  <c r="AK1571" i="30"/>
  <c r="AK1570" i="30"/>
  <c r="AK1569" i="30"/>
  <c r="AK1568" i="30"/>
  <c r="AK1567" i="30"/>
  <c r="AK1566" i="30"/>
  <c r="AK1565" i="30"/>
  <c r="AK1564" i="30"/>
  <c r="AK1563" i="30"/>
  <c r="AK1562" i="30"/>
  <c r="AK1561" i="30"/>
  <c r="AK1560" i="30"/>
  <c r="AK1559" i="30"/>
  <c r="AK1558" i="30"/>
  <c r="AK1557" i="30"/>
  <c r="AK1556" i="30"/>
  <c r="AK1555" i="30"/>
  <c r="AK1554" i="30"/>
  <c r="AK1553" i="30"/>
  <c r="AK1552" i="30"/>
  <c r="AK1551" i="30"/>
  <c r="AK1550" i="30"/>
  <c r="AK1549" i="30"/>
  <c r="AK1548" i="30"/>
  <c r="AK1547" i="30"/>
  <c r="AK1546" i="30"/>
  <c r="AK1545" i="30"/>
  <c r="AK1544" i="30"/>
  <c r="AK1543" i="30"/>
  <c r="AK1542" i="30"/>
  <c r="AK1541" i="30"/>
  <c r="AK1540" i="30"/>
  <c r="AK1539" i="30"/>
  <c r="AK1538" i="30"/>
  <c r="AK1537" i="30"/>
  <c r="AK1536" i="30"/>
  <c r="AK1535" i="30"/>
  <c r="AK1534" i="30"/>
  <c r="AK1533" i="30"/>
  <c r="AK1532" i="30"/>
  <c r="AK1531" i="30"/>
  <c r="AK1530" i="30"/>
  <c r="AK1529" i="30"/>
  <c r="AK1528" i="30"/>
  <c r="AK1527" i="30"/>
  <c r="AK1526" i="30"/>
  <c r="AK1525" i="30"/>
  <c r="AK1524" i="30"/>
  <c r="AK1523" i="30"/>
  <c r="AK1522" i="30"/>
  <c r="AK1521" i="30"/>
  <c r="AK1520" i="30"/>
  <c r="AK1519" i="30"/>
  <c r="AK1518" i="30"/>
  <c r="AK1517" i="30"/>
  <c r="AK1516" i="30"/>
  <c r="AK1515" i="30"/>
  <c r="AK1514" i="30"/>
  <c r="AK1513" i="30"/>
  <c r="AK1512" i="30"/>
  <c r="AK1511" i="30"/>
  <c r="AK1510" i="30"/>
  <c r="AK1509" i="30"/>
  <c r="AK1508" i="30"/>
  <c r="AK1507" i="30"/>
  <c r="AK1506" i="30"/>
  <c r="AK1505" i="30"/>
  <c r="AK1504" i="30"/>
  <c r="AK1503" i="30"/>
  <c r="AK1502" i="30"/>
  <c r="AK1501" i="30"/>
  <c r="AK1500" i="30"/>
  <c r="AK1499" i="30"/>
  <c r="AK1498" i="30"/>
  <c r="AK1497" i="30"/>
  <c r="AK1496" i="30"/>
  <c r="AK1495" i="30"/>
  <c r="AK1494" i="30"/>
  <c r="AK1493" i="30"/>
  <c r="AK1492" i="30"/>
  <c r="AK1491" i="30"/>
  <c r="AK1490" i="30"/>
  <c r="AK1489" i="30"/>
  <c r="AK1488" i="30"/>
  <c r="AK1487" i="30"/>
  <c r="AK1486" i="30"/>
  <c r="AK1485" i="30"/>
  <c r="AK1484" i="30"/>
  <c r="AK1483" i="30"/>
  <c r="AK1482" i="30"/>
  <c r="AK1481" i="30"/>
  <c r="AK1480" i="30"/>
  <c r="AK1479" i="30"/>
  <c r="AK1478" i="30"/>
  <c r="AK1477" i="30"/>
  <c r="AK1476" i="30"/>
  <c r="AK1475" i="30"/>
  <c r="AK1474" i="30"/>
  <c r="AK1473" i="30"/>
  <c r="AK1472" i="30"/>
  <c r="AK1471" i="30"/>
  <c r="AK1470" i="30"/>
  <c r="AK1469" i="30"/>
  <c r="AK1468" i="30"/>
  <c r="AK1467" i="30"/>
  <c r="AK1466" i="30"/>
  <c r="AK1465" i="30"/>
  <c r="AK1464" i="30"/>
  <c r="AK1463" i="30"/>
  <c r="AK1462" i="30"/>
  <c r="AK1461" i="30"/>
  <c r="AK1460" i="30"/>
  <c r="AK1459" i="30"/>
  <c r="AK1458" i="30"/>
  <c r="AK1457" i="30"/>
  <c r="AK1456" i="30"/>
  <c r="AK1455" i="30"/>
  <c r="AK1454" i="30"/>
  <c r="AK1453" i="30"/>
  <c r="AK1452" i="30"/>
  <c r="AK1451" i="30"/>
  <c r="AK1450" i="30"/>
  <c r="AK1449" i="30"/>
  <c r="AK1448" i="30"/>
  <c r="AK1447" i="30"/>
  <c r="AK1446" i="30"/>
  <c r="AK1445" i="30"/>
  <c r="AK1444" i="30"/>
  <c r="AK1443" i="30"/>
  <c r="AK1442" i="30"/>
  <c r="AK1441" i="30"/>
  <c r="AK1440" i="30"/>
  <c r="AK1439" i="30"/>
  <c r="AK1438" i="30"/>
  <c r="AK1437" i="30"/>
  <c r="AK1436" i="30"/>
  <c r="AK1435" i="30"/>
  <c r="AK1434" i="30"/>
  <c r="AK1433" i="30"/>
  <c r="AK1432" i="30"/>
  <c r="AK1431" i="30"/>
  <c r="AK1430" i="30"/>
  <c r="AK1429" i="30"/>
  <c r="AK1428" i="30"/>
  <c r="AK1427" i="30"/>
  <c r="AK1426" i="30"/>
  <c r="AK1425" i="30"/>
  <c r="AK1424" i="30"/>
  <c r="AK1423" i="30"/>
  <c r="AK1422" i="30"/>
  <c r="AK1421" i="30"/>
  <c r="AK1420" i="30"/>
  <c r="AK1419" i="30"/>
  <c r="AK1418" i="30"/>
  <c r="AK1417" i="30"/>
  <c r="AK1416" i="30"/>
  <c r="AK1415" i="30"/>
  <c r="AK1414" i="30"/>
  <c r="AK1413" i="30"/>
  <c r="AK1412" i="30"/>
  <c r="AK1411" i="30"/>
  <c r="AK1410" i="30"/>
  <c r="AK1409" i="30"/>
  <c r="AK1408" i="30"/>
  <c r="AK1407" i="30"/>
  <c r="AK1406" i="30"/>
  <c r="AK1405" i="30"/>
  <c r="AK1404" i="30"/>
  <c r="AK1403" i="30"/>
  <c r="AK1402" i="30"/>
  <c r="AK1401" i="30"/>
  <c r="AK1400" i="30"/>
  <c r="AK1399" i="30"/>
  <c r="AK1398" i="30"/>
  <c r="AK1397" i="30"/>
  <c r="AK1396" i="30"/>
  <c r="AK1395" i="30"/>
  <c r="AK1394" i="30"/>
  <c r="AK1393" i="30"/>
  <c r="AK1392" i="30"/>
  <c r="AK1391" i="30"/>
  <c r="AK1390" i="30"/>
  <c r="AK1389" i="30"/>
  <c r="AK1388" i="30"/>
  <c r="AK1387" i="30"/>
  <c r="AK1386" i="30"/>
  <c r="AK1385" i="30"/>
  <c r="AK1384" i="30"/>
  <c r="AK1383" i="30"/>
  <c r="AK1382" i="30"/>
  <c r="AK1381" i="30"/>
  <c r="AK1380" i="30"/>
  <c r="AK1379" i="30"/>
  <c r="AK1378" i="30"/>
  <c r="AK1377" i="30"/>
  <c r="AK1376" i="30"/>
  <c r="AK1375" i="30"/>
  <c r="AK1374" i="30"/>
  <c r="AK1373" i="30"/>
  <c r="AK1372" i="30"/>
  <c r="AK1371" i="30"/>
  <c r="AK1370" i="30"/>
  <c r="AK1369" i="30"/>
  <c r="AK1368" i="30"/>
  <c r="AK1367" i="30"/>
  <c r="AK1366" i="30"/>
  <c r="AK1365" i="30"/>
  <c r="AK1364" i="30"/>
  <c r="AK1363" i="30"/>
  <c r="AK1362" i="30"/>
  <c r="AK1361" i="30"/>
  <c r="AK1360" i="30"/>
  <c r="AK1359" i="30"/>
  <c r="AK1358" i="30"/>
  <c r="AK1357" i="30"/>
  <c r="AK1356" i="30"/>
  <c r="AK1355" i="30"/>
  <c r="AK1354" i="30"/>
  <c r="AK1353" i="30"/>
  <c r="AK1352" i="30"/>
  <c r="AK1351" i="30"/>
  <c r="AK1350" i="30"/>
  <c r="AK1349" i="30"/>
  <c r="AK1348" i="30"/>
  <c r="AK1347" i="30"/>
  <c r="AK1346" i="30"/>
  <c r="AK1345" i="30"/>
  <c r="AK1344" i="30"/>
  <c r="AK1343" i="30"/>
  <c r="AK1342" i="30"/>
  <c r="AK1341" i="30"/>
  <c r="AK1340" i="30"/>
  <c r="AK1339" i="30"/>
  <c r="AK1338" i="30"/>
  <c r="AK1337" i="30"/>
  <c r="AK1336" i="30"/>
  <c r="AK1335" i="30"/>
  <c r="AK1334" i="30"/>
  <c r="AK1333" i="30"/>
  <c r="AK1332" i="30"/>
  <c r="AK1331" i="30"/>
  <c r="AK1330" i="30"/>
  <c r="AK1329" i="30"/>
  <c r="AK1328" i="30"/>
  <c r="AK1327" i="30"/>
  <c r="AK1326" i="30"/>
  <c r="AK1325" i="30"/>
  <c r="AK1324" i="30"/>
  <c r="AK1323" i="30"/>
  <c r="AK1322" i="30"/>
  <c r="AK1321" i="30"/>
  <c r="AK1320" i="30"/>
  <c r="AK1319" i="30"/>
  <c r="AK1318" i="30"/>
  <c r="AK1317" i="30"/>
  <c r="AK1316" i="30"/>
  <c r="AK1315" i="30"/>
  <c r="AK1314" i="30"/>
  <c r="AK1313" i="30"/>
  <c r="AK1312" i="30"/>
  <c r="AK1311" i="30"/>
  <c r="AK1310" i="30"/>
  <c r="AK1309" i="30"/>
  <c r="AK1308" i="30"/>
  <c r="AK1307" i="30"/>
  <c r="AK1306" i="30"/>
  <c r="AK1305" i="30"/>
  <c r="AK1304" i="30"/>
  <c r="AK1303" i="30"/>
  <c r="AK1302" i="30"/>
  <c r="AK1301" i="30"/>
  <c r="AK1300" i="30"/>
  <c r="AK1299" i="30"/>
  <c r="AK1298" i="30"/>
  <c r="AK1297" i="30"/>
  <c r="AK1296" i="30"/>
  <c r="AK1295" i="30"/>
  <c r="AK1294" i="30"/>
  <c r="AK1293" i="30"/>
  <c r="AK1292" i="30"/>
  <c r="AK1291" i="30"/>
  <c r="AK1290" i="30"/>
  <c r="AK1289" i="30"/>
  <c r="AK1288" i="30"/>
  <c r="AK1287" i="30"/>
  <c r="AK1286" i="30"/>
  <c r="AK1285" i="30"/>
  <c r="AK1284" i="30"/>
  <c r="AK1283" i="30"/>
  <c r="AK1282" i="30"/>
  <c r="AK1281" i="30"/>
  <c r="AK1280" i="30"/>
  <c r="AK1279" i="30"/>
  <c r="AK1278" i="30"/>
  <c r="AK1277" i="30"/>
  <c r="AK1276" i="30"/>
  <c r="AK1275" i="30"/>
  <c r="AK1274" i="30"/>
  <c r="AK1273" i="30"/>
  <c r="AK1272" i="30"/>
  <c r="AK1271" i="30"/>
  <c r="AK1270" i="30"/>
  <c r="AK1269" i="30"/>
  <c r="AK1268" i="30"/>
  <c r="AK1267" i="30"/>
  <c r="AK1266" i="30"/>
  <c r="AK1265" i="30"/>
  <c r="AK1264" i="30"/>
  <c r="AK1263" i="30"/>
  <c r="AK1262" i="30"/>
  <c r="AK1261" i="30"/>
  <c r="AK1260" i="30"/>
  <c r="AK1259" i="30"/>
  <c r="AK1258" i="30"/>
  <c r="AK1257" i="30"/>
  <c r="AK1256" i="30"/>
  <c r="AK1255" i="30"/>
  <c r="AK1254" i="30"/>
  <c r="AK1253" i="30"/>
  <c r="AK1252" i="30"/>
  <c r="AK1251" i="30"/>
  <c r="AK1250" i="30"/>
  <c r="AK1249" i="30"/>
  <c r="AK1248" i="30"/>
  <c r="AK1247" i="30"/>
  <c r="AK1246" i="30"/>
  <c r="AK1245" i="30"/>
  <c r="AK1244" i="30"/>
  <c r="AK1243" i="30"/>
  <c r="AK1242" i="30"/>
  <c r="AK1241" i="30"/>
  <c r="AK1240" i="30"/>
  <c r="AK1239" i="30"/>
  <c r="AK1238" i="30"/>
  <c r="AK1237" i="30"/>
  <c r="AK1236" i="30"/>
  <c r="AK1235" i="30"/>
  <c r="AK1234" i="30"/>
  <c r="AK1233" i="30"/>
  <c r="AK1232" i="30"/>
  <c r="AK1231" i="30"/>
  <c r="AK1230" i="30"/>
  <c r="AK1229" i="30"/>
  <c r="AK1228" i="30"/>
  <c r="AK1227" i="30"/>
  <c r="AK1226" i="30"/>
  <c r="AK1225" i="30"/>
  <c r="AK1224" i="30"/>
  <c r="AK1223" i="30"/>
  <c r="AK1222" i="30"/>
  <c r="AK1221" i="30"/>
  <c r="AK1220" i="30"/>
  <c r="AK1219" i="30"/>
  <c r="AK1218" i="30"/>
  <c r="AK1217" i="30"/>
  <c r="AK1216" i="30"/>
  <c r="AK1215" i="30"/>
  <c r="AK1214" i="30"/>
  <c r="AK1213" i="30"/>
  <c r="AK1212" i="30"/>
  <c r="AK1211" i="30"/>
  <c r="AK1210" i="30"/>
  <c r="AK1209" i="30"/>
  <c r="AK1208" i="30"/>
  <c r="AK1207" i="30"/>
  <c r="AK1206" i="30"/>
  <c r="AK1205" i="30"/>
  <c r="AK1204" i="30"/>
  <c r="AK1203" i="30"/>
  <c r="AK1202" i="30"/>
  <c r="AK1201" i="30"/>
  <c r="AK1200" i="30"/>
  <c r="AK1199" i="30"/>
  <c r="AK1198" i="30"/>
  <c r="AK1197" i="30"/>
  <c r="AK1196" i="30"/>
  <c r="AK1195" i="30"/>
  <c r="AK1194" i="30"/>
  <c r="AK1193" i="30"/>
  <c r="AK1192" i="30"/>
  <c r="AK1191" i="30"/>
  <c r="AK1190" i="30"/>
  <c r="AK1189" i="30"/>
  <c r="AK1188" i="30"/>
  <c r="AK1187" i="30"/>
  <c r="AK1186" i="30"/>
  <c r="AK1185" i="30"/>
  <c r="AK1184" i="30"/>
  <c r="AK1183" i="30"/>
  <c r="AK1182" i="30"/>
  <c r="AK1181" i="30"/>
  <c r="AK1180" i="30"/>
  <c r="AK1179" i="30"/>
  <c r="AK1178" i="30"/>
  <c r="AK1177" i="30"/>
  <c r="AK1176" i="30"/>
  <c r="AK1175" i="30"/>
  <c r="AK1174" i="30"/>
  <c r="AK1173" i="30"/>
  <c r="AK1172" i="30"/>
  <c r="AK1171" i="30"/>
  <c r="AK1170" i="30"/>
  <c r="AK1169" i="30"/>
  <c r="AK1168" i="30"/>
  <c r="AK1167" i="30"/>
  <c r="AK1166" i="30"/>
  <c r="AK1165" i="30"/>
  <c r="AK1164" i="30"/>
  <c r="AK1163" i="30"/>
  <c r="AK1162" i="30"/>
  <c r="AK1161" i="30"/>
  <c r="AK1160" i="30"/>
  <c r="AK1159" i="30"/>
  <c r="AK1158" i="30"/>
  <c r="AK1157" i="30"/>
  <c r="AK1156" i="30"/>
  <c r="AK1155" i="30"/>
  <c r="AK1154" i="30"/>
  <c r="AK1153" i="30"/>
  <c r="AK1152" i="30"/>
  <c r="AK1151" i="30"/>
  <c r="AK1150" i="30"/>
  <c r="AK1149" i="30"/>
  <c r="AK1148" i="30"/>
  <c r="AK1147" i="30"/>
  <c r="AK1146" i="30"/>
  <c r="AK1145" i="30"/>
  <c r="AK1144" i="30"/>
  <c r="AK1143" i="30"/>
  <c r="AK1142" i="30"/>
  <c r="AK1141" i="30"/>
  <c r="AK1140" i="30"/>
  <c r="AK1139" i="30"/>
  <c r="AK1138" i="30"/>
  <c r="AK1137" i="30"/>
  <c r="AK1136" i="30"/>
  <c r="AK1135" i="30"/>
  <c r="AK1134" i="30"/>
  <c r="AK1133" i="30"/>
  <c r="AK1132" i="30"/>
  <c r="AK1131" i="30"/>
  <c r="AK1130" i="30"/>
  <c r="AK1129" i="30"/>
  <c r="AK1128" i="30"/>
  <c r="AK1127" i="30"/>
  <c r="AK1126" i="30"/>
  <c r="AK1125" i="30"/>
  <c r="AK1124" i="30"/>
  <c r="AK1123" i="30"/>
  <c r="AK1122" i="30"/>
  <c r="AK1121" i="30"/>
  <c r="AK1120" i="30"/>
  <c r="AK1119" i="30"/>
  <c r="AK1118" i="30"/>
  <c r="AK1117" i="30"/>
  <c r="AK1116" i="30"/>
  <c r="AK1115" i="30"/>
  <c r="AK1114" i="30"/>
  <c r="AK1113" i="30"/>
  <c r="AK1112" i="30"/>
  <c r="AK1111" i="30"/>
  <c r="AK1110" i="30"/>
  <c r="AK1109" i="30"/>
  <c r="AK1108" i="30"/>
  <c r="AK1107" i="30"/>
  <c r="AK1106" i="30"/>
  <c r="AK1105" i="30"/>
  <c r="AK1104" i="30"/>
  <c r="AK1103" i="30"/>
  <c r="AK1102" i="30"/>
  <c r="AK1101" i="30"/>
  <c r="AK1100" i="30"/>
  <c r="AK1099" i="30"/>
  <c r="AK1098" i="30"/>
  <c r="AK1097" i="30"/>
  <c r="AK1096" i="30"/>
  <c r="AK1095" i="30"/>
  <c r="AK1094" i="30"/>
  <c r="AK1093" i="30"/>
  <c r="AK1092" i="30"/>
  <c r="AK1091" i="30"/>
  <c r="AK1090" i="30"/>
  <c r="AK1089" i="30"/>
  <c r="AK1088" i="30"/>
  <c r="AK1087" i="30"/>
  <c r="AK1086" i="30"/>
  <c r="AK1085" i="30"/>
  <c r="AK1084" i="30"/>
  <c r="AK1083" i="30"/>
  <c r="AK1082" i="30"/>
  <c r="AK1081" i="30"/>
  <c r="AK1080" i="30"/>
  <c r="AK1079" i="30"/>
  <c r="AK1078" i="30"/>
  <c r="AK1077" i="30"/>
  <c r="AK1076" i="30"/>
  <c r="AK1075" i="30"/>
  <c r="AK1074" i="30"/>
  <c r="AK1073" i="30"/>
  <c r="AK1072" i="30"/>
  <c r="AK1071" i="30"/>
  <c r="AK1070" i="30"/>
  <c r="AK1069" i="30"/>
  <c r="AK1068" i="30"/>
  <c r="AK1067" i="30"/>
  <c r="AK1066" i="30"/>
  <c r="AK1065" i="30"/>
  <c r="AK1064" i="30"/>
  <c r="AK1063" i="30"/>
  <c r="AK1062" i="30"/>
  <c r="AK1061" i="30"/>
  <c r="AK1060" i="30"/>
  <c r="AK1059" i="30"/>
  <c r="AK1058" i="30"/>
  <c r="AK1057" i="30"/>
  <c r="AK1056" i="30"/>
  <c r="AK1055" i="30"/>
  <c r="AK1054" i="30"/>
  <c r="AK1053" i="30"/>
  <c r="AK1052" i="30"/>
  <c r="AK1051" i="30"/>
  <c r="AK1050" i="30"/>
  <c r="AK1049" i="30"/>
  <c r="AK1048" i="30"/>
  <c r="AK1047" i="30"/>
  <c r="AK1046" i="30"/>
  <c r="AK1045" i="30"/>
  <c r="AK1044" i="30"/>
  <c r="AK1043" i="30"/>
  <c r="AK1042" i="30"/>
  <c r="AK1041" i="30"/>
  <c r="AK1040" i="30"/>
  <c r="AK1039" i="30"/>
  <c r="AK1038" i="30"/>
  <c r="AK1037" i="30"/>
  <c r="AK1036" i="30"/>
  <c r="AK1035" i="30"/>
  <c r="AK1034" i="30"/>
  <c r="AK1033" i="30"/>
  <c r="AK1032" i="30"/>
  <c r="AK1031" i="30"/>
  <c r="AK1030" i="30"/>
  <c r="AK1029" i="30"/>
  <c r="AK1028" i="30"/>
  <c r="AK1027" i="30"/>
  <c r="AK1026" i="30"/>
  <c r="AK1025" i="30"/>
  <c r="AK1024" i="30"/>
  <c r="AK1023" i="30"/>
  <c r="AK1022" i="30"/>
  <c r="AK1021" i="30"/>
  <c r="AK1020" i="30"/>
  <c r="AK1019" i="30"/>
  <c r="AK1018" i="30"/>
  <c r="AK1017" i="30"/>
  <c r="AK1016" i="30"/>
  <c r="AK1015" i="30"/>
  <c r="AK1014" i="30"/>
  <c r="AK1013" i="30"/>
  <c r="AK1012" i="30"/>
  <c r="AK1011" i="30"/>
  <c r="AK1010" i="30"/>
  <c r="AK1009" i="30"/>
  <c r="AK1008" i="30"/>
  <c r="AK1007" i="30"/>
  <c r="AK1006" i="30"/>
  <c r="AK1005" i="30"/>
  <c r="AK1004" i="30"/>
  <c r="AK1003" i="30"/>
  <c r="AK1002" i="30"/>
  <c r="AK1001" i="30"/>
  <c r="AK1000" i="30"/>
  <c r="AK999" i="30"/>
  <c r="AK998" i="30"/>
  <c r="AK997" i="30"/>
  <c r="AK996" i="30"/>
  <c r="AK995" i="30"/>
  <c r="AK994" i="30"/>
  <c r="AK993" i="30"/>
  <c r="AK992" i="30"/>
  <c r="AK991" i="30"/>
  <c r="AK990" i="30"/>
  <c r="AK989" i="30"/>
  <c r="AK988" i="30"/>
  <c r="AK987" i="30"/>
  <c r="AK986" i="30"/>
  <c r="AK985" i="30"/>
  <c r="AK984" i="30"/>
  <c r="AK983" i="30"/>
  <c r="AK982" i="30"/>
  <c r="AK981" i="30"/>
  <c r="AK980" i="30"/>
  <c r="AK979" i="30"/>
  <c r="AK978" i="30"/>
  <c r="AK977" i="30"/>
  <c r="AK976" i="30"/>
  <c r="AK975" i="30"/>
  <c r="AK974" i="30"/>
  <c r="AK973" i="30"/>
  <c r="AK972" i="30"/>
  <c r="AK971" i="30"/>
  <c r="AK970" i="30"/>
  <c r="AK969" i="30"/>
  <c r="AK968" i="30"/>
  <c r="AK967" i="30"/>
  <c r="AK966" i="30"/>
  <c r="AK965" i="30"/>
  <c r="AK964" i="30"/>
  <c r="AK963" i="30"/>
  <c r="AK962" i="30"/>
  <c r="AK961" i="30"/>
  <c r="AK960" i="30"/>
  <c r="AK959" i="30"/>
  <c r="AK958" i="30"/>
  <c r="AK957" i="30"/>
  <c r="AK956" i="30"/>
  <c r="AK955" i="30"/>
  <c r="AK954" i="30"/>
  <c r="AK953" i="30"/>
  <c r="AK952" i="30"/>
  <c r="AK951" i="30"/>
  <c r="AK950" i="30"/>
  <c r="AK949" i="30"/>
  <c r="AK948" i="30"/>
  <c r="AK947" i="30"/>
  <c r="AK946" i="30"/>
  <c r="AK945" i="30"/>
  <c r="AK944" i="30"/>
  <c r="AK943" i="30"/>
  <c r="AK942" i="30"/>
  <c r="AK941" i="30"/>
  <c r="AK940" i="30"/>
  <c r="AK939" i="30"/>
  <c r="AK938" i="30"/>
  <c r="AK937" i="30"/>
  <c r="AK936" i="30"/>
  <c r="AK935" i="30"/>
  <c r="AK934" i="30"/>
  <c r="AK933" i="30"/>
  <c r="AK932" i="30"/>
  <c r="AK931" i="30"/>
  <c r="AK930" i="30"/>
  <c r="AK929" i="30"/>
  <c r="AK928" i="30"/>
  <c r="AK927" i="30"/>
  <c r="AK926" i="30"/>
  <c r="AK925" i="30"/>
  <c r="AK924" i="30"/>
  <c r="AK923" i="30"/>
  <c r="AK922" i="30"/>
  <c r="AK921" i="30"/>
  <c r="AK920" i="30"/>
  <c r="O49" i="30"/>
  <c r="O47" i="30"/>
  <c r="AJ43" i="30"/>
  <c r="AI43" i="30"/>
  <c r="AH43" i="30"/>
  <c r="AG43" i="30"/>
  <c r="AF43" i="30"/>
  <c r="AE43" i="30"/>
  <c r="AD43" i="30"/>
  <c r="AC43" i="30"/>
  <c r="AB43" i="30"/>
  <c r="AA43" i="30"/>
  <c r="Z43" i="30"/>
  <c r="Y43" i="30"/>
  <c r="X43" i="30"/>
  <c r="W43" i="30"/>
  <c r="V43" i="30"/>
  <c r="U43" i="30"/>
  <c r="T43" i="30"/>
  <c r="S43" i="30"/>
  <c r="AK41" i="30"/>
  <c r="AJ41" i="30"/>
  <c r="AI41" i="30"/>
  <c r="AH41" i="30"/>
  <c r="AG41" i="30"/>
  <c r="AF41" i="30"/>
  <c r="AE41" i="30"/>
  <c r="AD41" i="30"/>
  <c r="AC41" i="30"/>
  <c r="AB41" i="30"/>
  <c r="AA41" i="30"/>
  <c r="Z41" i="30"/>
  <c r="Y41" i="30"/>
  <c r="X41" i="30"/>
  <c r="W41" i="30"/>
  <c r="V41" i="30"/>
  <c r="U41" i="30"/>
  <c r="T41" i="30"/>
  <c r="S41" i="30"/>
  <c r="R41" i="30"/>
  <c r="Q41" i="30"/>
  <c r="P41" i="30"/>
  <c r="O41" i="30"/>
  <c r="W38" i="30"/>
  <c r="AI38" i="30" s="1"/>
  <c r="O33" i="30"/>
  <c r="O32" i="30"/>
  <c r="O12" i="30" s="1"/>
  <c r="AL28" i="30"/>
  <c r="AJ22" i="30"/>
  <c r="AI22" i="30"/>
  <c r="AH22" i="30"/>
  <c r="AG22" i="30"/>
  <c r="AF22" i="30"/>
  <c r="AE22" i="30"/>
  <c r="AD22" i="30"/>
  <c r="AC22" i="30"/>
  <c r="AB22" i="30"/>
  <c r="AA22" i="30"/>
  <c r="Z22" i="30"/>
  <c r="Y22" i="30"/>
  <c r="X22" i="30"/>
  <c r="W22" i="30"/>
  <c r="V22" i="30"/>
  <c r="U22" i="30"/>
  <c r="T22" i="30"/>
  <c r="S22" i="30"/>
  <c r="R22" i="30"/>
  <c r="Q22" i="30"/>
  <c r="P22" i="30"/>
  <c r="O22" i="30"/>
  <c r="V21" i="30"/>
  <c r="O15" i="30"/>
  <c r="D14" i="30"/>
  <c r="H14" i="30" s="1"/>
  <c r="AK12" i="30"/>
  <c r="AJ12" i="30"/>
  <c r="AI12" i="30"/>
  <c r="AH12" i="30"/>
  <c r="AG12" i="30"/>
  <c r="AF12" i="30"/>
  <c r="AE12" i="30"/>
  <c r="AD12" i="30"/>
  <c r="D12" i="30"/>
  <c r="H12" i="30" s="1"/>
  <c r="D11" i="30"/>
  <c r="H11" i="30" s="1"/>
  <c r="D10" i="30"/>
  <c r="AI6" i="30"/>
  <c r="Q24" i="30" l="1"/>
  <c r="Q30" i="30" s="1"/>
  <c r="P24" i="30"/>
  <c r="P30" i="30" s="1"/>
  <c r="D15" i="30"/>
  <c r="O44" i="30"/>
  <c r="O34" i="30"/>
  <c r="H10" i="30"/>
  <c r="V40" i="30"/>
  <c r="AI40" i="30" s="1"/>
  <c r="AI21" i="30"/>
  <c r="H15" i="30" l="1"/>
  <c r="O24" i="30"/>
  <c r="O30" i="30" l="1"/>
  <c r="M24" i="30"/>
  <c r="AL24" i="30"/>
  <c r="M30" i="30" l="1"/>
  <c r="AL30" i="30"/>
  <c r="E26" i="32" l="1"/>
  <c r="F26" i="32" s="1"/>
  <c r="E8" i="32" l="1"/>
  <c r="F8" i="32" s="1"/>
  <c r="E14" i="32"/>
  <c r="F14" i="32" s="1"/>
  <c r="E15" i="32" l="1"/>
  <c r="F15" i="32" s="1"/>
  <c r="E13" i="32"/>
  <c r="F13" i="32" s="1"/>
  <c r="E12" i="32"/>
  <c r="F12" i="32" s="1"/>
  <c r="F27" i="32" s="1"/>
  <c r="F30" i="32" s="1"/>
  <c r="O14" i="12" l="1"/>
  <c r="K14" i="12"/>
  <c r="K15" i="12"/>
  <c r="C2" i="12" l="1"/>
  <c r="B9" i="8" l="1"/>
  <c r="D113" i="18" l="1"/>
  <c r="L86" i="18"/>
  <c r="G86" i="18" l="1"/>
  <c r="D67" i="18"/>
  <c r="D66" i="18"/>
  <c r="E49" i="18"/>
  <c r="D59" i="18"/>
  <c r="D37" i="18"/>
  <c r="D36" i="18"/>
  <c r="D35" i="18"/>
  <c r="D34" i="18"/>
  <c r="E29" i="18"/>
  <c r="D33" i="18"/>
  <c r="E37" i="18" l="1"/>
  <c r="E36" i="18"/>
  <c r="E35" i="18"/>
  <c r="E34" i="18"/>
  <c r="E33" i="18"/>
  <c r="F33" i="18" s="1"/>
  <c r="E32" i="18"/>
  <c r="D32" i="18" l="1"/>
  <c r="F107" i="18"/>
  <c r="E106" i="18"/>
  <c r="F106" i="18" s="1"/>
  <c r="D20" i="18"/>
  <c r="D97" i="18"/>
  <c r="D13" i="18" s="1"/>
  <c r="D58" i="18"/>
  <c r="D60" i="18" s="1"/>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F53" i="18" l="1"/>
  <c r="F52" i="18"/>
  <c r="D22" i="18"/>
  <c r="G80" i="18"/>
  <c r="D9" i="18"/>
  <c r="G55" i="18" s="1"/>
  <c r="D47" i="18"/>
  <c r="G52" i="18" s="1"/>
  <c r="D61" i="18"/>
  <c r="F55" i="18" s="1"/>
  <c r="G79" i="18"/>
  <c r="D92" i="18"/>
  <c r="D99" i="18"/>
  <c r="F32" i="18"/>
  <c r="E93" i="18"/>
  <c r="F93" i="18" s="1"/>
  <c r="F49" i="18"/>
  <c r="H54" i="18" s="1"/>
  <c r="D100" i="18"/>
  <c r="F54" i="18"/>
  <c r="G54" i="18" l="1"/>
  <c r="H55" i="18"/>
  <c r="G53" i="18"/>
  <c r="G56" i="18" s="1"/>
  <c r="E47" i="18" s="1"/>
  <c r="D21" i="18"/>
  <c r="D23" i="18" s="1"/>
  <c r="D24" i="18" s="1"/>
  <c r="D16" i="18"/>
  <c r="H52" i="18"/>
  <c r="F56" i="18"/>
  <c r="E48" i="18" s="1"/>
  <c r="E92" i="18"/>
  <c r="F92" i="18" s="1"/>
  <c r="D65" i="18"/>
  <c r="D69" i="18" s="1"/>
  <c r="H53" i="18" l="1"/>
  <c r="H47" i="18" s="1"/>
  <c r="D15" i="18"/>
  <c r="D70" i="18"/>
  <c r="D71" i="18" s="1"/>
  <c r="F48" i="18"/>
  <c r="F47" i="18"/>
  <c r="D17" i="18"/>
  <c r="D18" i="18" s="1"/>
  <c r="D19" i="18" l="1"/>
  <c r="D28" i="18" s="1"/>
  <c r="F28" i="18" s="1"/>
  <c r="D29" i="18"/>
  <c r="F29" i="18" s="1"/>
  <c r="F30" i="18" l="1"/>
  <c r="AT9" i="6" l="1"/>
  <c r="AS9" i="6"/>
  <c r="AR9" i="6"/>
  <c r="AT6" i="6" l="1"/>
  <c r="L11" i="12" l="1"/>
  <c r="L15" i="12" s="1"/>
  <c r="L14" i="12" l="1"/>
  <c r="P14" i="12" s="1"/>
  <c r="Q14" i="12" s="1"/>
  <c r="P15" i="12"/>
  <c r="Q15" i="12" s="1"/>
  <c r="D62" i="15"/>
  <c r="D61" i="15"/>
  <c r="D60" i="15"/>
  <c r="D58" i="15"/>
  <c r="D55" i="15" l="1"/>
  <c r="D56" i="15" l="1"/>
  <c r="L13" i="12"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G8" i="12" l="1"/>
  <c r="A47" i="12"/>
  <c r="A48" i="12" s="1"/>
  <c r="A49" i="12" s="1"/>
  <c r="A50" i="12" s="1"/>
  <c r="A51" i="12" s="1"/>
  <c r="A52" i="12" s="1"/>
  <c r="A53" i="12" s="1"/>
  <c r="A54" i="12" s="1"/>
  <c r="O25" i="12"/>
  <c r="J25" i="12"/>
  <c r="P25" i="12" s="1"/>
  <c r="N18" i="12"/>
  <c r="J18" i="12"/>
  <c r="A55" i="12" l="1"/>
  <c r="A56" i="12"/>
  <c r="A57" i="12" s="1"/>
  <c r="Q25" i="12"/>
  <c r="K13" i="12"/>
  <c r="A58" i="12" l="1"/>
  <c r="P13" i="12"/>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E8" i="12" l="1"/>
  <c r="E16" i="12" s="1"/>
  <c r="F16" i="12" s="1"/>
  <c r="P16" i="12" s="1"/>
  <c r="E25" i="12"/>
  <c r="E13" i="12" l="1"/>
  <c r="C68" i="15"/>
  <c r="C23" i="15" s="1"/>
  <c r="F13" i="12" l="1"/>
  <c r="H13" i="12" s="1"/>
  <c r="O13" i="12" s="1"/>
  <c r="O18" i="12" s="1"/>
  <c r="C46" i="12" s="1"/>
  <c r="C59" i="15"/>
  <c r="I68" i="15"/>
  <c r="E23" i="15"/>
  <c r="F18" i="12" l="1"/>
  <c r="C18" i="15"/>
  <c r="E18" i="15" s="1"/>
  <c r="D66" i="15"/>
  <c r="F66" i="15" s="1"/>
  <c r="I66" i="15" s="1"/>
  <c r="I59" i="15"/>
  <c r="C55" i="15"/>
  <c r="Q13" i="12"/>
  <c r="N17" i="12" l="1"/>
  <c r="P17" i="12" s="1"/>
  <c r="C69" i="15"/>
  <c r="G69" i="15"/>
  <c r="H70" i="15"/>
  <c r="I70" i="15" s="1"/>
  <c r="C16" i="15"/>
  <c r="D63" i="15"/>
  <c r="I55" i="15"/>
  <c r="P18" i="12" l="1"/>
  <c r="Q17" i="12"/>
  <c r="Q18" i="12" s="1"/>
  <c r="D27" i="12" s="1"/>
  <c r="D24" i="15"/>
  <c r="G72" i="15"/>
  <c r="G73" i="15"/>
  <c r="C24" i="15"/>
  <c r="I69" i="15"/>
  <c r="F63" i="15"/>
  <c r="I63" i="15" s="1"/>
  <c r="C54" i="15"/>
  <c r="D54" i="15"/>
  <c r="E16" i="15"/>
  <c r="S23" i="12" l="1"/>
  <c r="D46" i="12"/>
  <c r="R23" i="12"/>
  <c r="E24" i="15"/>
  <c r="D28" i="15"/>
  <c r="E28" i="15" s="1"/>
  <c r="D72" i="15"/>
  <c r="F54" i="15"/>
  <c r="D15" i="15" s="1"/>
  <c r="C15" i="15"/>
  <c r="D21" i="15"/>
  <c r="E21" i="15" s="1"/>
  <c r="F10" i="6"/>
  <c r="D29" i="15" l="1"/>
  <c r="E29" i="15" s="1"/>
  <c r="D26" i="15"/>
  <c r="I54" i="15"/>
  <c r="F73" i="15"/>
  <c r="F72" i="15"/>
  <c r="E15" i="15"/>
  <c r="AT58" i="6"/>
  <c r="AT57" i="6"/>
  <c r="AT55" i="6"/>
  <c r="AT54" i="6"/>
  <c r="AT19" i="6"/>
  <c r="D30" i="15" l="1"/>
  <c r="E30" i="15" s="1"/>
  <c r="P46" i="6"/>
  <c r="C50" i="12" l="1"/>
  <c r="C48" i="12"/>
  <c r="D50" i="12" l="1"/>
  <c r="F50" i="12" l="1"/>
  <c r="G50" i="12" s="1"/>
  <c r="C55" i="12"/>
  <c r="C49" i="12" l="1"/>
  <c r="F55" i="12"/>
  <c r="G55" i="12" s="1"/>
  <c r="D49" i="12"/>
  <c r="D48" i="12" l="1"/>
  <c r="F48" i="12" s="1"/>
  <c r="G48" i="12" s="1"/>
  <c r="F49" i="12"/>
  <c r="G49" i="12" s="1"/>
  <c r="G46" i="12" l="1"/>
  <c r="C53" i="12" l="1"/>
  <c r="P44" i="6" l="1"/>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A44" i="6" l="1"/>
  <c r="B11" i="8" l="1"/>
  <c r="B10" i="8"/>
  <c r="D51" i="12" l="1"/>
  <c r="F51" i="12" l="1"/>
  <c r="G51" i="12" s="1"/>
  <c r="AS54" i="6" l="1"/>
  <c r="AS57" i="6"/>
  <c r="AS55" i="6" l="1"/>
  <c r="AS58" i="6"/>
  <c r="D47" i="12"/>
  <c r="F47" i="12" l="1"/>
  <c r="G47" i="12" s="1"/>
  <c r="D52" i="12" l="1"/>
  <c r="C52" i="12"/>
  <c r="F52" i="12" l="1"/>
  <c r="G52" i="12" s="1"/>
  <c r="C67" i="15" l="1"/>
  <c r="C72" i="15" l="1"/>
  <c r="C22" i="15"/>
  <c r="I67" i="15"/>
  <c r="C54" i="12"/>
  <c r="E22" i="15" l="1"/>
  <c r="C26" i="15"/>
  <c r="D31" i="15"/>
  <c r="D32" i="15" s="1"/>
  <c r="F54" i="12"/>
  <c r="G54" i="12" s="1"/>
  <c r="C57" i="12"/>
  <c r="C60" i="12" s="1"/>
  <c r="E32" i="15" l="1"/>
  <c r="H73" i="15"/>
  <c r="I73" i="15" s="1"/>
  <c r="D35" i="15" s="1"/>
  <c r="E35" i="15" s="1"/>
  <c r="E31" i="15"/>
  <c r="D33" i="15"/>
  <c r="E26" i="15"/>
  <c r="C34" i="15"/>
  <c r="C36" i="15" s="1"/>
  <c r="E33" i="15" l="1"/>
  <c r="D34" i="15"/>
  <c r="D36" i="15" s="1"/>
  <c r="D56" i="12" l="1"/>
  <c r="G56" i="12" s="1"/>
  <c r="E34" i="15"/>
  <c r="E36" i="15" s="1"/>
  <c r="H71" i="15"/>
  <c r="I71" i="15" l="1"/>
  <c r="I72" i="15" s="1"/>
  <c r="I74" i="15" s="1"/>
  <c r="H72" i="15"/>
  <c r="D53" i="12" l="1"/>
  <c r="F53" i="12" s="1"/>
  <c r="G53" i="12" s="1"/>
  <c r="C12" i="6"/>
  <c r="D16" i="6" s="1"/>
  <c r="D57" i="12" l="1"/>
  <c r="F57" i="12" s="1"/>
  <c r="G57" i="12" s="1"/>
  <c r="Y48" i="6"/>
  <c r="Z48" i="6"/>
  <c r="J15" i="30" l="1"/>
  <c r="R48" i="30" s="1"/>
  <c r="D59" i="12"/>
  <c r="S48" i="30" l="1"/>
  <c r="C13" i="30"/>
  <c r="G59" i="12"/>
  <c r="C6" i="6"/>
  <c r="L48" i="30" l="1"/>
  <c r="C14" i="30"/>
  <c r="G14" i="30" s="1"/>
  <c r="E13" i="30"/>
  <c r="C10" i="30"/>
  <c r="O43" i="30" s="1"/>
  <c r="C12" i="30"/>
  <c r="C11" i="30"/>
  <c r="P43" i="30" s="1"/>
  <c r="C7" i="6"/>
  <c r="C8" i="6"/>
  <c r="E6" i="6"/>
  <c r="D6" i="6"/>
  <c r="C9" i="6"/>
  <c r="C10" i="6"/>
  <c r="R43" i="30" l="1"/>
  <c r="C15" i="30"/>
  <c r="K43" i="30" s="1"/>
  <c r="Q43" i="30"/>
  <c r="D8" i="6"/>
  <c r="E10" i="30"/>
  <c r="E11" i="30"/>
  <c r="D9" i="6"/>
  <c r="E14" i="30"/>
  <c r="I14" i="30" s="1"/>
  <c r="D10" i="6"/>
  <c r="E12" i="30"/>
  <c r="O45" i="30"/>
  <c r="E9" i="6"/>
  <c r="E10" i="6"/>
  <c r="E8" i="6"/>
  <c r="D7" i="6"/>
  <c r="Z44" i="6"/>
  <c r="Y44" i="6"/>
  <c r="E27" i="6"/>
  <c r="E7" i="6"/>
  <c r="X44" i="6"/>
  <c r="E26" i="6"/>
  <c r="G26" i="6" s="1"/>
  <c r="C11" i="6"/>
  <c r="L43" i="30" l="1"/>
  <c r="G10" i="6"/>
  <c r="I10" i="6" s="1"/>
  <c r="K10" i="6" s="1"/>
  <c r="E15" i="30"/>
  <c r="F11" i="30"/>
  <c r="G11" i="30" s="1"/>
  <c r="F12" i="30"/>
  <c r="G12" i="30" s="1"/>
  <c r="D11" i="6"/>
  <c r="F10" i="30"/>
  <c r="I10" i="30" s="1"/>
  <c r="O25" i="30" s="1"/>
  <c r="F13" i="30"/>
  <c r="O52" i="30"/>
  <c r="O51" i="30"/>
  <c r="E11" i="6"/>
  <c r="F7" i="6"/>
  <c r="U44" i="6"/>
  <c r="AS44" i="6"/>
  <c r="F9" i="6"/>
  <c r="G9" i="6" s="1"/>
  <c r="F8" i="6"/>
  <c r="G8" i="6" s="1"/>
  <c r="AT44" i="6"/>
  <c r="H10" i="6" l="1"/>
  <c r="I11" i="30"/>
  <c r="P25" i="30" s="1"/>
  <c r="G10" i="30"/>
  <c r="F15" i="30"/>
  <c r="I12" i="30"/>
  <c r="Q25" i="30" s="1"/>
  <c r="I13" i="30"/>
  <c r="R25" i="30" s="1"/>
  <c r="G13" i="30"/>
  <c r="O31" i="30"/>
  <c r="O26" i="30"/>
  <c r="H9" i="6"/>
  <c r="I9" i="6"/>
  <c r="G7" i="6"/>
  <c r="F11" i="6"/>
  <c r="H8" i="6"/>
  <c r="Y21" i="6" s="1"/>
  <c r="Y27" i="6" s="1"/>
  <c r="I8" i="6"/>
  <c r="Z21" i="6" l="1"/>
  <c r="Z27" i="6" s="1"/>
  <c r="G15" i="30"/>
  <c r="K15" i="30" s="1"/>
  <c r="BL13" i="30" s="1"/>
  <c r="P31" i="30"/>
  <c r="AL25" i="30"/>
  <c r="Q31" i="30"/>
  <c r="M25" i="30"/>
  <c r="M26" i="30" s="1"/>
  <c r="O35" i="30"/>
  <c r="O36" i="30" s="1"/>
  <c r="I15" i="30"/>
  <c r="R31" i="30"/>
  <c r="G11" i="6"/>
  <c r="D15" i="6" s="1"/>
  <c r="D17" i="6" s="1"/>
  <c r="H7" i="6"/>
  <c r="I7" i="6"/>
  <c r="K8" i="6"/>
  <c r="Y22" i="6"/>
  <c r="Y28" i="6" s="1"/>
  <c r="Z22" i="6"/>
  <c r="Z28" i="6" s="1"/>
  <c r="K9" i="6"/>
  <c r="F32" i="37" l="1"/>
  <c r="F33" i="37" s="1"/>
  <c r="F34" i="37" s="1"/>
  <c r="AN12" i="30"/>
  <c r="AL31" i="30"/>
  <c r="M31" i="30"/>
  <c r="W33" i="30" s="1"/>
  <c r="O37" i="30"/>
  <c r="I11" i="6"/>
  <c r="X22" i="6"/>
  <c r="K7" i="6"/>
  <c r="K11" i="6" s="1"/>
  <c r="AZ12" i="6"/>
  <c r="AZ8" i="6"/>
  <c r="AZ9" i="6" s="1"/>
  <c r="X65" i="6"/>
  <c r="AV9" i="6"/>
  <c r="D58" i="12"/>
  <c r="D60" i="12" s="1"/>
  <c r="H11" i="6"/>
  <c r="X21" i="6"/>
  <c r="D17" i="30" l="1"/>
  <c r="AN13" i="30"/>
  <c r="P13" i="30" s="1"/>
  <c r="AN16" i="30"/>
  <c r="AK48" i="30"/>
  <c r="AA33" i="30"/>
  <c r="X33" i="30"/>
  <c r="Y33" i="30"/>
  <c r="V33" i="30"/>
  <c r="Q33" i="30"/>
  <c r="R32" i="30" s="1"/>
  <c r="S33" i="30"/>
  <c r="U33" i="30"/>
  <c r="AB33" i="30"/>
  <c r="Z33" i="30"/>
  <c r="T33" i="30"/>
  <c r="G58" i="12"/>
  <c r="Y9" i="6"/>
  <c r="M11" i="6"/>
  <c r="M13" i="6" s="1"/>
  <c r="X27" i="6"/>
  <c r="V21" i="6"/>
  <c r="X28" i="6"/>
  <c r="Y30" i="6" s="1"/>
  <c r="V22" i="6"/>
  <c r="AJ11" i="30" l="1"/>
  <c r="AJ23" i="30" s="1"/>
  <c r="R11" i="30"/>
  <c r="R23" i="30" s="1"/>
  <c r="P11" i="30"/>
  <c r="P23" i="30" s="1"/>
  <c r="AA11" i="30"/>
  <c r="AA23" i="30" s="1"/>
  <c r="Z11" i="30"/>
  <c r="Z23" i="30" s="1"/>
  <c r="AD11" i="30"/>
  <c r="AD23" i="30" s="1"/>
  <c r="AG11" i="30"/>
  <c r="AG23" i="30" s="1"/>
  <c r="AK11" i="30"/>
  <c r="S11" i="30"/>
  <c r="S23" i="30" s="1"/>
  <c r="AF11" i="30"/>
  <c r="AF23" i="30" s="1"/>
  <c r="X11" i="30"/>
  <c r="X23" i="30" s="1"/>
  <c r="Y11" i="30"/>
  <c r="Y23" i="30" s="1"/>
  <c r="AH11" i="30"/>
  <c r="AH23" i="30" s="1"/>
  <c r="Q11" i="30"/>
  <c r="Q23" i="30" s="1"/>
  <c r="V11" i="30"/>
  <c r="V23" i="30" s="1"/>
  <c r="AE11" i="30"/>
  <c r="AE23" i="30" s="1"/>
  <c r="AB11" i="30"/>
  <c r="AB23" i="30" s="1"/>
  <c r="T11" i="30"/>
  <c r="T23" i="30" s="1"/>
  <c r="AC11" i="30"/>
  <c r="AC23" i="30" s="1"/>
  <c r="AI11" i="30"/>
  <c r="AI23" i="30" s="1"/>
  <c r="W11" i="30"/>
  <c r="W23" i="30" s="1"/>
  <c r="U11" i="30"/>
  <c r="U23" i="30" s="1"/>
  <c r="AN14" i="30"/>
  <c r="AO12" i="30" s="1"/>
  <c r="AO13" i="30" s="1"/>
  <c r="Q13" i="30" s="1"/>
  <c r="X32" i="30"/>
  <c r="X12" i="30" s="1"/>
  <c r="AA32" i="30"/>
  <c r="AA12" i="30" s="1"/>
  <c r="S32" i="30"/>
  <c r="S12" i="30" s="1"/>
  <c r="W32" i="30"/>
  <c r="W12" i="30" s="1"/>
  <c r="V32" i="30"/>
  <c r="V12" i="30" s="1"/>
  <c r="T32" i="30"/>
  <c r="T12" i="30" s="1"/>
  <c r="AL33" i="30"/>
  <c r="M33" i="30"/>
  <c r="U32" i="30"/>
  <c r="U12" i="30" s="1"/>
  <c r="Y32" i="30"/>
  <c r="Y12" i="30" s="1"/>
  <c r="Z32" i="30"/>
  <c r="Z12" i="30" s="1"/>
  <c r="AB32" i="30"/>
  <c r="AB12" i="30" s="1"/>
  <c r="R12" i="30"/>
  <c r="G60" i="12"/>
  <c r="F65" i="12" s="1"/>
  <c r="AI32" i="6"/>
  <c r="AG32" i="6"/>
  <c r="AE32" i="6"/>
  <c r="AC32" i="6"/>
  <c r="AA32" i="6"/>
  <c r="AJ32" i="6"/>
  <c r="AH32" i="6"/>
  <c r="AF32" i="6"/>
  <c r="AD32" i="6"/>
  <c r="AB32" i="6"/>
  <c r="Z30" i="6"/>
  <c r="X30" i="6"/>
  <c r="X8" i="6" s="1"/>
  <c r="V23" i="6"/>
  <c r="AZ10" i="6"/>
  <c r="BA8" i="6" s="1"/>
  <c r="W47" i="30" l="1"/>
  <c r="W49" i="30" s="1"/>
  <c r="W26" i="30"/>
  <c r="AB26" i="30"/>
  <c r="AB47" i="30"/>
  <c r="AB49" i="30" s="1"/>
  <c r="AH47" i="30"/>
  <c r="AH49" i="30" s="1"/>
  <c r="AH26" i="30"/>
  <c r="S47" i="30"/>
  <c r="S49" i="30" s="1"/>
  <c r="S26" i="30"/>
  <c r="Z47" i="30"/>
  <c r="Z49" i="30" s="1"/>
  <c r="Z26" i="30"/>
  <c r="AJ47" i="30"/>
  <c r="AJ49" i="30" s="1"/>
  <c r="AJ26" i="30"/>
  <c r="Q14" i="30"/>
  <c r="Q15" i="30" s="1"/>
  <c r="Q44" i="30" s="1"/>
  <c r="Q45" i="30" s="1"/>
  <c r="AI47" i="30"/>
  <c r="AI49" i="30" s="1"/>
  <c r="AI26" i="30"/>
  <c r="AE26" i="30"/>
  <c r="AE47" i="30"/>
  <c r="AE49" i="30" s="1"/>
  <c r="Y26" i="30"/>
  <c r="Y47" i="30"/>
  <c r="Y49" i="30" s="1"/>
  <c r="AK23" i="30"/>
  <c r="AK14" i="30"/>
  <c r="AA26" i="30"/>
  <c r="AA47" i="30"/>
  <c r="AA49" i="30" s="1"/>
  <c r="AC26" i="30"/>
  <c r="AC47" i="30"/>
  <c r="AC49" i="30" s="1"/>
  <c r="V47" i="30"/>
  <c r="V49" i="30" s="1"/>
  <c r="V26" i="30"/>
  <c r="X26" i="30"/>
  <c r="X47" i="30"/>
  <c r="X49" i="30" s="1"/>
  <c r="AG47" i="30"/>
  <c r="AG49" i="30" s="1"/>
  <c r="AG26" i="30"/>
  <c r="P47" i="30"/>
  <c r="P49" i="30" s="1"/>
  <c r="AL23" i="30"/>
  <c r="P26" i="30"/>
  <c r="U26" i="30"/>
  <c r="U47" i="30"/>
  <c r="U49" i="30" s="1"/>
  <c r="T26" i="30"/>
  <c r="T47" i="30"/>
  <c r="T49" i="30" s="1"/>
  <c r="Q47" i="30"/>
  <c r="Q49" i="30" s="1"/>
  <c r="Q26" i="30"/>
  <c r="AF26" i="30"/>
  <c r="AF47" i="30"/>
  <c r="AF49" i="30" s="1"/>
  <c r="AD47" i="30"/>
  <c r="AD49" i="30" s="1"/>
  <c r="AD26" i="30"/>
  <c r="R47" i="30"/>
  <c r="R49" i="30" s="1"/>
  <c r="R26" i="30"/>
  <c r="P14" i="30"/>
  <c r="AO14" i="30"/>
  <c r="AP12" i="30" s="1"/>
  <c r="AP13" i="30" s="1"/>
  <c r="R13" i="30" s="1"/>
  <c r="R14" i="30" s="1"/>
  <c r="F38" i="18"/>
  <c r="F39" i="18" s="1"/>
  <c r="F40" i="18" s="1"/>
  <c r="E15" i="8"/>
  <c r="AL32" i="30"/>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Q34" i="30" l="1"/>
  <c r="Q35" i="30" s="1"/>
  <c r="Q36" i="30" s="1"/>
  <c r="Q17" i="30"/>
  <c r="AL26" i="30"/>
  <c r="AK15" i="30"/>
  <c r="AK17" i="30" s="1"/>
  <c r="AK47" i="30"/>
  <c r="AK49" i="30" s="1"/>
  <c r="AK26" i="30"/>
  <c r="P15" i="30"/>
  <c r="P17" i="30" s="1"/>
  <c r="P18" i="30" s="1"/>
  <c r="R15" i="30"/>
  <c r="R17" i="30" s="1"/>
  <c r="AP14" i="30"/>
  <c r="AQ12" i="30" s="1"/>
  <c r="AQ13" i="30" s="1"/>
  <c r="S13" i="30" s="1"/>
  <c r="S14" i="30" s="1"/>
  <c r="S15" i="30" s="1"/>
  <c r="S44" i="30" s="1"/>
  <c r="S45" i="30" s="1"/>
  <c r="Q51" i="30"/>
  <c r="Q52" i="30"/>
  <c r="E17" i="8"/>
  <c r="D14" i="6"/>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Q18" i="30" l="1"/>
  <c r="R18" i="30" s="1"/>
  <c r="AK34" i="30"/>
  <c r="AK35" i="30" s="1"/>
  <c r="AK36" i="30" s="1"/>
  <c r="AK44" i="30"/>
  <c r="AK45" i="30" s="1"/>
  <c r="AK52" i="30" s="1"/>
  <c r="P44" i="30"/>
  <c r="P45" i="30" s="1"/>
  <c r="P34" i="30"/>
  <c r="P35" i="30" s="1"/>
  <c r="P36" i="30" s="1"/>
  <c r="P37" i="30" s="1"/>
  <c r="S17" i="30"/>
  <c r="S34" i="30"/>
  <c r="S35" i="30" s="1"/>
  <c r="S36" i="30" s="1"/>
  <c r="AQ14" i="30"/>
  <c r="AR12" i="30" s="1"/>
  <c r="AR13" i="30" s="1"/>
  <c r="R34" i="30"/>
  <c r="R35" i="30" s="1"/>
  <c r="R36" i="30" s="1"/>
  <c r="R44" i="30"/>
  <c r="R45" i="30" s="1"/>
  <c r="F47" i="6"/>
  <c r="G47" i="6" s="1"/>
  <c r="Y7" i="6"/>
  <c r="AR7" i="6"/>
  <c r="AR20" i="6" s="1"/>
  <c r="AE7" i="6"/>
  <c r="AQ7" i="6"/>
  <c r="AQ20" i="6" s="1"/>
  <c r="AK7" i="6"/>
  <c r="AK20" i="6" s="1"/>
  <c r="AL7" i="6"/>
  <c r="AL20" i="6" s="1"/>
  <c r="Z7" i="6"/>
  <c r="AI7" i="6"/>
  <c r="AA7" i="6"/>
  <c r="AA10" i="6" s="1"/>
  <c r="AA11" i="6" s="1"/>
  <c r="H29" i="6" s="1"/>
  <c r="AH7" i="6"/>
  <c r="AO7" i="6"/>
  <c r="AO20" i="6" s="1"/>
  <c r="F48" i="6"/>
  <c r="G48" i="6" s="1"/>
  <c r="AP7" i="6"/>
  <c r="AP20" i="6" s="1"/>
  <c r="AB7" i="6"/>
  <c r="F27" i="6"/>
  <c r="G27" i="6" s="1"/>
  <c r="AF7" i="6"/>
  <c r="AN7" i="6"/>
  <c r="AN20" i="6" s="1"/>
  <c r="AC7" i="6"/>
  <c r="AG7" i="6"/>
  <c r="AT7" i="6"/>
  <c r="AM7" i="6"/>
  <c r="AM20" i="6" s="1"/>
  <c r="AJ7" i="6"/>
  <c r="AS7" i="6"/>
  <c r="X7" i="6"/>
  <c r="AD7" i="6"/>
  <c r="S51" i="30"/>
  <c r="S52" i="30"/>
  <c r="BB10" i="6"/>
  <c r="BC8" i="6" s="1"/>
  <c r="S18" i="30" l="1"/>
  <c r="Q37" i="30"/>
  <c r="AK51" i="30"/>
  <c r="P51" i="30"/>
  <c r="P52" i="30"/>
  <c r="R52" i="30"/>
  <c r="R51" i="30"/>
  <c r="AR14" i="30"/>
  <c r="AS12" i="30" s="1"/>
  <c r="AS13" i="30" s="1"/>
  <c r="T13" i="30"/>
  <c r="T14" i="30" s="1"/>
  <c r="T15" i="30" s="1"/>
  <c r="AG74" i="6"/>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S37" i="30"/>
  <c r="R37" i="30"/>
  <c r="AA33" i="6"/>
  <c r="AA34" i="6" s="1"/>
  <c r="AA68" i="6"/>
  <c r="AA45" i="6"/>
  <c r="AA13" i="6"/>
  <c r="BC9" i="6"/>
  <c r="AB9" i="6" s="1"/>
  <c r="AB10" i="6" s="1"/>
  <c r="AB11" i="6" s="1"/>
  <c r="AA69" i="6" l="1"/>
  <c r="AS14" i="30"/>
  <c r="AT12" i="30" s="1"/>
  <c r="AT13" i="30" s="1"/>
  <c r="V13" i="30" s="1"/>
  <c r="V14" i="30" s="1"/>
  <c r="U13" i="30"/>
  <c r="U14" i="30" s="1"/>
  <c r="T17" i="30"/>
  <c r="T18" i="30" s="1"/>
  <c r="T34" i="30"/>
  <c r="T35" i="30" s="1"/>
  <c r="T36" i="30" s="1"/>
  <c r="T37" i="30" s="1"/>
  <c r="T44" i="30"/>
  <c r="T45" i="30" s="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B13" i="6"/>
  <c r="AB68" i="6"/>
  <c r="AB69" i="6" s="1"/>
  <c r="AB45" i="6"/>
  <c r="AB33" i="6"/>
  <c r="AB34" i="6" s="1"/>
  <c r="H30" i="6"/>
  <c r="I30" i="6" s="1"/>
  <c r="BC10" i="6"/>
  <c r="BD8" i="6" s="1"/>
  <c r="T51" i="30" l="1"/>
  <c r="T52" i="30"/>
  <c r="U15" i="30"/>
  <c r="U17" i="30" s="1"/>
  <c r="U18" i="30" s="1"/>
  <c r="Z36" i="6"/>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T14" i="30"/>
  <c r="AU12" i="30" s="1"/>
  <c r="AU13" i="30" s="1"/>
  <c r="W13" i="30" s="1"/>
  <c r="W14" i="30" s="1"/>
  <c r="W15" i="30" s="1"/>
  <c r="W17" i="30" s="1"/>
  <c r="V15" i="30"/>
  <c r="V17" i="30" s="1"/>
  <c r="AB14" i="6"/>
  <c r="BD9" i="6"/>
  <c r="AC9" i="6" s="1"/>
  <c r="AC10" i="6" s="1"/>
  <c r="V18" i="30" l="1"/>
  <c r="W18" i="30" s="1"/>
  <c r="U34" i="30"/>
  <c r="U35" i="30" s="1"/>
  <c r="U36" i="30" s="1"/>
  <c r="U37" i="30" s="1"/>
  <c r="U44" i="30"/>
  <c r="U45" i="30" s="1"/>
  <c r="X37" i="6"/>
  <c r="AA37" i="6"/>
  <c r="Z37" i="6"/>
  <c r="AB37" i="6"/>
  <c r="Y37" i="6"/>
  <c r="X70" i="6"/>
  <c r="Y65" i="6" s="1"/>
  <c r="X71" i="6"/>
  <c r="AU14" i="30"/>
  <c r="AV12" i="30" s="1"/>
  <c r="AV13" i="30" s="1"/>
  <c r="V44" i="30"/>
  <c r="V45" i="30" s="1"/>
  <c r="V34" i="30"/>
  <c r="W34" i="30"/>
  <c r="W35" i="30" s="1"/>
  <c r="W36" i="30" s="1"/>
  <c r="W44" i="30"/>
  <c r="W45" i="30" s="1"/>
  <c r="AC11" i="6"/>
  <c r="BD10" i="6"/>
  <c r="BE8" i="6" s="1"/>
  <c r="AV14" i="30" l="1"/>
  <c r="AW12" i="30" s="1"/>
  <c r="AW13" i="30" s="1"/>
  <c r="X13" i="30"/>
  <c r="X14" i="30" s="1"/>
  <c r="X15" i="30" s="1"/>
  <c r="X17" i="30" s="1"/>
  <c r="X18" i="30" s="1"/>
  <c r="U52" i="30"/>
  <c r="U51" i="30"/>
  <c r="Y71" i="6"/>
  <c r="Y70" i="6"/>
  <c r="Z65" i="6" s="1"/>
  <c r="V51" i="30"/>
  <c r="V52" i="30"/>
  <c r="W51" i="30"/>
  <c r="W52" i="30"/>
  <c r="V35" i="30"/>
  <c r="V36" i="30" s="1"/>
  <c r="BE9" i="6"/>
  <c r="AD9" i="6" s="1"/>
  <c r="AD10" i="6" s="1"/>
  <c r="AC68" i="6"/>
  <c r="AC69" i="6" s="1"/>
  <c r="AC33" i="6"/>
  <c r="AC34" i="6" s="1"/>
  <c r="AC36" i="6" s="1"/>
  <c r="H31" i="6"/>
  <c r="I31" i="6" s="1"/>
  <c r="AC45" i="6"/>
  <c r="AC52" i="6" s="1"/>
  <c r="AC13" i="6"/>
  <c r="AC14" i="6" s="1"/>
  <c r="AW14" i="30" l="1"/>
  <c r="AX12" i="30" s="1"/>
  <c r="AX13" i="30" s="1"/>
  <c r="Y13" i="30"/>
  <c r="Y14" i="30" s="1"/>
  <c r="Y15" i="30" s="1"/>
  <c r="Y44" i="30" s="1"/>
  <c r="Y45" i="30" s="1"/>
  <c r="Z70" i="6"/>
  <c r="AA65" i="6" s="1"/>
  <c r="Z71" i="6"/>
  <c r="X34" i="30"/>
  <c r="X44" i="30"/>
  <c r="X45" i="30" s="1"/>
  <c r="W37" i="30"/>
  <c r="V37" i="30"/>
  <c r="AD11" i="6"/>
  <c r="AC37" i="6"/>
  <c r="BE10" i="6"/>
  <c r="BF8" i="6" s="1"/>
  <c r="Y34" i="30" l="1"/>
  <c r="Y35" i="30" s="1"/>
  <c r="Y36" i="30" s="1"/>
  <c r="Y17" i="30"/>
  <c r="Y18" i="30" s="1"/>
  <c r="AX14" i="30"/>
  <c r="AY12" i="30" s="1"/>
  <c r="AY13" i="30" s="1"/>
  <c r="Z13" i="30"/>
  <c r="Z14" i="30" s="1"/>
  <c r="Z15" i="30" s="1"/>
  <c r="Z44" i="30" s="1"/>
  <c r="Z45" i="30" s="1"/>
  <c r="AA71" i="6"/>
  <c r="AA70" i="6"/>
  <c r="AB65" i="6" s="1"/>
  <c r="X51" i="30"/>
  <c r="X52" i="30"/>
  <c r="Y52" i="30"/>
  <c r="Y51" i="30"/>
  <c r="X35" i="30"/>
  <c r="X36" i="30" s="1"/>
  <c r="X37" i="30" s="1"/>
  <c r="AD68" i="6"/>
  <c r="AD69" i="6" s="1"/>
  <c r="AD33" i="6"/>
  <c r="AD34" i="6" s="1"/>
  <c r="AD36" i="6" s="1"/>
  <c r="H32" i="6"/>
  <c r="I32" i="6" s="1"/>
  <c r="AD45" i="6"/>
  <c r="AD52" i="6" s="1"/>
  <c r="BF9" i="6"/>
  <c r="AE9" i="6" s="1"/>
  <c r="AE10" i="6" s="1"/>
  <c r="AE11" i="6" s="1"/>
  <c r="AD13" i="6"/>
  <c r="AD14" i="6" s="1"/>
  <c r="AY14" i="30" l="1"/>
  <c r="AZ12" i="30" s="1"/>
  <c r="AZ13" i="30" s="1"/>
  <c r="AA13" i="30"/>
  <c r="AA14" i="30" s="1"/>
  <c r="AA15" i="30" s="1"/>
  <c r="AA17" i="30" s="1"/>
  <c r="Z34" i="30"/>
  <c r="Z35" i="30" s="1"/>
  <c r="Z36" i="30" s="1"/>
  <c r="Z37" i="30" s="1"/>
  <c r="Z17" i="30"/>
  <c r="Z18" i="30" s="1"/>
  <c r="AB71" i="6"/>
  <c r="AB70" i="6"/>
  <c r="AC65" i="6" s="1"/>
  <c r="Z52" i="30"/>
  <c r="Z51" i="30"/>
  <c r="Y37" i="30"/>
  <c r="AE13" i="6"/>
  <c r="AE14" i="6" s="1"/>
  <c r="AE45" i="6"/>
  <c r="AE52" i="6" s="1"/>
  <c r="AE33" i="6"/>
  <c r="AE34" i="6" s="1"/>
  <c r="AE36" i="6" s="1"/>
  <c r="AE68" i="6"/>
  <c r="AE69" i="6" s="1"/>
  <c r="H33" i="6"/>
  <c r="I33" i="6" s="1"/>
  <c r="AD37" i="6"/>
  <c r="BF10" i="6"/>
  <c r="BG8" i="6" s="1"/>
  <c r="AA18" i="30" l="1"/>
  <c r="AZ14" i="30"/>
  <c r="BA12" i="30" s="1"/>
  <c r="BA13" i="30" s="1"/>
  <c r="AC13" i="30" s="1"/>
  <c r="AC14" i="30" s="1"/>
  <c r="AC15" i="30" s="1"/>
  <c r="AB13" i="30"/>
  <c r="AB14" i="30" s="1"/>
  <c r="AB15" i="30" s="1"/>
  <c r="AB34" i="30" s="1"/>
  <c r="AB35" i="30" s="1"/>
  <c r="AB36" i="30" s="1"/>
  <c r="AC70" i="6"/>
  <c r="AD65" i="6" s="1"/>
  <c r="AC71" i="6"/>
  <c r="AA44" i="30"/>
  <c r="AA45" i="30" s="1"/>
  <c r="AA34" i="30"/>
  <c r="AA35" i="30" s="1"/>
  <c r="AA36" i="30" s="1"/>
  <c r="AA37" i="30" s="1"/>
  <c r="BG9" i="6"/>
  <c r="AF9" i="6" s="1"/>
  <c r="AF10" i="6" s="1"/>
  <c r="AE37" i="6"/>
  <c r="AB44" i="30" l="1"/>
  <c r="AB45" i="30" s="1"/>
  <c r="AB51" i="30" s="1"/>
  <c r="AB17" i="30"/>
  <c r="AB18" i="30" s="1"/>
  <c r="AD70" i="6"/>
  <c r="AE65" i="6" s="1"/>
  <c r="AD71" i="6"/>
  <c r="AB37" i="30"/>
  <c r="AA52" i="30"/>
  <c r="AA51" i="30"/>
  <c r="AC17" i="30"/>
  <c r="AC44" i="30"/>
  <c r="AC45" i="30" s="1"/>
  <c r="AC34" i="30"/>
  <c r="AC35" i="30" s="1"/>
  <c r="AC36" i="30" s="1"/>
  <c r="AC37" i="30" s="1"/>
  <c r="BA14" i="30"/>
  <c r="BB12" i="30" s="1"/>
  <c r="AF11" i="6"/>
  <c r="BG10" i="6"/>
  <c r="BH8" i="6" s="1"/>
  <c r="AB52" i="30" l="1"/>
  <c r="AC18" i="30"/>
  <c r="AE71" i="6"/>
  <c r="AE70" i="6"/>
  <c r="AF65" i="6" s="1"/>
  <c r="BB13" i="30"/>
  <c r="AC52" i="30"/>
  <c r="AC51" i="30"/>
  <c r="BH9" i="6"/>
  <c r="AG9" i="6" s="1"/>
  <c r="AG10" i="6" s="1"/>
  <c r="AG11" i="6" s="1"/>
  <c r="AG68" i="6" s="1"/>
  <c r="AG69" i="6" s="1"/>
  <c r="AF45" i="6"/>
  <c r="AF52" i="6" s="1"/>
  <c r="AF33" i="6"/>
  <c r="AF34" i="6" s="1"/>
  <c r="AF36" i="6" s="1"/>
  <c r="H34" i="6"/>
  <c r="I34" i="6" s="1"/>
  <c r="AF68" i="6"/>
  <c r="AF69" i="6" s="1"/>
  <c r="AF13" i="6"/>
  <c r="AF14" i="6" s="1"/>
  <c r="BB14" i="30" l="1"/>
  <c r="BC12" i="30" s="1"/>
  <c r="BC13" i="30" s="1"/>
  <c r="AD13" i="30"/>
  <c r="AD14" i="30" s="1"/>
  <c r="AG13" i="6"/>
  <c r="AG14" i="6" s="1"/>
  <c r="AG45" i="6"/>
  <c r="AG52" i="6" s="1"/>
  <c r="H35" i="6"/>
  <c r="I35" i="6" s="1"/>
  <c r="AG33" i="6"/>
  <c r="AG34" i="6" s="1"/>
  <c r="AG36" i="6" s="1"/>
  <c r="AG37" i="6" s="1"/>
  <c r="AF71" i="6"/>
  <c r="AF70" i="6"/>
  <c r="AG65" i="6" s="1"/>
  <c r="AF37" i="6"/>
  <c r="BH10" i="6"/>
  <c r="BI8" i="6" s="1"/>
  <c r="BC14" i="30" l="1"/>
  <c r="BD12" i="30" s="1"/>
  <c r="BD13" i="30" s="1"/>
  <c r="AF13" i="30" s="1"/>
  <c r="AF14" i="30" s="1"/>
  <c r="AE13" i="30"/>
  <c r="AE14" i="30" s="1"/>
  <c r="AE15" i="30" s="1"/>
  <c r="AE17" i="30" s="1"/>
  <c r="AD15" i="30"/>
  <c r="AG70" i="6"/>
  <c r="AH65" i="6" s="1"/>
  <c r="AG71" i="6"/>
  <c r="X72" i="6" s="1"/>
  <c r="BI9" i="6"/>
  <c r="AR10" i="6"/>
  <c r="AD44" i="30" l="1"/>
  <c r="AD45" i="30" s="1"/>
  <c r="AD34" i="30"/>
  <c r="AD35" i="30" s="1"/>
  <c r="AD36" i="30" s="1"/>
  <c r="AD37" i="30" s="1"/>
  <c r="AD17" i="30"/>
  <c r="AD18" i="30" s="1"/>
  <c r="AE18" i="30" s="1"/>
  <c r="BD14" i="30"/>
  <c r="BE12" i="30" s="1"/>
  <c r="AF15" i="30"/>
  <c r="AE44" i="30"/>
  <c r="AE45" i="30" s="1"/>
  <c r="AE34" i="30"/>
  <c r="AE35" i="30" s="1"/>
  <c r="AE36" i="30" s="1"/>
  <c r="AH9" i="6"/>
  <c r="BI10" i="6"/>
  <c r="BJ8" i="6" s="1"/>
  <c r="AR11" i="6"/>
  <c r="AD51" i="30" l="1"/>
  <c r="AD52" i="30"/>
  <c r="AE37" i="30"/>
  <c r="AF44" i="30"/>
  <c r="AF45" i="30" s="1"/>
  <c r="AF34" i="30"/>
  <c r="AF35" i="30" s="1"/>
  <c r="AF36" i="30" s="1"/>
  <c r="AF37" i="30" s="1"/>
  <c r="BE13" i="30"/>
  <c r="AE51" i="30"/>
  <c r="AE52" i="30"/>
  <c r="AF17" i="30"/>
  <c r="AF18" i="30" s="1"/>
  <c r="AH10" i="6"/>
  <c r="BJ9" i="6"/>
  <c r="H46" i="6"/>
  <c r="I46" i="6" s="1"/>
  <c r="AR33" i="6"/>
  <c r="AR34" i="6" s="1"/>
  <c r="AR36" i="6" s="1"/>
  <c r="AR45" i="6"/>
  <c r="AR13" i="6"/>
  <c r="BE14" i="30" l="1"/>
  <c r="BF12" i="30" s="1"/>
  <c r="AG13" i="30"/>
  <c r="AG14" i="30" s="1"/>
  <c r="AG15" i="30" s="1"/>
  <c r="AG17" i="30" s="1"/>
  <c r="AG18" i="30" s="1"/>
  <c r="BF13" i="30"/>
  <c r="AH13" i="30" s="1"/>
  <c r="AH14" i="30" s="1"/>
  <c r="AH15" i="30" s="1"/>
  <c r="AH17" i="30" s="1"/>
  <c r="AF51" i="30"/>
  <c r="AF52" i="30"/>
  <c r="AI9" i="6"/>
  <c r="AH11" i="6"/>
  <c r="BJ10" i="6"/>
  <c r="BK8" i="6" s="1"/>
  <c r="AR52" i="6"/>
  <c r="AG44" i="30" l="1"/>
  <c r="AG45" i="30" s="1"/>
  <c r="AG51" i="30" s="1"/>
  <c r="AH18" i="30"/>
  <c r="AH44" i="30"/>
  <c r="AH45" i="30" s="1"/>
  <c r="AH51" i="30" s="1"/>
  <c r="AH34" i="30"/>
  <c r="AH35" i="30" s="1"/>
  <c r="AH36" i="30" s="1"/>
  <c r="AG34" i="30"/>
  <c r="AG35" i="30" s="1"/>
  <c r="AG36" i="30" s="1"/>
  <c r="AG37" i="30" s="1"/>
  <c r="BG13" i="30"/>
  <c r="BF14" i="30"/>
  <c r="BG12" i="30" s="1"/>
  <c r="AH13" i="6"/>
  <c r="AH14" i="6" s="1"/>
  <c r="AH68" i="6"/>
  <c r="AH69" i="6" s="1"/>
  <c r="BK9" i="6"/>
  <c r="AI10" i="6"/>
  <c r="H36" i="6"/>
  <c r="I36" i="6" s="1"/>
  <c r="AH45" i="6"/>
  <c r="AH33" i="6"/>
  <c r="AH34" i="6" s="1"/>
  <c r="AH36" i="6" s="1"/>
  <c r="AG52" i="30" l="1"/>
  <c r="AH52" i="30"/>
  <c r="AH37" i="30"/>
  <c r="BK13" i="30"/>
  <c r="AI13" i="30"/>
  <c r="AI14" i="30" s="1"/>
  <c r="AJ14" i="30"/>
  <c r="BG14" i="30"/>
  <c r="BH12" i="30" s="1"/>
  <c r="BH14" i="30" s="1"/>
  <c r="BI12" i="30" s="1"/>
  <c r="BI14" i="30" s="1"/>
  <c r="BJ12" i="30" s="1"/>
  <c r="BJ14" i="30" s="1"/>
  <c r="AH71" i="6"/>
  <c r="AH70" i="6"/>
  <c r="AI11" i="6"/>
  <c r="AJ9" i="6"/>
  <c r="AH37" i="6"/>
  <c r="AH52" i="6"/>
  <c r="BK10" i="6"/>
  <c r="BL8" i="6" s="1"/>
  <c r="AL13" i="30" l="1"/>
  <c r="AI15" i="30"/>
  <c r="AI17" i="30" s="1"/>
  <c r="AI18" i="30" s="1"/>
  <c r="AJ15" i="30"/>
  <c r="BL9" i="6"/>
  <c r="AJ10" i="6"/>
  <c r="AJ11" i="6" s="1"/>
  <c r="AI45" i="6"/>
  <c r="AI33" i="6"/>
  <c r="AI34" i="6" s="1"/>
  <c r="AI36" i="6" s="1"/>
  <c r="H37" i="6"/>
  <c r="I37" i="6" s="1"/>
  <c r="AI13" i="6"/>
  <c r="AI14" i="6" s="1"/>
  <c r="AI44" i="30" l="1"/>
  <c r="AI45" i="30" s="1"/>
  <c r="AI34" i="30"/>
  <c r="AI35" i="30" s="1"/>
  <c r="AI36" i="30" s="1"/>
  <c r="AI37" i="30" s="1"/>
  <c r="AJ44" i="30"/>
  <c r="AJ45" i="30" s="1"/>
  <c r="AJ34" i="30"/>
  <c r="AJ17" i="30"/>
  <c r="AJ18" i="30" s="1"/>
  <c r="AK18" i="30" s="1"/>
  <c r="AJ13" i="6"/>
  <c r="AJ14" i="6" s="1"/>
  <c r="AJ33" i="6"/>
  <c r="AJ34" i="6" s="1"/>
  <c r="AJ36" i="6" s="1"/>
  <c r="AJ37" i="6" s="1"/>
  <c r="H38" i="6"/>
  <c r="I38" i="6" s="1"/>
  <c r="AJ45" i="6"/>
  <c r="AJ52" i="6" s="1"/>
  <c r="AK9" i="6"/>
  <c r="AI52" i="6"/>
  <c r="AI37" i="6"/>
  <c r="BL10" i="6"/>
  <c r="BM8" i="6" s="1"/>
  <c r="AI51" i="30" l="1"/>
  <c r="AI52" i="30"/>
  <c r="AJ51" i="30"/>
  <c r="AJ52" i="30"/>
  <c r="AJ35" i="30"/>
  <c r="AL34" i="30"/>
  <c r="AK10" i="6"/>
  <c r="AK11" i="6" s="1"/>
  <c r="BM9" i="6"/>
  <c r="AJ36" i="30" l="1"/>
  <c r="AL35" i="30"/>
  <c r="O55" i="30"/>
  <c r="O58" i="30"/>
  <c r="O57" i="30"/>
  <c r="O54" i="30"/>
  <c r="AL9" i="6"/>
  <c r="AK13" i="6"/>
  <c r="AK14" i="6" s="1"/>
  <c r="AK45" i="6"/>
  <c r="H39" i="6"/>
  <c r="I39" i="6" s="1"/>
  <c r="AK33" i="6"/>
  <c r="AK34" i="6" s="1"/>
  <c r="AK36" i="6" s="1"/>
  <c r="BM10" i="6"/>
  <c r="BN8" i="6" s="1"/>
  <c r="AL36" i="30" l="1"/>
  <c r="AJ37" i="30"/>
  <c r="AK37" i="30"/>
  <c r="AL10" i="6"/>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OPN</author>
  </authors>
  <commentList>
    <comment ref="D28" authorId="0" shapeId="0" xr:uid="{00000000-0006-0000-0700-000001000000}">
      <text>
        <r>
          <rPr>
            <b/>
            <sz val="11"/>
            <color indexed="81"/>
            <rFont val="Tahoma"/>
            <family val="2"/>
          </rPr>
          <t xml:space="preserve">coke rate is 457
</t>
        </r>
        <r>
          <rPr>
            <sz val="11"/>
            <color indexed="81"/>
            <rFont val="Tahoma"/>
            <family val="2"/>
          </rPr>
          <t xml:space="preserve">
</t>
        </r>
      </text>
    </comment>
    <comment ref="L46" authorId="0" shapeId="0" xr:uid="{00000000-0006-0000-0700-000002000000}">
      <text>
        <r>
          <rPr>
            <b/>
            <sz val="11"/>
            <color indexed="81"/>
            <rFont val="Tahoma"/>
            <family val="2"/>
          </rPr>
          <t xml:space="preserve">D46
</t>
        </r>
        <r>
          <rPr>
            <sz val="11"/>
            <color indexed="81"/>
            <rFont val="Tahoma"/>
            <family val="2"/>
          </rPr>
          <t xml:space="preserve">
</t>
        </r>
      </text>
    </comment>
    <comment ref="M46" authorId="0" shapeId="0" xr:uid="{00000000-0006-0000-0700-000003000000}">
      <text>
        <r>
          <rPr>
            <b/>
            <sz val="11"/>
            <color indexed="81"/>
            <rFont val="Tahoma"/>
            <family val="2"/>
          </rPr>
          <t xml:space="preserve">C46
</t>
        </r>
        <r>
          <rPr>
            <sz val="11"/>
            <color indexed="81"/>
            <rFont val="Tahoma"/>
            <family val="2"/>
          </rPr>
          <t xml:space="preserve">
</t>
        </r>
      </text>
    </comment>
    <comment ref="D65" authorId="1" shapeId="0" xr:uid="{00000000-0006-0000-0700-000004000000}">
      <text>
        <r>
          <rPr>
            <b/>
            <sz val="9"/>
            <color indexed="81"/>
            <rFont val="Tahoma"/>
            <family val="2"/>
          </rPr>
          <t>OPN:</t>
        </r>
        <r>
          <rPr>
            <sz val="9"/>
            <color indexed="81"/>
            <rFont val="Tahoma"/>
            <family val="2"/>
          </rPr>
          <t xml:space="preserve">
Actual Cost</t>
        </r>
      </text>
    </comment>
    <comment ref="H65" authorId="1" shapeId="0" xr:uid="{00000000-0006-0000-0700-000005000000}">
      <text>
        <r>
          <rPr>
            <b/>
            <sz val="9"/>
            <color indexed="81"/>
            <rFont val="Tahoma"/>
            <family val="2"/>
          </rPr>
          <t>OPN:</t>
        </r>
        <r>
          <rPr>
            <sz val="9"/>
            <color indexed="81"/>
            <rFont val="Tahoma"/>
            <family val="2"/>
          </rPr>
          <t xml:space="preserve">
Actual Cost</t>
        </r>
      </text>
    </comment>
    <comment ref="H67" authorId="1" shapeId="0" xr:uid="{00000000-0006-0000-0700-000006000000}">
      <text>
        <r>
          <rPr>
            <b/>
            <sz val="9"/>
            <color indexed="81"/>
            <rFont val="Tahoma"/>
            <family val="2"/>
          </rPr>
          <t>OPN:</t>
        </r>
        <r>
          <rPr>
            <sz val="9"/>
            <color indexed="81"/>
            <rFont val="Tahoma"/>
            <family val="2"/>
          </rPr>
          <t xml:space="preserve">
Actual cost from April-2020 to Dec-2020</t>
        </r>
      </text>
    </comment>
    <comment ref="H68" authorId="1" shapeId="0" xr:uid="{00000000-0006-0000-0700-000007000000}">
      <text>
        <r>
          <rPr>
            <b/>
            <sz val="9"/>
            <color indexed="81"/>
            <rFont val="Tahoma"/>
            <family val="2"/>
          </rPr>
          <t>OPN:</t>
        </r>
        <r>
          <rPr>
            <sz val="9"/>
            <color indexed="81"/>
            <rFont val="Tahoma"/>
            <family val="2"/>
          </rPr>
          <t xml:space="preserve">
Actual cost from April-2020 to Dec-2020</t>
        </r>
      </text>
    </comment>
    <comment ref="H69" authorId="1" shapeId="0" xr:uid="{00000000-0006-0000-0700-000008000000}">
      <text>
        <r>
          <rPr>
            <b/>
            <sz val="9"/>
            <color indexed="81"/>
            <rFont val="Tahoma"/>
            <family val="2"/>
          </rPr>
          <t>OPN:</t>
        </r>
        <r>
          <rPr>
            <sz val="9"/>
            <color indexed="81"/>
            <rFont val="Tahoma"/>
            <family val="2"/>
          </rPr>
          <t xml:space="preserve">
Cost of Dec-2020</t>
        </r>
      </text>
    </comment>
    <comment ref="H70" authorId="1" shapeId="0" xr:uid="{00000000-0006-0000-0700-000009000000}">
      <text>
        <r>
          <rPr>
            <b/>
            <sz val="9"/>
            <color indexed="81"/>
            <rFont val="Tahoma"/>
            <family val="2"/>
          </rPr>
          <t>OPN:</t>
        </r>
        <r>
          <rPr>
            <sz val="9"/>
            <color indexed="81"/>
            <rFont val="Tahoma"/>
            <family val="2"/>
          </rPr>
          <t xml:space="preserve">
Cost of Dec-2020</t>
        </r>
      </text>
    </comment>
    <comment ref="H71" authorId="1" shapeId="0" xr:uid="{00000000-0006-0000-0700-00000A000000}">
      <text>
        <r>
          <rPr>
            <b/>
            <sz val="9"/>
            <color indexed="81"/>
            <rFont val="Tahoma"/>
            <family val="2"/>
          </rPr>
          <t>OPN:</t>
        </r>
        <r>
          <rPr>
            <sz val="9"/>
            <color indexed="81"/>
            <rFont val="Tahoma"/>
            <family val="2"/>
          </rPr>
          <t xml:space="preserve">
Cost of Dec-2020</t>
        </r>
      </text>
    </comment>
    <comment ref="H72" authorId="1" shapeId="0" xr:uid="{00000000-0006-0000-0700-00000B000000}">
      <text>
        <r>
          <rPr>
            <b/>
            <sz val="9"/>
            <color indexed="81"/>
            <rFont val="Tahoma"/>
            <family val="2"/>
          </rPr>
          <t>OPN:</t>
        </r>
        <r>
          <rPr>
            <sz val="9"/>
            <color indexed="81"/>
            <rFont val="Tahoma"/>
            <family val="2"/>
          </rPr>
          <t xml:space="preserve">
Cost of Dec-2020</t>
        </r>
      </text>
    </comment>
    <comment ref="H74" authorId="1" shapeId="0" xr:uid="{00000000-0006-0000-0700-00000C000000}">
      <text>
        <r>
          <rPr>
            <b/>
            <sz val="9"/>
            <color indexed="81"/>
            <rFont val="Tahoma"/>
            <family val="2"/>
          </rPr>
          <t>OPN:</t>
        </r>
        <r>
          <rPr>
            <sz val="9"/>
            <color indexed="81"/>
            <rFont val="Tahoma"/>
            <family val="2"/>
          </rPr>
          <t xml:space="preserve">
Cost of Dec-2020</t>
        </r>
      </text>
    </comment>
    <comment ref="H75" authorId="1" shapeId="0" xr:uid="{00000000-0006-0000-0700-00000D000000}">
      <text>
        <r>
          <rPr>
            <b/>
            <sz val="9"/>
            <color indexed="81"/>
            <rFont val="Tahoma"/>
            <family val="2"/>
          </rPr>
          <t>OPN:</t>
        </r>
        <r>
          <rPr>
            <sz val="9"/>
            <color indexed="81"/>
            <rFont val="Tahoma"/>
            <family val="2"/>
          </rPr>
          <t xml:space="preserve">
Cost of Dec-2020</t>
        </r>
      </text>
    </comment>
    <comment ref="H82" authorId="1" shapeId="0" xr:uid="{00000000-0006-0000-0700-00000E000000}">
      <text>
        <r>
          <rPr>
            <b/>
            <sz val="9"/>
            <color indexed="81"/>
            <rFont val="Tahoma"/>
            <family val="2"/>
          </rPr>
          <t>OPN:</t>
        </r>
        <r>
          <rPr>
            <sz val="9"/>
            <color indexed="81"/>
            <rFont val="Tahoma"/>
            <family val="2"/>
          </rPr>
          <t xml:space="preserve">
NSR of Dec-2020</t>
        </r>
      </text>
    </comment>
  </commentList>
</comments>
</file>

<file path=xl/sharedStrings.xml><?xml version="1.0" encoding="utf-8"?>
<sst xmlns="http://schemas.openxmlformats.org/spreadsheetml/2006/main" count="1757" uniqueCount="1082">
  <si>
    <t xml:space="preserve"> </t>
  </si>
  <si>
    <t>S T E E L   A U T H O R I T Y   OF   I N D I A    L I M I T E D</t>
  </si>
  <si>
    <t>-</t>
  </si>
  <si>
    <t>Item</t>
  </si>
  <si>
    <t>Total</t>
  </si>
  <si>
    <t>IDC</t>
  </si>
  <si>
    <t>Years</t>
  </si>
  <si>
    <t>Plant</t>
  </si>
  <si>
    <t>Total fund</t>
  </si>
  <si>
    <t>cost</t>
  </si>
  <si>
    <t>Loan</t>
  </si>
  <si>
    <t>incl.IDC</t>
  </si>
  <si>
    <t>LC</t>
  </si>
  <si>
    <t>DISMANTLING</t>
  </si>
  <si>
    <t>1st.</t>
  </si>
  <si>
    <t>FC</t>
  </si>
  <si>
    <t>t</t>
  </si>
  <si>
    <t>Equipment</t>
  </si>
  <si>
    <t>m</t>
  </si>
  <si>
    <t>b</t>
  </si>
  <si>
    <t>c</t>
  </si>
  <si>
    <t>d</t>
  </si>
  <si>
    <t>e</t>
  </si>
  <si>
    <t>v</t>
  </si>
  <si>
    <t>x</t>
  </si>
  <si>
    <t>Spares</t>
  </si>
  <si>
    <t>Refractories</t>
  </si>
  <si>
    <t>Sl.No</t>
  </si>
  <si>
    <t>A</t>
  </si>
  <si>
    <t>B</t>
  </si>
  <si>
    <t>C</t>
  </si>
  <si>
    <t>Structure</t>
  </si>
  <si>
    <t>Dismantling</t>
  </si>
  <si>
    <t>PI</t>
  </si>
  <si>
    <t>IRR</t>
  </si>
  <si>
    <t>%</t>
  </si>
  <si>
    <t>NPV</t>
  </si>
  <si>
    <t>a</t>
  </si>
  <si>
    <t>Unit</t>
  </si>
  <si>
    <t>Equity</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</si>
  <si>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</si>
  <si>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</si>
  <si>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</si>
  <si>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</si>
  <si>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</si>
  <si>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</si>
  <si>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</si>
  <si>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</si>
  <si>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</si>
  <si>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</si>
  <si>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</si>
  <si>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</si>
  <si>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</si>
  <si>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</si>
  <si>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</si>
  <si>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</si>
  <si>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</si>
  <si>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</si>
  <si>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</si>
  <si>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</si>
  <si>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</si>
  <si>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</si>
  <si>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</si>
  <si>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</si>
  <si>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</si>
  <si>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</si>
  <si>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</si>
  <si>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</si>
  <si>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</si>
  <si>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</si>
  <si>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</si>
  <si>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</si>
  <si>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</si>
  <si>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</si>
  <si>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</si>
  <si>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</si>
  <si>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</si>
  <si>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</si>
  <si>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</si>
  <si>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</si>
  <si>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</si>
  <si>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</si>
  <si>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</si>
  <si>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</si>
  <si>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</si>
  <si>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</si>
  <si>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</si>
  <si>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</si>
  <si>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</si>
  <si>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</si>
  <si>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</si>
  <si>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</si>
  <si>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</si>
  <si>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</si>
  <si>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</si>
  <si>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</si>
  <si>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</si>
  <si>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</si>
  <si>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</si>
  <si>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</si>
  <si>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</si>
  <si>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</si>
  <si>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</si>
  <si>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</si>
  <si>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</si>
  <si>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</si>
  <si>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</si>
  <si>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</si>
  <si>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</si>
  <si>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</si>
  <si>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</si>
  <si>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</si>
  <si>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</si>
  <si>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</si>
  <si>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</si>
  <si>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</si>
  <si>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</si>
  <si>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</si>
  <si>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</si>
  <si>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</si>
  <si>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</si>
  <si>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</si>
  <si>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</si>
  <si>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</si>
  <si>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</si>
  <si>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</si>
  <si>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</si>
  <si>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</si>
  <si>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</si>
  <si>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Gross Block</t>
  </si>
  <si>
    <t>Depreciation</t>
  </si>
  <si>
    <t>Net Block</t>
  </si>
  <si>
    <t>95% 0f CC</t>
  </si>
  <si>
    <t>2nd</t>
  </si>
  <si>
    <t>Rs. in crore</t>
  </si>
  <si>
    <t xml:space="preserve">Loan </t>
  </si>
  <si>
    <t xml:space="preserve">Long term loan </t>
  </si>
  <si>
    <t>Foreign Supervision</t>
  </si>
  <si>
    <t>Qty.</t>
  </si>
  <si>
    <t>Annexure-6.6.2-1</t>
  </si>
  <si>
    <t>Sl. No.</t>
  </si>
  <si>
    <t>Value</t>
  </si>
  <si>
    <t xml:space="preserve">Phasing of expenditure-Beneficiation Plant </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</si>
  <si>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</si>
  <si>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</si>
  <si>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</si>
  <si>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</si>
  <si>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</si>
  <si>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</si>
  <si>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</si>
  <si>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</si>
  <si>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</si>
  <si>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</si>
  <si>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</si>
  <si>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</si>
  <si>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</si>
  <si>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</si>
  <si>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</si>
  <si>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</si>
  <si>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</si>
  <si>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</si>
  <si>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</si>
  <si>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</si>
  <si>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</si>
  <si>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</si>
  <si>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</si>
  <si>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</si>
  <si>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</si>
  <si>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</si>
  <si>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</si>
  <si>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</si>
  <si>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</si>
  <si>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</si>
  <si>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</si>
  <si>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</si>
  <si>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</si>
  <si>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</si>
  <si>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</si>
  <si>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</si>
  <si>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</si>
  <si>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</si>
  <si>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</si>
  <si>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</si>
  <si>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</si>
  <si>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</si>
  <si>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</si>
  <si>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</si>
  <si>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</si>
  <si>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</si>
  <si>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</si>
  <si>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</si>
  <si>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</si>
  <si>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</si>
  <si>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</si>
  <si>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</si>
  <si>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</si>
  <si>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</si>
  <si>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</si>
  <si>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</si>
  <si>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NPV (@ 10%), Rs Cr</t>
  </si>
  <si>
    <t>NPV @ 10% discount rate (Post-tax)</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</si>
  <si>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</si>
  <si>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</si>
  <si>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</si>
  <si>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</si>
  <si>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</si>
  <si>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</si>
  <si>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</si>
  <si>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</si>
  <si>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</si>
  <si>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</si>
  <si>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</si>
  <si>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</si>
  <si>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</si>
  <si>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</si>
  <si>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</si>
  <si>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</si>
  <si>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</si>
  <si>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</si>
  <si>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</si>
  <si>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</si>
  <si>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</si>
  <si>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</si>
  <si>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</si>
  <si>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</si>
  <si>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</si>
  <si>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</si>
  <si>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</si>
  <si>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</si>
  <si>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</si>
  <si>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</si>
  <si>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</si>
  <si>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</si>
  <si>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</si>
  <si>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</si>
  <si>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</si>
  <si>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Input Tax Credit (ITC)</t>
  </si>
  <si>
    <t xml:space="preserve">Capital Cost (Net of ITC) </t>
  </si>
  <si>
    <t>CC net of ITC</t>
  </si>
  <si>
    <t>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</si>
  <si>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</si>
  <si>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</si>
  <si>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</si>
  <si>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</si>
  <si>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</si>
  <si>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</si>
  <si>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</si>
  <si>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</si>
  <si>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</si>
  <si>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Based on the above considerations, capital cost estimate net of ITC for the subject project =</t>
  </si>
  <si>
    <t>Annexure 6.6.2-1</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</si>
  <si>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</si>
  <si>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</si>
  <si>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</si>
  <si>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</si>
  <si>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</si>
  <si>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</si>
  <si>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</si>
  <si>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</si>
  <si>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</si>
  <si>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</si>
  <si>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</si>
  <si>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</si>
  <si>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</si>
  <si>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</si>
  <si>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</si>
  <si>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</si>
  <si>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</si>
  <si>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</si>
  <si>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</si>
  <si>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</si>
  <si>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</si>
  <si>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</si>
  <si>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</si>
  <si>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</si>
  <si>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</si>
  <si>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</si>
  <si>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</si>
  <si>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</si>
  <si>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</si>
  <si>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</si>
  <si>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</si>
  <si>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</si>
  <si>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</si>
  <si>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</si>
  <si>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</si>
  <si>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</si>
  <si>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</si>
  <si>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</si>
  <si>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</si>
  <si>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</si>
  <si>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</si>
  <si>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</si>
  <si>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</si>
  <si>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</si>
  <si>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</si>
  <si>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</si>
  <si>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</si>
  <si>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</si>
  <si>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</si>
  <si>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</si>
  <si>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</si>
  <si>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</si>
  <si>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</si>
  <si>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</si>
  <si>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</si>
  <si>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</si>
  <si>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</si>
  <si>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</si>
  <si>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</si>
  <si>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</si>
  <si>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</si>
  <si>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</si>
  <si>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</si>
  <si>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</si>
  <si>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</si>
  <si>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</si>
  <si>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</si>
  <si>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</si>
  <si>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Lot</t>
  </si>
  <si>
    <t>Estimate considered for the Equipment of the Project=</t>
  </si>
  <si>
    <t>Mr. Manoj Mishra</t>
  </si>
  <si>
    <t>Refractory</t>
  </si>
  <si>
    <t>Price trend considered (BQ is already Knocked off by 10%)</t>
  </si>
  <si>
    <t>viii</t>
  </si>
  <si>
    <t xml:space="preserve">Gross Margin </t>
  </si>
  <si>
    <t>Excavation</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</si>
  <si>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</si>
  <si>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</si>
  <si>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</si>
  <si>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</si>
  <si>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</si>
  <si>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</si>
  <si>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</si>
  <si>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</si>
  <si>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</si>
  <si>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</si>
  <si>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</si>
  <si>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</si>
  <si>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</si>
  <si>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</si>
  <si>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</si>
  <si>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</si>
  <si>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</si>
  <si>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</si>
  <si>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</si>
  <si>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</si>
  <si>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</si>
  <si>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</si>
  <si>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</si>
  <si>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</si>
  <si>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</si>
  <si>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</si>
  <si>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</si>
  <si>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</si>
  <si>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</si>
  <si>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</si>
  <si>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</si>
  <si>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</si>
  <si>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</si>
  <si>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</si>
  <si>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</si>
  <si>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</si>
  <si>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</si>
  <si>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</si>
  <si>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</si>
  <si>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</si>
  <si>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</si>
  <si>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</si>
  <si>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</si>
  <si>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</si>
  <si>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</si>
  <si>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</si>
  <si>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</si>
  <si>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</si>
  <si>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</si>
  <si>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</si>
  <si>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</si>
  <si>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</si>
  <si>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</si>
  <si>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</si>
  <si>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</si>
  <si>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</si>
  <si>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</si>
  <si>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</si>
  <si>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</si>
  <si>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</si>
  <si>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</si>
  <si>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</si>
  <si>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</si>
  <si>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</si>
  <si>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</si>
  <si>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</si>
  <si>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</si>
  <si>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</si>
  <si>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</si>
  <si>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</si>
  <si>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</si>
  <si>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</si>
  <si>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</si>
  <si>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</si>
  <si>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</si>
  <si>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</si>
  <si>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</si>
  <si>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</si>
  <si>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</si>
  <si>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</si>
  <si>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</si>
  <si>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</si>
  <si>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</si>
  <si>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</si>
  <si>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</si>
  <si>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</si>
  <si>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</si>
  <si>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</si>
  <si>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</si>
  <si>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</si>
  <si>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</si>
  <si>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</si>
  <si>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</si>
  <si>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</si>
  <si>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</si>
  <si>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</si>
  <si>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</si>
  <si>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</si>
  <si>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</si>
  <si>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</si>
  <si>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</si>
  <si>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</si>
  <si>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</si>
  <si>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</si>
  <si>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</si>
  <si>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</si>
  <si>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</si>
  <si>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</si>
  <si>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</si>
  <si>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</si>
  <si>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</si>
  <si>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</si>
  <si>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</si>
  <si>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</si>
  <si>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</si>
  <si>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</si>
  <si>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</si>
  <si>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</si>
  <si>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</si>
  <si>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</si>
  <si>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</si>
  <si>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</si>
  <si>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</si>
  <si>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</si>
  <si>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</si>
  <si>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</si>
  <si>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</si>
  <si>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</si>
  <si>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</si>
  <si>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</si>
  <si>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</si>
  <si>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</si>
  <si>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</si>
  <si>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</si>
  <si>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</si>
  <si>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</si>
  <si>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</si>
  <si>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</si>
  <si>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</si>
  <si>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</si>
  <si>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</si>
  <si>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</si>
  <si>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</si>
  <si>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</si>
  <si>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</si>
  <si>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</si>
  <si>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</si>
  <si>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</si>
  <si>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</si>
  <si>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</si>
  <si>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</si>
  <si>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</si>
  <si>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</si>
  <si>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</si>
  <si>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</si>
  <si>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</si>
  <si>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</si>
  <si>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</si>
  <si>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Reinforcement</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</si>
  <si>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</si>
  <si>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</si>
  <si>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</si>
  <si>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</si>
  <si>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</si>
  <si>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</si>
  <si>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</si>
  <si>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</si>
  <si>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</si>
  <si>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</si>
  <si>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</si>
  <si>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Mr. Sanjay Kumar</t>
  </si>
  <si>
    <t>Repair &amp; Maint. @ 2.5% of CC net of ITC</t>
  </si>
  <si>
    <t>Qty</t>
  </si>
  <si>
    <t>No</t>
  </si>
  <si>
    <t>Kg</t>
  </si>
  <si>
    <t>Boulder Soling</t>
  </si>
  <si>
    <t>Sqm</t>
  </si>
  <si>
    <t>Nos</t>
  </si>
  <si>
    <t>Nos.</t>
  </si>
  <si>
    <t>a.</t>
  </si>
  <si>
    <t>b.</t>
  </si>
  <si>
    <t xml:space="preserve">2.5% for owner, 5.0% for contractor </t>
  </si>
  <si>
    <t>Technological Structure</t>
  </si>
  <si>
    <t>Building Structure</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</si>
  <si>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</si>
  <si>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</si>
  <si>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</si>
  <si>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</si>
  <si>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</si>
  <si>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</si>
  <si>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GM &amp; I/c (CTE)-Convenor</t>
  </si>
  <si>
    <t>ix</t>
  </si>
  <si>
    <t>Mr. R. Kashyap</t>
  </si>
  <si>
    <t>Sr. Mgr. (Proj-CTE)</t>
  </si>
  <si>
    <t>DURGAPUR STEEL PLANT</t>
  </si>
  <si>
    <t>Rate (Rs.)</t>
  </si>
  <si>
    <t>Bench Vice</t>
  </si>
  <si>
    <t>No.</t>
  </si>
  <si>
    <t xml:space="preserve">no. </t>
  </si>
  <si>
    <t>lot</t>
  </si>
  <si>
    <t>no.</t>
  </si>
  <si>
    <t>M</t>
  </si>
  <si>
    <t>nos.</t>
  </si>
  <si>
    <t>Naphthalene Recovery Plant</t>
  </si>
  <si>
    <t>Tech. Structure</t>
  </si>
  <si>
    <t>Engg. Estimate</t>
  </si>
  <si>
    <t>Tons</t>
  </si>
  <si>
    <t>2.8.1+0.8*2.25+0.2*1.1.2 (COL 8)</t>
  </si>
  <si>
    <t>PCC M10</t>
  </si>
  <si>
    <t>4.20.1.1+1*4.3.1</t>
  </si>
  <si>
    <t>RCC-M25</t>
  </si>
  <si>
    <t>MT</t>
  </si>
  <si>
    <t>5.22.6*1000</t>
  </si>
  <si>
    <t>Inserts</t>
  </si>
  <si>
    <t>RCC/PCC Dismantling</t>
  </si>
  <si>
    <t>Rm</t>
  </si>
  <si>
    <t>Piling (600 dia)</t>
  </si>
  <si>
    <t>Non-Shrink Grout</t>
  </si>
  <si>
    <t>IPS Flooring</t>
  </si>
  <si>
    <t>Brickwork -full brick</t>
  </si>
  <si>
    <t>20mm thk plaster</t>
  </si>
  <si>
    <t>15mm thk plaster</t>
  </si>
  <si>
    <t>6mm thk plaster</t>
  </si>
  <si>
    <t>Weatherproof paint</t>
  </si>
  <si>
    <t>Whitewashing</t>
  </si>
  <si>
    <t>APP</t>
  </si>
  <si>
    <t>Steel Doors</t>
  </si>
  <si>
    <t>Windows</t>
  </si>
  <si>
    <t>False floor</t>
  </si>
  <si>
    <t>DPC</t>
  </si>
  <si>
    <t>Plinth Protection</t>
  </si>
  <si>
    <t>False Ceiling</t>
  </si>
  <si>
    <t>Diamond Wire Saw cutting</t>
  </si>
  <si>
    <t>Vibration Isolation System (Spring)</t>
  </si>
  <si>
    <t>Rupees</t>
  </si>
  <si>
    <t>PVC tiles</t>
  </si>
  <si>
    <t>SS inserts</t>
  </si>
  <si>
    <t>Rs Cr</t>
  </si>
  <si>
    <t>Phasing of expenditure</t>
  </si>
  <si>
    <t>CASH  FLOW  STATEMENT</t>
  </si>
  <si>
    <t>Annexure - 6.6.1-1</t>
  </si>
  <si>
    <t>total</t>
  </si>
  <si>
    <t>incl. IDC</t>
  </si>
  <si>
    <t>net of ITC</t>
  </si>
  <si>
    <t xml:space="preserve"> Rs. in crore</t>
  </si>
  <si>
    <t xml:space="preserve">Depreciation based on WDV method @ 15% for 95% of the net of cenvat value </t>
  </si>
  <si>
    <t>Profit before Depr., Int. &amp; Tax</t>
  </si>
  <si>
    <t>Year of comm</t>
  </si>
  <si>
    <t>Cap cost</t>
  </si>
  <si>
    <t>Chk total</t>
  </si>
  <si>
    <t>Post Comm (10%)</t>
  </si>
  <si>
    <t>Dep @15%</t>
  </si>
  <si>
    <t>Net cost</t>
  </si>
  <si>
    <t>C. Loan</t>
  </si>
  <si>
    <t>IRR(Pre-tax)</t>
  </si>
  <si>
    <t>Total outflow</t>
  </si>
  <si>
    <t>Total inflow</t>
  </si>
  <si>
    <t>2nd (35%)</t>
  </si>
  <si>
    <t>3rd  (33%)</t>
  </si>
  <si>
    <t>4th Year (1 month) (4.5%)</t>
  </si>
  <si>
    <t>1 year (10%)</t>
  </si>
  <si>
    <t>ITC on GST + salvage Value</t>
  </si>
  <si>
    <t>SAIL/ DSP</t>
  </si>
  <si>
    <t>(A) Cash-Inflow</t>
  </si>
  <si>
    <t>(B) Cash out-flow</t>
  </si>
  <si>
    <t>Interest payment (from 4th year onwards)</t>
  </si>
  <si>
    <t>Principal repayment (from 5th year and for 10 years)</t>
  </si>
  <si>
    <t>assumption:total loan spent for capital expenditure</t>
  </si>
  <si>
    <t>refrractory</t>
  </si>
  <si>
    <t>Rail</t>
  </si>
  <si>
    <t>Technological Structure Structure</t>
  </si>
  <si>
    <t>HR casting</t>
  </si>
  <si>
    <t>Utility</t>
  </si>
  <si>
    <t>MS Pipe (gas)</t>
  </si>
  <si>
    <t xml:space="preserve">MS Pipe (water) </t>
  </si>
  <si>
    <t>CI Pipe</t>
  </si>
  <si>
    <t>Steam Pipe</t>
  </si>
  <si>
    <t>Structure, support</t>
  </si>
  <si>
    <t>MS compensator, water seal</t>
  </si>
  <si>
    <t>Fabricated MS Item</t>
  </si>
  <si>
    <t>SS Item</t>
  </si>
  <si>
    <t>Quantity</t>
  </si>
  <si>
    <t>Rate</t>
  </si>
  <si>
    <t>Hydrojet Cleaner</t>
  </si>
  <si>
    <t>Battery operated vehicle</t>
  </si>
  <si>
    <t>Rail tracks Laying</t>
  </si>
  <si>
    <t>Rail tracks Dismantling</t>
  </si>
  <si>
    <t>Roughing and grinding machine</t>
  </si>
  <si>
    <t>Drilling Machine</t>
  </si>
  <si>
    <t>Pusher side &amp; Coke side service platform of Refractory Paving in place of Cast Iron Paving</t>
  </si>
  <si>
    <t>HRC M30</t>
  </si>
  <si>
    <t xml:space="preserve">Civil works </t>
  </si>
  <si>
    <t>Coveyor galleries  new fabrication</t>
  </si>
  <si>
    <t xml:space="preserve">NRU basis changed to BQ from Engg estimate resulting in differnce </t>
  </si>
  <si>
    <t xml:space="preserve">Conveyor galleries dismantling  </t>
  </si>
  <si>
    <t>Underslung crane inplace of manual winch</t>
  </si>
  <si>
    <t xml:space="preserve">Upgradation of rail </t>
  </si>
  <si>
    <t>Scope Change from R0 to R1</t>
  </si>
  <si>
    <t>Electrical Addition</t>
  </si>
  <si>
    <t>Electrical Deletion</t>
  </si>
  <si>
    <t>Sub Total (Equ.+ Structure + Refractory)</t>
  </si>
  <si>
    <t>Heating up &amp; commisioning (3600 mandays)</t>
  </si>
  <si>
    <t>Equipment erection</t>
  </si>
  <si>
    <t>Inspection (1940 mandays) ,</t>
  </si>
  <si>
    <t xml:space="preserve"> Post Commisioning(3600 mandays)</t>
  </si>
  <si>
    <t>Erection/Ton</t>
  </si>
  <si>
    <t>: 18.05.2022</t>
  </si>
  <si>
    <t>: Revised Capital Cost Estimate &amp; Techno-Economics</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</si>
  <si>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</si>
  <si>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</si>
  <si>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</si>
  <si>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</si>
  <si>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</si>
  <si>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</si>
  <si>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</si>
  <si>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</si>
  <si>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</si>
  <si>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</si>
  <si>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</si>
  <si>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</si>
  <si>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</si>
  <si>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</si>
  <si>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</si>
  <si>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</si>
  <si>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</si>
  <si>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</si>
  <si>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</si>
  <si>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</si>
  <si>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</si>
  <si>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</si>
  <si>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</si>
  <si>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</si>
  <si>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Amount (Rs. in Lakh)</t>
  </si>
  <si>
    <t>Total (Rs. In Cr)</t>
  </si>
  <si>
    <t>Amt (Rs. in Lakh)</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</si>
  <si>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</si>
  <si>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</si>
  <si>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</si>
  <si>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</si>
  <si>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</si>
  <si>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</si>
  <si>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</si>
  <si>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</si>
  <si>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</si>
  <si>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</si>
  <si>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</si>
  <si>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</si>
  <si>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</si>
  <si>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</si>
  <si>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</si>
  <si>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</si>
  <si>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</si>
  <si>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</si>
  <si>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</si>
  <si>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</si>
  <si>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</si>
  <si>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</si>
  <si>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</si>
  <si>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</si>
  <si>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</si>
  <si>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</si>
  <si>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</si>
  <si>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</si>
  <si>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t>Annexure to MOM dated 18.05.2021</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</si>
  <si>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</si>
  <si>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</si>
  <si>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</si>
  <si>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</si>
  <si>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</si>
  <si>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</si>
  <si>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</si>
  <si>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 xml:space="preserve">ASSIGN. NO.-RELINING OF STOVES OF BF#3
 </t>
  </si>
  <si>
    <t>1EURO=Rs.(with forward premium rate)</t>
  </si>
  <si>
    <t>1USD=Rs.(with forward premium rate)</t>
  </si>
  <si>
    <t>Unit Rate (LC)- Rs.L</t>
  </si>
  <si>
    <t xml:space="preserve">Amt. (Rs. L) LC </t>
  </si>
  <si>
    <t>Rate  (FC)</t>
  </si>
  <si>
    <t xml:space="preserve">Amt. (Rs. L) FC </t>
  </si>
  <si>
    <t>Basis / Remarks</t>
  </si>
  <si>
    <t xml:space="preserve">Mechanical </t>
  </si>
  <si>
    <t>Type “A” (ID Steel 2000mm x16mm thk)</t>
  </si>
  <si>
    <t xml:space="preserve">Extrapolated for DN2000 by the factor (DN2000/DN2300)^0.6  </t>
  </si>
  <si>
    <t>Type “B”(ID Steel 2000mm x16mm thk)</t>
  </si>
  <si>
    <t>Type “C”(ID Steel 2000mm x16mm thk)</t>
  </si>
  <si>
    <t>Type “D”(ID Steel 2000mm x16mm thk)</t>
  </si>
  <si>
    <t xml:space="preserve">(ii) </t>
  </si>
  <si>
    <t>Stove Valves</t>
  </si>
  <si>
    <t>BQ of Joshi Jampala  dtd. 05/08/2022</t>
  </si>
  <si>
    <t xml:space="preserve">Extrapolated for DN2000 by the factor (DN2000/DN2500)^0.6  </t>
  </si>
  <si>
    <t>(v)</t>
  </si>
  <si>
    <t>Refractory supporting structure</t>
  </si>
  <si>
    <t>Columns, Grid &amp; Girders for Chequer Support (for 3 stoves)</t>
  </si>
  <si>
    <t>tons</t>
  </si>
  <si>
    <t>Erection, Testing and Commissioning of RSS (Columns, Grids &amp; Girders)</t>
  </si>
  <si>
    <t>(iii)</t>
  </si>
  <si>
    <t xml:space="preserve">Existing Equipment dismantling </t>
  </si>
  <si>
    <t>Expansion Joints</t>
  </si>
  <si>
    <t>Type “A”- 1No.</t>
  </si>
  <si>
    <t xml:space="preserve">Type “B”- 1 No. </t>
  </si>
  <si>
    <t xml:space="preserve">Type “C” - 2 Nos. </t>
  </si>
  <si>
    <t>Type “D” - 3 Nos</t>
  </si>
  <si>
    <t xml:space="preserve">Hot Blast Valves (DN 2000 / 1320) - 3 Nos. </t>
  </si>
  <si>
    <t xml:space="preserve">Cold Blast Valves (DN1050) - 3 Nos. </t>
  </si>
  <si>
    <t xml:space="preserve">Chimney Valves (DN 1150 ) - 6 Nos. </t>
  </si>
  <si>
    <t xml:space="preserve">Pressure Relief Valves (DN400) - 3 Nos. </t>
  </si>
  <si>
    <t xml:space="preserve">Pressurising Valves (DN400) - 3 Nos. </t>
  </si>
  <si>
    <t xml:space="preserve">tons </t>
  </si>
  <si>
    <t xml:space="preserve">Re- erection of dismantled quipment </t>
  </si>
  <si>
    <t xml:space="preserve">Utility </t>
  </si>
  <si>
    <t>Oxygen Enrichment System-Including all valves within PRMS (including PRV, FCV, isolation valve, safety valve, pipes, flanges)</t>
  </si>
  <si>
    <t>COG initial heating system</t>
  </si>
  <si>
    <t>tonnage estimate</t>
  </si>
  <si>
    <t>Initial heating of stoves includes supply of all items required for initial heating of stove upto 1100 deg. C including manpower (two skilled/semi-skilled labours in all the three shift for 20 days) with tools /tackles for successfully completing the initial heating of stoves</t>
  </si>
  <si>
    <t>CS isolation Gate Valve for nitrogen line</t>
  </si>
  <si>
    <t xml:space="preserve">Misc. utility (blanking, de-blanking, blank plates, flange) </t>
  </si>
  <si>
    <t>Electrics</t>
  </si>
  <si>
    <t>Electrical equipment such as junction box, push buttons, Indication lamps , LEDs etc.</t>
  </si>
  <si>
    <t>Engg calculation based on purchase orders/ BQs of individual equipment as per worksheet' Cost calculation Sheet'</t>
  </si>
  <si>
    <t>LT  XLPE insulated FRLS power &amp; control cables Cable</t>
  </si>
  <si>
    <t>Process control &amp; automation</t>
  </si>
  <si>
    <t xml:space="preserve"> Gas Control Valves</t>
  </si>
  <si>
    <t>Air Control Valves</t>
  </si>
  <si>
    <t>New Mixer Control valve</t>
  </si>
  <si>
    <t>CA Header Pressure Control valve</t>
  </si>
  <si>
    <t>Mixed Gas Pressure to Stove, PT + PG</t>
  </si>
  <si>
    <t>Mixed Gas venturi</t>
  </si>
  <si>
    <t>BQ from M/s ESPL dated: 26.10.2018, rate as per capacity extrapolated from dia 950 mm to 1300 mm. Escalated as per WPI (All Commodities). Uploaded in CDMS</t>
  </si>
  <si>
    <t>Mixed Gas Flow to Stove,  DPT</t>
  </si>
  <si>
    <t>CA Pressure to Stove, PT + PG</t>
  </si>
  <si>
    <t>CA venturi</t>
  </si>
  <si>
    <t>CA Flow to Stove + DPT</t>
  </si>
  <si>
    <t>CO Gas Pressure to Stove, PT + PG (Inintial Heating)</t>
  </si>
  <si>
    <t>CO Gas orifice (Inintial Heating)</t>
  </si>
  <si>
    <t>CO Gas Flow to Stove,  DPT (Inintial Heating)</t>
  </si>
  <si>
    <t>CO Gas Temperature type RTD  (Inintial Heating)</t>
  </si>
  <si>
    <t>BQ from M/s tempsens dated: 04.09.2021 from CDMS</t>
  </si>
  <si>
    <t>CO Gas Temperature transmitter  (Inintial Heating)</t>
  </si>
  <si>
    <t>Differential Pressure across HBV</t>
  </si>
  <si>
    <t>Differential Pressure across Chimney Valve</t>
  </si>
  <si>
    <t>Mix Gas Temperature type TC</t>
  </si>
  <si>
    <t>Mix Gas Temperature transmitter</t>
  </si>
  <si>
    <t>CA Temperature, K type TC</t>
  </si>
  <si>
    <t>CA Temperature transmitter</t>
  </si>
  <si>
    <t>Waste Gas Temperature, K type TC</t>
  </si>
  <si>
    <t>Waste Gas Temperature transmitter</t>
  </si>
  <si>
    <t>Flame Temperature, K type TC</t>
  </si>
  <si>
    <t>Flame Temperature transmitter</t>
  </si>
  <si>
    <t>Dome Temperature, R type TC</t>
  </si>
  <si>
    <t>Dome Temperature transmitter</t>
  </si>
  <si>
    <t>Silica Interface Temperature, R type TC</t>
  </si>
  <si>
    <t>Silica Interface Temperature transmitter</t>
  </si>
  <si>
    <t>Silica Monitoring Temperature, K type MI TC, SS sheathed of 3 mm dia</t>
  </si>
  <si>
    <t>Standalon type mini PLC with HMI (instead of Single/ dual loop controller</t>
  </si>
  <si>
    <t>30 channel paperless recorder</t>
  </si>
  <si>
    <t>Signal isolators</t>
  </si>
  <si>
    <t>Junction Boxes &amp; Transmitter Cabinets</t>
  </si>
  <si>
    <t xml:space="preserve">Impulse pipes, isolation valves and fittings </t>
  </si>
  <si>
    <t>Cable Trays</t>
  </si>
  <si>
    <t>Waste gas O2 measurement</t>
  </si>
  <si>
    <t>Cabling</t>
  </si>
  <si>
    <t>K type MI 1P</t>
  </si>
  <si>
    <t>K type MI 10P</t>
  </si>
  <si>
    <t>S Type 1P</t>
  </si>
  <si>
    <t>3C x 2.5 sq.mm</t>
  </si>
  <si>
    <t>1P X 1.5sq. Mm</t>
  </si>
  <si>
    <t>6P X 1.0 sq.mm</t>
  </si>
  <si>
    <t>10 X 1.0 sq.mm</t>
  </si>
  <si>
    <t>A)</t>
  </si>
  <si>
    <t xml:space="preserve">REFRACTORY SUPPLY </t>
  </si>
  <si>
    <t>HOT BLAST STOVES (3 Nos.)</t>
  </si>
  <si>
    <t>CHECKERS</t>
  </si>
  <si>
    <t>High Alumina Checker Bricks -Type HD</t>
  </si>
  <si>
    <t xml:space="preserve">Low Alumina Checker Bricks-Type XX </t>
  </si>
  <si>
    <t>Fireclay Checker Bricks-Type X</t>
  </si>
  <si>
    <t>DENSE BRICKS</t>
  </si>
  <si>
    <t>High Alumina Solid Bricks-Type HH</t>
  </si>
  <si>
    <t>Low Alumina Solid Bricks -Type HS</t>
  </si>
  <si>
    <t>Fireclay Solid Bricks-Type X</t>
  </si>
  <si>
    <t>High Alumina Special Pieces-Type HH HBO</t>
  </si>
  <si>
    <t>Ceramic burner bricks - High alumina Type HS CB</t>
  </si>
  <si>
    <t>Silica bricks-Type K</t>
  </si>
  <si>
    <t>CERAMIC FIBRE BOARD (Avg. 35 mm thk &amp; 350 kg/m3)</t>
  </si>
  <si>
    <t xml:space="preserve">Ceramic Fibre Board </t>
  </si>
  <si>
    <t>INSULATION BRICKS</t>
  </si>
  <si>
    <t>Insulation bricks-Type IH</t>
  </si>
  <si>
    <t>Silica Insulation bricks</t>
  </si>
  <si>
    <t>MORTARS &amp; CASTABLES</t>
  </si>
  <si>
    <t>Type M2 Mortar for High Alumina Bricks &amp; special shapes</t>
  </si>
  <si>
    <t>Type M1 Mortar for fireclay bricks</t>
  </si>
  <si>
    <t>Mortar for Silica Dense &amp; Silica Insulation Bricks</t>
  </si>
  <si>
    <t>Mortar for Insulation Bricks</t>
  </si>
  <si>
    <t>Refractory Castable-HA</t>
  </si>
  <si>
    <t>Freeflow Castable-FF</t>
  </si>
  <si>
    <t>Gunning Castable-G</t>
  </si>
  <si>
    <t>Auxiliary Materials including Anchors &amp;HRC</t>
  </si>
  <si>
    <t xml:space="preserve">Engg. estimate based on Contract price of 4th Stove, BF4 DSP dated 09.02.21 </t>
  </si>
  <si>
    <t>HBM</t>
  </si>
  <si>
    <t>High Alumina Special shapes-HH HBO</t>
  </si>
  <si>
    <t>Insulation Bricks -Type IH</t>
  </si>
  <si>
    <t>Mortar for high alumina bricks &amp; special shapes-Type M2</t>
  </si>
  <si>
    <t>HA Castable</t>
  </si>
  <si>
    <t xml:space="preserve">Auxiliary Materials including Anchors </t>
  </si>
  <si>
    <t>Engg. estimate based on BF1-BSL</t>
  </si>
  <si>
    <t>WASTE GAS DUCT, TUNNEL &amp; CHIMNEY</t>
  </si>
  <si>
    <t>Acidproof fireclay bricks</t>
  </si>
  <si>
    <t>Mortar for Acidproof fireclay bricks</t>
  </si>
  <si>
    <t>Refractory Gunning Castable</t>
  </si>
  <si>
    <t>Insulating Gunning Castable-G</t>
  </si>
  <si>
    <t>B)</t>
  </si>
  <si>
    <t xml:space="preserve"> REFRACTORY ERECTION </t>
  </si>
  <si>
    <t>Checkers</t>
  </si>
  <si>
    <t>Dense bricks</t>
  </si>
  <si>
    <t>Insulation Bricks &amp; Boards</t>
  </si>
  <si>
    <t>Monolithic</t>
  </si>
  <si>
    <t xml:space="preserve">HBM </t>
  </si>
  <si>
    <t xml:space="preserve">Insulation Bricks </t>
  </si>
  <si>
    <t>C)</t>
  </si>
  <si>
    <t xml:space="preserve">DISMANTLING OF REFRACTORY </t>
  </si>
  <si>
    <r>
      <rPr>
        <sz val="7"/>
        <rFont val="Times New Roman"/>
        <family val="1"/>
      </rPr>
      <t xml:space="preserve"> </t>
    </r>
    <r>
      <rPr>
        <sz val="12"/>
        <rFont val="Segoe UI"/>
        <family val="2"/>
      </rPr>
      <t>New Stove shell (IS: 2002) (supply, Fabrication, erection &amp; painting)</t>
    </r>
  </si>
  <si>
    <t>Total  technological structure</t>
  </si>
  <si>
    <t>New building Steel structure (IS 2062 ) (supply, Fabrication, erection &amp; painting)</t>
  </si>
  <si>
    <t>Painting</t>
  </si>
  <si>
    <r>
      <rPr>
        <sz val="7"/>
        <rFont val="Times New Roman"/>
        <family val="1"/>
      </rPr>
      <t xml:space="preserve">    </t>
    </r>
    <r>
      <rPr>
        <sz val="12"/>
        <rFont val="Segoe UI"/>
        <family val="2"/>
      </rPr>
      <t>Painting of existing technological structure (stove shell)</t>
    </r>
  </si>
  <si>
    <r>
      <rPr>
        <sz val="7"/>
        <rFont val="Times New Roman"/>
        <family val="1"/>
      </rPr>
      <t xml:space="preserve">        </t>
    </r>
    <r>
      <rPr>
        <sz val="12"/>
        <rFont val="Segoe UI"/>
        <family val="2"/>
      </rPr>
      <t xml:space="preserve">Painting of existing building structure </t>
    </r>
  </si>
  <si>
    <t>CIVIL (Equipment foundation)</t>
  </si>
  <si>
    <t>Item (Brief description)</t>
  </si>
  <si>
    <t>Amt. (Rs. L)</t>
  </si>
  <si>
    <t>DSR 2021 Clause No.</t>
  </si>
  <si>
    <t>Rate 2021</t>
  </si>
  <si>
    <t>Chipping of Surface concrete (75mm average thickness)</t>
  </si>
  <si>
    <r>
      <t>m</t>
    </r>
    <r>
      <rPr>
        <vertAlign val="superscript"/>
        <sz val="10"/>
        <color indexed="8"/>
        <rFont val="Arial"/>
        <family val="2"/>
      </rPr>
      <t>2</t>
    </r>
  </si>
  <si>
    <t>26.28.1</t>
  </si>
  <si>
    <t>Reconstruction by Shotcreting by HRC M30</t>
  </si>
  <si>
    <t>Providing and fixing hard drawn steel wire fabric of size 75 x25 mm mesh</t>
  </si>
  <si>
    <t>PU Grout</t>
  </si>
  <si>
    <t>Providing and inserting 12mm dia galvanised steel injection nipple</t>
  </si>
  <si>
    <t>Each</t>
  </si>
  <si>
    <t>Non Shrink grout with nozzles</t>
  </si>
  <si>
    <t>26.80.1</t>
  </si>
  <si>
    <r>
      <t>m</t>
    </r>
    <r>
      <rPr>
        <vertAlign val="superscript"/>
        <sz val="10"/>
        <color indexed="8"/>
        <rFont val="Arial"/>
        <family val="2"/>
      </rPr>
      <t>3</t>
    </r>
  </si>
  <si>
    <t>PCC</t>
  </si>
  <si>
    <t>R/f</t>
  </si>
  <si>
    <t xml:space="preserve"> Rate same as strl supply and erection</t>
  </si>
  <si>
    <t>Total  civil (Equipment foundation)</t>
  </si>
  <si>
    <t>Erection not required</t>
  </si>
  <si>
    <t>Main Package (Package - I)</t>
  </si>
  <si>
    <t>Contract price. CONTRACT NO. DSP/PROJ-PUR/BF4/STOVE4/SC/519 Dated 09.02.2021(Stove 4.4-DSP).Contract price of Rs. 173500 includes ( fabrication+erection+ testing &amp; commissioning)</t>
  </si>
  <si>
    <t xml:space="preserve">Mixer Shut off Valve (DN600) -1 No. </t>
  </si>
  <si>
    <t xml:space="preserve">Combustion Air Shut off Valves (DN 1000) - 3 Nos. </t>
  </si>
  <si>
    <t xml:space="preserve">Gas Shut off Valves (DN 1000) - 3 Nos. </t>
  </si>
  <si>
    <t xml:space="preserve">Gas Safety Shut off Valves (DN 1000) - 3 Nos. </t>
  </si>
  <si>
    <t xml:space="preserve">Gas Bleeder Valves NB 200mm (electrical/ mechanical link) - 3 Nos. </t>
  </si>
  <si>
    <t>Gas Bleeder Valves NB 150mm (manual)- 6Nos.</t>
  </si>
  <si>
    <t>Goggle Valves for gas line (Electro-hydraulic) (DN 1000) - 3 Nos.</t>
  </si>
  <si>
    <t xml:space="preserve">Goggle Valves for air line (manual) (DN1000) - 3 Nos. </t>
  </si>
  <si>
    <t xml:space="preserve">Extrapolated for DN1000 by the factor (DN1000/DN1300)^0.6  </t>
  </si>
  <si>
    <t xml:space="preserve">Extrapolated for DN1150 by the factor (DN1150/DN1600)^0.6  </t>
  </si>
  <si>
    <t>BQ of Joshi Jampala  dtd. 06/07/2020</t>
  </si>
  <si>
    <t>DN150 header (MS pipe)</t>
  </si>
  <si>
    <t xml:space="preserve"> Ton</t>
  </si>
  <si>
    <t>Nitrogen pipeline &amp; valves for purging and Instrument(MS pipe)</t>
  </si>
  <si>
    <t>Based on Havells cable price list dated 30.01.23 Page 4 with 25% discount. Pricing of extruded PVC inner sheath =7.5% &amp; FRLS=4% extra as per Havells catalogue considered extra</t>
  </si>
  <si>
    <t>Engg Esstimate</t>
  </si>
  <si>
    <t>Engg estimate</t>
  </si>
  <si>
    <t>Erection cranes</t>
  </si>
  <si>
    <t>month</t>
  </si>
  <si>
    <t> Estimate</t>
  </si>
  <si>
    <t>-do-</t>
  </si>
  <si>
    <t>As discussed with TFL, item treated as Mechanical equipment and not structure.</t>
  </si>
  <si>
    <t>Rs. (in Lakhs)</t>
  </si>
  <si>
    <t>lump sum</t>
  </si>
  <si>
    <t>BQ  M/s BDK dated 29.01.2022. Escalated 4% as per wpi (manufacture of machinery and euip.). 10% knockdown taken on BQ.</t>
  </si>
  <si>
    <t>BQ from M/s IL dated: 17.02.2023 from CDMS. 10% knockdown taken on BQ.</t>
  </si>
  <si>
    <t>BQ from M/s MEM dated: 04.02.2023 in CDMS. 10% knockdown taken on BQ.</t>
  </si>
  <si>
    <t>Total : Plant &amp; Equipment</t>
  </si>
  <si>
    <t>TLT BQ dated 30.06.2021. Escalated 7% as per wpi (manufacture of machinery and euip.). 10% knockdown taken on BQ.</t>
  </si>
  <si>
    <t>including refractory</t>
  </si>
  <si>
    <t>Dismantling of Stove shell and building structure: 540 t</t>
  </si>
  <si>
    <t>Toatl : Dismantling</t>
  </si>
  <si>
    <t>Factored out 1.15 from rates based on DSR code.</t>
  </si>
  <si>
    <t>Toatl : dismantled equipment</t>
  </si>
  <si>
    <t>Reerection amount is 12% of total estimate of dismantled equipment</t>
  </si>
  <si>
    <t>Annexure -6.5.6-1</t>
  </si>
  <si>
    <t>Relining of Stoves of BF3</t>
  </si>
  <si>
    <t>BF#3</t>
  </si>
  <si>
    <t>Working volume of  BF#3</t>
  </si>
  <si>
    <r>
      <t>M</t>
    </r>
    <r>
      <rPr>
        <vertAlign val="superscript"/>
        <sz val="12"/>
        <color indexed="8"/>
        <rFont val="Arial"/>
        <family val="2"/>
      </rPr>
      <t>3</t>
    </r>
  </si>
  <si>
    <t>No. of days of operation per year</t>
  </si>
  <si>
    <t>Hot Blast Temperature (Proposed Case)</t>
  </si>
  <si>
    <r>
      <rPr>
        <vertAlign val="superscript"/>
        <sz val="12"/>
        <color indexed="8"/>
        <rFont val="Arial"/>
        <family val="2"/>
      </rPr>
      <t>0</t>
    </r>
    <r>
      <rPr>
        <sz val="12"/>
        <rFont val="Arial"/>
        <family val="2"/>
      </rPr>
      <t>C</t>
    </r>
  </si>
  <si>
    <t xml:space="preserve">Flow rate of BF gas during 2021-22 (Base Case) </t>
  </si>
  <si>
    <r>
      <t>NM</t>
    </r>
    <r>
      <rPr>
        <vertAlign val="superscript"/>
        <sz val="12"/>
        <color indexed="8"/>
        <rFont val="Arial"/>
        <family val="2"/>
      </rPr>
      <t>3</t>
    </r>
    <r>
      <rPr>
        <sz val="12"/>
        <rFont val="Arial"/>
        <family val="2"/>
      </rPr>
      <t>/h</t>
    </r>
  </si>
  <si>
    <t>Flow rate of BF gas (Proposed Case)</t>
  </si>
  <si>
    <t xml:space="preserve">B </t>
  </si>
  <si>
    <t>Furnace-Wise Data</t>
  </si>
  <si>
    <t xml:space="preserve">Hot Blast Temperature during year 2021-22 (Base Case) </t>
  </si>
  <si>
    <t>Productivity of Blast Furnace (Base Case)</t>
  </si>
  <si>
    <r>
      <t>t/M</t>
    </r>
    <r>
      <rPr>
        <vertAlign val="superscript"/>
        <sz val="12"/>
        <color indexed="8"/>
        <rFont val="Arial"/>
        <family val="2"/>
      </rPr>
      <t>3</t>
    </r>
    <r>
      <rPr>
        <sz val="12"/>
        <rFont val="Arial"/>
        <family val="2"/>
      </rPr>
      <t>/day</t>
    </r>
  </si>
  <si>
    <t>Hot Metal Production (Base Case)</t>
  </si>
  <si>
    <t>Eqvt. Addl. Pig Iron (86% yield)</t>
  </si>
  <si>
    <t xml:space="preserve">Coke Rate during year 2021-22(Base Case) </t>
  </si>
  <si>
    <t>Rate (Rs/unit)</t>
  </si>
  <si>
    <t xml:space="preserve">Contribution from Addl. Pig Iron </t>
  </si>
  <si>
    <t>Savings in coke consumption</t>
  </si>
  <si>
    <t xml:space="preserve">CO gas consumption per annum(@2700 Nm3/h) </t>
  </si>
  <si>
    <t xml:space="preserve">Repair &amp; Maint. @ 2.5% </t>
  </si>
  <si>
    <t>Sub-total (D)</t>
  </si>
  <si>
    <t>Gross  Margin (C-D)</t>
  </si>
  <si>
    <t>RDCIS norms</t>
  </si>
  <si>
    <r>
      <t>% productivity increase per 100</t>
    </r>
    <r>
      <rPr>
        <vertAlign val="superscript"/>
        <sz val="10"/>
        <rFont val="Arial"/>
        <family val="2"/>
      </rPr>
      <t>o</t>
    </r>
    <r>
      <rPr>
        <sz val="12"/>
        <rFont val="Arial"/>
        <family val="2"/>
      </rPr>
      <t>C</t>
    </r>
  </si>
  <si>
    <r>
      <t>% CR decrease per 100</t>
    </r>
    <r>
      <rPr>
        <vertAlign val="superscript"/>
        <sz val="10"/>
        <rFont val="Arial"/>
        <family val="2"/>
      </rPr>
      <t>o</t>
    </r>
    <r>
      <rPr>
        <sz val="12"/>
        <rFont val="Arial"/>
        <family val="2"/>
      </rPr>
      <t>C</t>
    </r>
  </si>
  <si>
    <t>HBT 21-22</t>
  </si>
  <si>
    <t>HBT proposed</t>
  </si>
  <si>
    <t>% benefit in productivity</t>
  </si>
  <si>
    <t>% benefit in coke rate</t>
  </si>
  <si>
    <t>Benefits due to upgradation</t>
  </si>
  <si>
    <t>:</t>
  </si>
  <si>
    <t>less coke rate</t>
  </si>
  <si>
    <t xml:space="preserve">Proposed coke rate </t>
  </si>
  <si>
    <t>kg/thm</t>
  </si>
  <si>
    <t>To be considered for techno-economics</t>
  </si>
  <si>
    <t>Total decarease in coke rate</t>
  </si>
  <si>
    <t>Losses due to stove relining 1 month before BF3 shutdown:-</t>
  </si>
  <si>
    <t>Decrease in 200 deg C due to 2 stove operation</t>
  </si>
  <si>
    <t>Temp decrease</t>
  </si>
  <si>
    <t>Norm</t>
  </si>
  <si>
    <t>Benefit %</t>
  </si>
  <si>
    <t>Due to decrease in 200 deg C</t>
  </si>
  <si>
    <t>Change in production and coke rate</t>
  </si>
  <si>
    <t>increase in production</t>
  </si>
  <si>
    <t>Productivity decrease</t>
  </si>
  <si>
    <r>
      <t>% pr. decrease per 100</t>
    </r>
    <r>
      <rPr>
        <vertAlign val="superscript"/>
        <sz val="12"/>
        <rFont val="Arial"/>
        <family val="2"/>
      </rPr>
      <t>o</t>
    </r>
    <r>
      <rPr>
        <sz val="12"/>
        <rFont val="Arial"/>
        <family val="2"/>
      </rPr>
      <t>C</t>
    </r>
  </si>
  <si>
    <t xml:space="preserve">Proposed production </t>
  </si>
  <si>
    <t>Coke rate increase</t>
  </si>
  <si>
    <r>
      <t>% CR increase per 100</t>
    </r>
    <r>
      <rPr>
        <vertAlign val="superscript"/>
        <sz val="12"/>
        <rFont val="Arial"/>
        <family val="2"/>
      </rPr>
      <t>o</t>
    </r>
    <r>
      <rPr>
        <sz val="12"/>
        <rFont val="Arial"/>
        <family val="2"/>
      </rPr>
      <t>C</t>
    </r>
  </si>
  <si>
    <t>Increase in production</t>
  </si>
  <si>
    <t>Rate as per DSP Standard Cost 2021-22</t>
  </si>
  <si>
    <t>Additional Consumption</t>
  </si>
  <si>
    <t>Rate as per DSP Standard Cost 2020-21</t>
  </si>
  <si>
    <t xml:space="preserve">Hot Metal to Pig Iron Yeild </t>
  </si>
  <si>
    <t>Variable Cost of Pig Iron</t>
  </si>
  <si>
    <t>Variable Cost of BF Coke</t>
  </si>
  <si>
    <t>Cost of BF Gas (in Rs./ NM3 or Rs./Gcal)</t>
  </si>
  <si>
    <r>
      <t>Rs./NM</t>
    </r>
    <r>
      <rPr>
        <vertAlign val="superscript"/>
        <sz val="12"/>
        <rFont val="Arial"/>
        <family val="2"/>
      </rPr>
      <t xml:space="preserve">3 </t>
    </r>
  </si>
  <si>
    <t>Cost of CO Gas (in Rs./ NM3 or Rs./Gcal)</t>
  </si>
  <si>
    <r>
      <t>Rs./NM</t>
    </r>
    <r>
      <rPr>
        <vertAlign val="superscript"/>
        <sz val="12"/>
        <rFont val="Arial"/>
        <family val="2"/>
      </rPr>
      <t xml:space="preserve">3  </t>
    </r>
  </si>
  <si>
    <t>DM Water (make-up Water)</t>
  </si>
  <si>
    <r>
      <t>Rs./ThM</t>
    </r>
    <r>
      <rPr>
        <vertAlign val="superscript"/>
        <sz val="12"/>
        <rFont val="Arial"/>
        <family val="2"/>
      </rPr>
      <t>3</t>
    </r>
  </si>
  <si>
    <t>BF do not have data. To be calculated by Consultant.</t>
  </si>
  <si>
    <t>Rs./MW</t>
  </si>
  <si>
    <t>Rs./TC</t>
  </si>
  <si>
    <t>Rs./Tonne</t>
  </si>
  <si>
    <t>NSR for PIG Iron</t>
  </si>
  <si>
    <t>2021-22</t>
  </si>
  <si>
    <t>2022-23 from Apr'22 till date</t>
  </si>
  <si>
    <t>Contribution from Pig Iron</t>
  </si>
  <si>
    <t>Variable Cost ( Rs/THM) of last three years</t>
  </si>
  <si>
    <t>BF Coke</t>
  </si>
  <si>
    <t>Skip Coke</t>
  </si>
  <si>
    <t>Pig Iron</t>
  </si>
  <si>
    <t>What about shutdown?</t>
  </si>
  <si>
    <t>Assignment no. 04/DE/4846 merged in this asignment, Only equipment cost included from the said assignment.</t>
  </si>
  <si>
    <t>BQ from M/s Yokogawa dated: 09.02.2022 from CDMS.  10% knockdown taken on BQ.  Escalated 4% as per wpi (manufacture of machinery and euip.)</t>
  </si>
  <si>
    <t>BQ from M/s Yokogawa dated: 09.02.2022 from CDMS. 10% knockdown taken on BQ.  Escalated 4% as per wpi (manufacture of machinery and euip.)</t>
  </si>
  <si>
    <t>Sub total: Painting</t>
  </si>
  <si>
    <t>Considered this in erection</t>
  </si>
  <si>
    <t>BQ from M/s Energia dated 09.05.2022, who is doing present job of stove no. 4.4 of BF#4, DSP. Uploded in CDMS. 10% knockdown taken on BQ.  Escalated 2% as per wpi (manufacture of machinery and euip.)</t>
  </si>
  <si>
    <t>PO Sage Associate dated 07.07.2018 from CDMS. Escalated 14% as per wpi (manufacture of machinery and euip.)</t>
  </si>
  <si>
    <t>PO Power Flexdated: 13.09.2019 in CDMS.  Escalated 12% as per wpi (manufacture of machinery and euip.)</t>
  </si>
  <si>
    <t>PO Potence Control dated: 24.06.2019 from CDMS. Escalated 12% as per wpi (manufacture of machinery and euip.)</t>
  </si>
  <si>
    <t>BQ from M/s tempsens dated: 04.09.2021 from CDMS. 10% knockdown taken on BQ.  Escalated 7% as per wpi (manufacture of machinery and euip.)</t>
  </si>
  <si>
    <t>BQ from M/s Mechflow dated 26.08.2022 from CDMS. 10% knockdown considered.</t>
  </si>
  <si>
    <t>Installation of 4th stove at DSP (04/DE/3912) cost reference dated june 2020 for initial heating system. (Contract price).  Escalated 24% as per wpi (All commodities).</t>
  </si>
  <si>
    <t>considered in equipment</t>
  </si>
  <si>
    <t xml:space="preserve">Sub-total : Mechanical </t>
  </si>
  <si>
    <t xml:space="preserve">Sub-total : Utility </t>
  </si>
  <si>
    <t>Sub-total : Electrics</t>
  </si>
  <si>
    <t>Sub-total : Process control &amp; automation</t>
  </si>
  <si>
    <t>Total : Refarctory Erection basic cost</t>
  </si>
  <si>
    <t xml:space="preserve">Total : building structure </t>
  </si>
  <si>
    <t>Rate  taken by CTE as per norms</t>
  </si>
  <si>
    <t>Contract price of 4th Stove, BF4 DSP dated 09.02.21.  Escalated 18% as per wpi (All Commodities).</t>
  </si>
  <si>
    <t>1100?</t>
  </si>
  <si>
    <t xml:space="preserve">Hot Blast Valves (DN 2000 / 1300) </t>
  </si>
  <si>
    <t xml:space="preserve">Higher Charges for 1 no.  250t  Capacity Telescopic Crane including operator and helper  excluding fuel </t>
  </si>
  <si>
    <t>Amount (Rs. in Lakhs)</t>
  </si>
  <si>
    <t>Unit rate (Rs.)</t>
  </si>
  <si>
    <t>blue star BQ dated 10.06.2021, 5.84 Cr. for this item</t>
  </si>
  <si>
    <t>BQ of MYK Arment Private Limited. dt 10/02/2023 with 10% discount</t>
  </si>
  <si>
    <t>Crane Mobilisation Charge  (Rs. in Lakhs)</t>
  </si>
  <si>
    <t>Total (Rs. in Lakhs)</t>
  </si>
  <si>
    <r>
      <t>Contract Award Letter No. CC-W/PO-4270011025/RED I-Eqpt Plan/Mnt/LT/ (contract period- 11.05.21 to 10.05.22) issued to M/s  NU CALCUTTA CONSTRUCTION COMP by BSP for BF-7 Capital Repair Refractory Job.</t>
    </r>
    <r>
      <rPr>
        <sz val="11"/>
        <rFont val="Times New Roman"/>
        <family val="1"/>
      </rPr>
      <t>Escalated 13% as per wpi (All Commodities).</t>
    </r>
  </si>
  <si>
    <r>
      <t>Contract Award Letter No. CC-W/PO-4270011025/RED I-Eqpt Plan/Mnt/LT/ (contract period- 11.05.21 to 10.05.22) issued to M/s  NU CALCUTTA CONSTRUCTION COMP by BSP for BF-7 Capital Repair Refractory Job.</t>
    </r>
    <r>
      <rPr>
        <b/>
        <sz val="11"/>
        <rFont val="Times New Roman"/>
        <family val="1"/>
      </rPr>
      <t xml:space="preserve"> </t>
    </r>
    <r>
      <rPr>
        <sz val="11"/>
        <rFont val="Times New Roman"/>
        <family val="1"/>
      </rPr>
      <t>Escalated 13% as per wpi (All Commodities).</t>
    </r>
  </si>
  <si>
    <t>comparable with BQ of Joshi Jampala  dtd. 05/08/2022. 30% knockdown taken on BQ. (Rs. 207 Lakh)</t>
  </si>
  <si>
    <t>Contract price of 4th Stove, BF4 DSP dated 09.02.21 . Escalated 10% as per wpi (manufacture of machinery and equip products).</t>
  </si>
  <si>
    <t>Contract price. CONTRACT NO. DSP/PROJ-PUR/BF4/STOVE4/SC/519 Dated 09.02.2021(Stove 4.4-DSP). Escalated 12% as per wpi (manufacture of machinery and equip.). Erection is factored out.</t>
  </si>
  <si>
    <t>Considered 10% knockdown as it is based on BQs</t>
  </si>
  <si>
    <t>PO</t>
  </si>
  <si>
    <t>BQ</t>
  </si>
  <si>
    <t>Additional erection</t>
  </si>
  <si>
    <t>compared with old PBE of may'20, 04/3912 L2 price. It is Rs. 12.58 crore for one stove</t>
  </si>
  <si>
    <t>Contract based value is Rs. 30 crore</t>
  </si>
  <si>
    <t xml:space="preserve">Pyrometer for DOME temperature measurement </t>
  </si>
  <si>
    <t>new as per DR observations</t>
  </si>
  <si>
    <t>Total : Refractory Supply basic cost</t>
  </si>
  <si>
    <t>BQ of Flexican Bellows dtd. 10/07/2020. Escalated 12% as per wpi (manufacture of machinery and equip.). 10% knockdown taken on BQ.</t>
  </si>
  <si>
    <t>BQ from M/s Fox Solutions pvt. Ltd dated: 08.04.2020 from CDMS. Knockdown 10% and escalated 12% as per wpi (manufacture of machinery and equip.)</t>
  </si>
  <si>
    <t>BQ of M/s Shreekant Industries dated 16.11.21 . Knockdown 15% and escalated 2% by WPI (refractory)</t>
  </si>
  <si>
    <t>BQ of M/s TRL dtd 12.01.22 Knockdown 15% and escalated 0% by WPI (refractory)</t>
  </si>
  <si>
    <t>BQ of M/s DALMIA OCL dtd 04.02.22 Knockdown 15% and (de)escalated 1% by WPI (refractory)considered)</t>
  </si>
  <si>
    <t>Contract price of 4th Stove, BF4 DSP dated 09.02.21 .escalated 7% by WPI (refractory)considered)</t>
  </si>
  <si>
    <t>(Earlier increased 15% by TFM has been factored out from unit rate)</t>
  </si>
  <si>
    <t>BQ of M/s PREMIER dtd 18.11.21  Knockdown 15% and escalated 2% by WPI (refractory)</t>
  </si>
  <si>
    <t>BQ of TRL dtd 14.01.22  Knockdown 15% and escalated 0% by WPI (refractory)</t>
  </si>
  <si>
    <t>BQ of M/s TRL dtd 12.01.22  Knockdown 15% and escalated 0% by WPI (refractory)</t>
  </si>
  <si>
    <t>Contract price of 4th Stove, BF4 DSP dated 09.02.21 escalated 7% by WPI (refractory)considered</t>
  </si>
  <si>
    <t>BQ of M/s Shreekant Industries dated 16.11.21 Knockdown 15% and escalated 2% by WPI (refractory)</t>
  </si>
  <si>
    <t>BQ of M/s PREMIER dtd 18.11.21 Knockdown 15% and escalated 2% by WPI (refractory)</t>
  </si>
  <si>
    <t>Contract price of 4th Stove, BF4 DSP dated 09.02.21. escalated 7% by WPI (refractory)considered)</t>
  </si>
  <si>
    <t>BQ of champion ceramics dtd 14.11.2021. knockdown 15% and escalated 2% by wpi (refractory)</t>
  </si>
  <si>
    <t>BQ of champion ceramics dtd 14.11.2021  knockdown 15% and escalated 2% by wpi (refractory)</t>
  </si>
  <si>
    <t>Contract price of 4th Stove, BF4 DSP dated 09.02.21 escalated 7% by WPI (refractory)considered)</t>
  </si>
  <si>
    <t>BQ of M/s Maity Brothers Mechanical Construction Company &amp; Crane Suppliers attached Date 02.11.2021. 10% knockdown &amp; escalated 5% as per WPI (All commodities)</t>
  </si>
  <si>
    <t>₹ Crore</t>
  </si>
  <si>
    <t xml:space="preserve">Design &amp; Engineering </t>
  </si>
  <si>
    <t xml:space="preserve">Supply of Building steel structures including Sheeting and Glazing </t>
  </si>
  <si>
    <t xml:space="preserve">Civil Engineering Work including all related supplies- Others </t>
  </si>
  <si>
    <t xml:space="preserve">Storage, Handling, Erection of Plant &amp; Equipments &amp; Refractories including Commisioning and PG tests of the facilities </t>
  </si>
  <si>
    <t>Storage, Handling and Erection of Building Steel Structures</t>
  </si>
  <si>
    <t>Training charges:                                                                    (a) For ___________ Foreign mandays,                                                   (b) For ___________Indian mandays</t>
  </si>
  <si>
    <t xml:space="preserve">Customs, Port clearance (excluding duties &amp; cess to be paid by Employer) and Inland transportation (for all items quoted in foreign currency) </t>
  </si>
  <si>
    <t>Comprehensive  / Transit Storage-cum-erection insurance</t>
  </si>
  <si>
    <t>Supply of 2 years O &amp; M spares</t>
  </si>
  <si>
    <t>Sub-total (1 to 13)</t>
  </si>
  <si>
    <t>Input tax credit (ITC) for GST</t>
  </si>
  <si>
    <t>Package cost net of ITC for GST (14-15)</t>
  </si>
  <si>
    <t>Relining of Stoves of BF#3, DSP</t>
  </si>
  <si>
    <t>Annexure-I</t>
  </si>
  <si>
    <t xml:space="preserve">PRICE BID EVALUATION </t>
  </si>
  <si>
    <t xml:space="preserve">Comparative statement of the quoted prices w.r.t. estimate </t>
  </si>
  <si>
    <t xml:space="preserve">ESTIMATE </t>
  </si>
  <si>
    <t>Variance w.r.t estimate</t>
  </si>
  <si>
    <t>Ranking</t>
  </si>
  <si>
    <t>L-1</t>
  </si>
  <si>
    <t>L-2</t>
  </si>
  <si>
    <t>This is a computer generated document. It does not require signature.</t>
  </si>
  <si>
    <t>M/s Primetals Technologies India Private Limited.</t>
  </si>
  <si>
    <t>M/s SMS India Private Limited.</t>
  </si>
  <si>
    <t>M/s Danieli Corus India Private Limited.</t>
  </si>
  <si>
    <t>L-3</t>
  </si>
  <si>
    <t>(a) Supply of Plant &amp; Equipment Incl. Technological Structures</t>
  </si>
  <si>
    <t>(b) Shell below HBM</t>
  </si>
  <si>
    <t>Ref. No.: CET-17(4)/4964/101</t>
  </si>
  <si>
    <t>Date: 09.05.2024</t>
  </si>
  <si>
    <t>Foreign Supervision charges in India during erection, startup, commissioning and PG test for _____mandays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</si>
</sst>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quot;$&quot;#,##0_);[Red]\(&quot;$&quot;#,##0\)"/>
    <numFmt numFmtId="165" formatCode="_(&quot;$&quot;* #,##0.00_);_(&quot;$&quot;* \(#,##0.00\);_(&quot;$&quot;* &quot;-&quot;??_);_(@_)"/>
    <numFmt numFmtId="166" formatCode="_(* #,##0.00_);_(* \(#,##0.00\);_(* &quot;-&quot;??_);_(@_)"/>
    <numFmt numFmtId="167" formatCode="0.00_)"/>
    <numFmt numFmtId="168" formatCode="0_)"/>
    <numFmt numFmtId="169" formatCode="0.0%"/>
    <numFmt numFmtId="170" formatCode="0.000_)"/>
    <numFmt numFmtId="171" formatCode="0.0_)"/>
    <numFmt numFmtId="172" formatCode="0.0000_)"/>
    <numFmt numFmtId="173" formatCode="&quot;Rs&quot;#,##0.00_);[Red]\(&quot;Rs&quot;#,##0.00\)"/>
    <numFmt numFmtId="174" formatCode="0.00000_)"/>
    <numFmt numFmtId="175" formatCode="&quot;₹&quot;\ #,##0.00"/>
    <numFmt numFmtId="176" formatCode="[$€-2]\ #,##0"/>
    <numFmt numFmtId="177" formatCode="[$$-409]#,##0"/>
    <numFmt numFmtId="178" formatCode="0.000000_)"/>
    <numFmt numFmtId="179" formatCode="_-* #,##0_-;\-* #,##0_-;_-* &quot;-&quot;??_-;_-@_-"/>
    <numFmt numFmtId="180" formatCode="0.0"/>
    <numFmt numFmtId="181" formatCode="[$CAD]\ #,##0;\-[$CAD]\ #,##0"/>
    <numFmt numFmtId="182" formatCode="0.000"/>
    <numFmt numFmtId="183" formatCode="0.0000"/>
    <numFmt numFmtId="184" formatCode="#,##0.0000"/>
    <numFmt numFmtId="185" formatCode="_(* #,##0.0000_);_(* \(#,##0.0000\);_(* &quot;-&quot;????_);_(@_)"/>
    <numFmt numFmtId="186" formatCode="_(* #,##0_);_(* \(#,##0\);_(* &quot;-&quot;??_);_(@_)"/>
    <numFmt numFmtId="187" formatCode="0.00000000000"/>
    <numFmt numFmtId="188" formatCode="0.0000000_)"/>
  </numFmts>
  <fonts count="16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b/>
      <sz val="12"/>
      <name val="Times New Roman"/>
      <family val="1"/>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sz val="12"/>
      <name val="Segoe UI"/>
      <family val="2"/>
    </font>
    <font>
      <sz val="12"/>
      <color theme="1"/>
      <name val="Times New Roman"/>
      <family val="1"/>
    </font>
    <font>
      <b/>
      <sz val="9"/>
      <color rgb="FF000000"/>
      <name val="Times New Roman"/>
      <family val="1"/>
    </font>
    <font>
      <b/>
      <sz val="12"/>
      <name val="Calibri"/>
      <family val="2"/>
      <scheme val="minor"/>
    </font>
    <font>
      <sz val="12"/>
      <name val="Calibri"/>
      <family val="2"/>
      <scheme val="minor"/>
    </font>
    <font>
      <sz val="12"/>
      <color theme="1"/>
      <name val="Calibri"/>
      <family val="2"/>
      <scheme val="minor"/>
    </font>
    <font>
      <b/>
      <sz val="12"/>
      <color rgb="FF000000"/>
      <name val="Segoe UI"/>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2"/>
      <color indexed="8"/>
      <name val="Arial"/>
      <family val="2"/>
    </font>
    <font>
      <b/>
      <u/>
      <sz val="16"/>
      <name val="Arial"/>
      <family val="2"/>
    </font>
    <font>
      <b/>
      <sz val="18"/>
      <name val="Arial"/>
      <family val="2"/>
    </font>
    <font>
      <sz val="11"/>
      <color rgb="FF000000"/>
      <name val="Times New Roman"/>
      <family val="1"/>
    </font>
    <font>
      <b/>
      <sz val="10"/>
      <name val="Segoe UI"/>
      <family val="2"/>
    </font>
    <font>
      <sz val="10"/>
      <name val="Segoe UI"/>
      <family val="2"/>
    </font>
    <font>
      <b/>
      <sz val="11"/>
      <name val="Times New Roman"/>
      <family val="1"/>
    </font>
    <font>
      <sz val="9"/>
      <name val="Arial"/>
      <family val="2"/>
    </font>
    <font>
      <sz val="11"/>
      <name val="Times New Roman"/>
      <family val="1"/>
    </font>
    <font>
      <sz val="11"/>
      <color theme="1"/>
      <name val="Times New Roman"/>
      <family val="1"/>
    </font>
    <font>
      <sz val="9"/>
      <name val="Times New Roman"/>
      <family val="1"/>
    </font>
    <font>
      <sz val="12"/>
      <name val="Segoe UI"/>
      <family val="1"/>
    </font>
    <font>
      <sz val="7"/>
      <name val="Times New Roman"/>
      <family val="1"/>
    </font>
    <font>
      <sz val="14"/>
      <color theme="1"/>
      <name val="Arial"/>
      <family val="2"/>
    </font>
    <font>
      <vertAlign val="superscript"/>
      <sz val="10"/>
      <name val="Arial"/>
      <family val="2"/>
    </font>
    <font>
      <vertAlign val="superscript"/>
      <sz val="10"/>
      <color indexed="8"/>
      <name val="Arial"/>
      <family val="2"/>
    </font>
    <font>
      <sz val="12"/>
      <color theme="1"/>
      <name val="Segoe UI"/>
      <family val="2"/>
    </font>
    <font>
      <sz val="11"/>
      <color rgb="FF000000"/>
      <name val="Calibri"/>
      <family val="2"/>
      <charset val="1"/>
    </font>
    <font>
      <u/>
      <sz val="12"/>
      <color theme="10"/>
      <name val="Arial"/>
      <family val="2"/>
    </font>
    <font>
      <u/>
      <sz val="11"/>
      <color rgb="FF0000FF"/>
      <name val="Calibri"/>
      <family val="2"/>
      <scheme val="minor"/>
    </font>
    <font>
      <sz val="10"/>
      <name val="Arial"/>
      <family val="2"/>
    </font>
    <font>
      <vertAlign val="superscript"/>
      <sz val="12"/>
      <color indexed="8"/>
      <name val="Arial"/>
      <family val="2"/>
    </font>
    <font>
      <b/>
      <u/>
      <sz val="12"/>
      <color rgb="FF000000"/>
      <name val="Arial"/>
      <family val="2"/>
    </font>
    <font>
      <b/>
      <sz val="12"/>
      <color rgb="FF000000"/>
      <name val="Arial"/>
      <family val="2"/>
    </font>
    <font>
      <b/>
      <sz val="18"/>
      <color rgb="FF000000"/>
      <name val="Calibri"/>
      <family val="2"/>
    </font>
    <font>
      <sz val="18"/>
      <color rgb="FF000000"/>
      <name val="Calibri"/>
      <family val="2"/>
    </font>
    <font>
      <b/>
      <sz val="9"/>
      <color indexed="81"/>
      <name val="Tahoma"/>
      <family val="2"/>
    </font>
    <font>
      <sz val="9"/>
      <color indexed="81"/>
      <name val="Tahoma"/>
      <family val="2"/>
    </font>
    <font>
      <sz val="11"/>
      <color indexed="81"/>
      <name val="Tahoma"/>
      <family val="2"/>
    </font>
    <font>
      <b/>
      <sz val="11"/>
      <color indexed="81"/>
      <name val="Tahoma"/>
      <family val="2"/>
    </font>
    <font>
      <sz val="10"/>
      <name val="Courier"/>
      <family val="3"/>
    </font>
    <font>
      <sz val="12"/>
      <name val="Helv"/>
    </font>
    <font>
      <sz val="12"/>
      <name val="Arial"/>
      <family val="2"/>
    </font>
    <font>
      <b/>
      <sz val="11"/>
      <name val="Segoe UI"/>
      <family val="2"/>
    </font>
    <font>
      <b/>
      <sz val="11"/>
      <color theme="1" tint="4.9989318521683403E-2"/>
      <name val="Segoe UI"/>
      <family val="2"/>
    </font>
    <font>
      <sz val="11"/>
      <color theme="1" tint="4.9989318521683403E-2"/>
      <name val="Segoe UI"/>
      <family val="2"/>
    </font>
    <font>
      <b/>
      <sz val="12"/>
      <name val="Segoe UI"/>
      <family val="2"/>
    </font>
    <font>
      <b/>
      <sz val="12"/>
      <color theme="1" tint="4.9989318521683403E-2"/>
      <name val="Segoe UI"/>
      <family val="2"/>
    </font>
    <font>
      <sz val="13"/>
      <name val="Segoe UI"/>
      <family val="2"/>
    </font>
    <font>
      <b/>
      <sz val="13"/>
      <name val="Segoe UI"/>
      <family val="2"/>
    </font>
    <font>
      <b/>
      <sz val="13"/>
      <color theme="1" tint="4.9989318521683403E-2"/>
      <name val="Segoe UI"/>
      <family val="2"/>
    </font>
    <font>
      <sz val="12"/>
      <color theme="1" tint="4.9989318521683403E-2"/>
      <name val="Segoe UI"/>
      <family val="2"/>
    </font>
    <font>
      <sz val="11"/>
      <name val="Segoe UI"/>
      <family val="2"/>
    </font>
    <font>
      <b/>
      <u/>
      <sz val="13"/>
      <name val="Segoe UI"/>
      <family val="2"/>
    </font>
  </fonts>
  <fills count="2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theme="8" tint="0.39997558519241921"/>
        <bgColor indexed="64"/>
      </patternFill>
    </fill>
    <fill>
      <patternFill patternType="solid">
        <fgColor rgb="FFFF0000"/>
        <bgColor indexed="64"/>
      </patternFill>
    </fill>
    <fill>
      <patternFill patternType="solid">
        <fgColor rgb="FF00B050"/>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8"/>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s>
  <cellStyleXfs count="2762">
    <xf numFmtId="167" fontId="0" fillId="0" borderId="0"/>
    <xf numFmtId="167" fontId="47" fillId="0" borderId="0"/>
    <xf numFmtId="9" fontId="28"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xf numFmtId="9" fontId="28" fillId="0" borderId="0" applyFont="0" applyFill="0" applyBorder="0" applyAlignment="0" applyProtection="0"/>
    <xf numFmtId="0" fontId="26" fillId="0" borderId="0"/>
    <xf numFmtId="166" fontId="33" fillId="0" borderId="0"/>
    <xf numFmtId="0" fontId="25" fillId="0" borderId="0"/>
    <xf numFmtId="167" fontId="33" fillId="0" borderId="0"/>
    <xf numFmtId="0" fontId="24" fillId="0" borderId="0"/>
    <xf numFmtId="0" fontId="24" fillId="0" borderId="0"/>
    <xf numFmtId="167" fontId="33" fillId="0" borderId="0"/>
    <xf numFmtId="179" fontId="33" fillId="0" borderId="0"/>
    <xf numFmtId="181" fontId="28" fillId="0" borderId="0"/>
    <xf numFmtId="167" fontId="33" fillId="0" borderId="0"/>
    <xf numFmtId="0" fontId="28" fillId="0" borderId="0"/>
    <xf numFmtId="0" fontId="22" fillId="0" borderId="0"/>
    <xf numFmtId="167" fontId="33" fillId="0" borderId="0"/>
    <xf numFmtId="166" fontId="28" fillId="0" borderId="0" applyFont="0" applyFill="0" applyBorder="0" applyAlignment="0" applyProtection="0"/>
    <xf numFmtId="0" fontId="21" fillId="0" borderId="0"/>
    <xf numFmtId="0" fontId="2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7" fontId="88" fillId="0" borderId="0"/>
    <xf numFmtId="9" fontId="2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 fillId="0" borderId="0"/>
    <xf numFmtId="0" fontId="15" fillId="0" borderId="0"/>
    <xf numFmtId="0" fontId="15" fillId="0" borderId="0"/>
    <xf numFmtId="0" fontId="15" fillId="0" borderId="0"/>
    <xf numFmtId="0" fontId="15" fillId="0" borderId="0"/>
    <xf numFmtId="0" fontId="15" fillId="0" borderId="0"/>
    <xf numFmtId="166" fontId="33" fillId="0" borderId="0" applyFont="0" applyFill="0" applyBorder="0" applyAlignment="0" applyProtection="0"/>
    <xf numFmtId="9" fontId="28" fillId="0" borderId="0" applyFont="0" applyFill="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3" fillId="11" borderId="0" applyNumberFormat="0" applyBorder="0" applyAlignment="0" applyProtection="0"/>
    <xf numFmtId="0" fontId="103" fillId="9" borderId="0" applyNumberFormat="0" applyBorder="0" applyAlignment="0" applyProtection="0"/>
    <xf numFmtId="0" fontId="103" fillId="11" borderId="0" applyNumberFormat="0" applyBorder="0" applyAlignment="0" applyProtection="0"/>
    <xf numFmtId="0" fontId="103" fillId="8"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11" borderId="0" applyNumberFormat="0" applyBorder="0" applyAlignment="0" applyProtection="0"/>
    <xf numFmtId="0" fontId="103" fillId="9"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3" borderId="0" applyNumberFormat="0" applyBorder="0" applyAlignment="0" applyProtection="0"/>
    <xf numFmtId="0" fontId="104" fillId="11" borderId="0" applyNumberFormat="0" applyBorder="0" applyAlignment="0" applyProtection="0"/>
    <xf numFmtId="0" fontId="104" fillId="8" borderId="0" applyNumberFormat="0" applyBorder="0" applyAlignment="0" applyProtection="0"/>
    <xf numFmtId="0" fontId="104" fillId="16"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5" fillId="20" borderId="0" applyNumberFormat="0" applyBorder="0" applyAlignment="0" applyProtection="0"/>
    <xf numFmtId="0" fontId="106" fillId="21" borderId="44" applyNumberFormat="0" applyAlignment="0" applyProtection="0"/>
    <xf numFmtId="0" fontId="107" fillId="22" borderId="45" applyNumberFormat="0" applyAlignment="0" applyProtection="0"/>
    <xf numFmtId="0" fontId="108" fillId="0" borderId="0" applyNumberFormat="0" applyFill="0" applyBorder="0" applyAlignment="0" applyProtection="0"/>
    <xf numFmtId="0" fontId="109" fillId="11" borderId="0" applyNumberFormat="0" applyBorder="0" applyAlignment="0" applyProtection="0"/>
    <xf numFmtId="0" fontId="110" fillId="0" borderId="46" applyNumberFormat="0" applyFill="0" applyAlignment="0" applyProtection="0"/>
    <xf numFmtId="0" fontId="111" fillId="0" borderId="47" applyNumberFormat="0" applyFill="0" applyAlignment="0" applyProtection="0"/>
    <xf numFmtId="0" fontId="112" fillId="0" borderId="48" applyNumberFormat="0" applyFill="0" applyAlignment="0" applyProtection="0"/>
    <xf numFmtId="0" fontId="112" fillId="0" borderId="0" applyNumberFormat="0" applyFill="0" applyBorder="0" applyAlignment="0" applyProtection="0"/>
    <xf numFmtId="0" fontId="113" fillId="12" borderId="44" applyNumberFormat="0" applyAlignment="0" applyProtection="0"/>
    <xf numFmtId="0" fontId="114" fillId="0" borderId="49" applyNumberFormat="0" applyFill="0" applyAlignment="0" applyProtection="0"/>
    <xf numFmtId="0" fontId="115" fillId="12" borderId="0" applyNumberFormat="0" applyBorder="0" applyAlignment="0" applyProtection="0"/>
    <xf numFmtId="185" fontId="33" fillId="0" borderId="0"/>
    <xf numFmtId="0" fontId="28" fillId="9" borderId="50" applyNumberFormat="0" applyFont="0" applyAlignment="0" applyProtection="0"/>
    <xf numFmtId="0" fontId="116" fillId="21" borderId="51" applyNumberFormat="0" applyAlignment="0" applyProtection="0"/>
    <xf numFmtId="0" fontId="117" fillId="0" borderId="0" applyNumberFormat="0" applyFill="0" applyBorder="0" applyAlignment="0" applyProtection="0"/>
    <xf numFmtId="0" fontId="118" fillId="0" borderId="52" applyNumberFormat="0" applyFill="0" applyAlignment="0" applyProtection="0"/>
    <xf numFmtId="0" fontId="114" fillId="0" borderId="0" applyNumberFormat="0" applyFill="0" applyBorder="0" applyAlignment="0" applyProtection="0"/>
    <xf numFmtId="43" fontId="33" fillId="0" borderId="0" applyFont="0" applyFill="0" applyBorder="0" applyAlignment="0" applyProtection="0"/>
    <xf numFmtId="0" fontId="28" fillId="0" borderId="0"/>
    <xf numFmtId="0" fontId="14" fillId="0" borderId="0"/>
    <xf numFmtId="167" fontId="33" fillId="0" borderId="0"/>
    <xf numFmtId="0" fontId="38" fillId="0" borderId="0"/>
    <xf numFmtId="167" fontId="33" fillId="0" borderId="0"/>
    <xf numFmtId="0" fontId="132" fillId="0" borderId="0"/>
    <xf numFmtId="166" fontId="33" fillId="0" borderId="0" applyFont="0" applyFill="0" applyBorder="0" applyAlignment="0" applyProtection="0"/>
    <xf numFmtId="166" fontId="33" fillId="0" borderId="0" applyFont="0" applyFill="0" applyBorder="0" applyAlignment="0" applyProtection="0"/>
    <xf numFmtId="0" fontId="136" fillId="0" borderId="0"/>
    <xf numFmtId="167" fontId="137" fillId="0" borderId="0" applyNumberFormat="0" applyFill="0" applyBorder="0" applyAlignment="0" applyProtection="0"/>
    <xf numFmtId="0" fontId="138"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33" fillId="0" borderId="0"/>
    <xf numFmtId="0" fontId="28" fillId="0" borderId="0"/>
    <xf numFmtId="167" fontId="33" fillId="0" borderId="0"/>
    <xf numFmtId="167" fontId="33" fillId="0" borderId="0"/>
    <xf numFmtId="0" fontId="38" fillId="0" borderId="0"/>
    <xf numFmtId="167" fontId="33" fillId="0" borderId="0"/>
    <xf numFmtId="0" fontId="14" fillId="0" borderId="0"/>
    <xf numFmtId="0" fontId="14" fillId="0" borderId="0"/>
    <xf numFmtId="0" fontId="14" fillId="0" borderId="0"/>
    <xf numFmtId="0" fontId="14" fillId="0" borderId="0"/>
    <xf numFmtId="166"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9" fillId="0" borderId="0"/>
    <xf numFmtId="9" fontId="139" fillId="0" borderId="0" applyFont="0" applyFill="0" applyBorder="0" applyAlignment="0" applyProtection="0"/>
    <xf numFmtId="0" fontId="12" fillId="0" borderId="0"/>
    <xf numFmtId="0" fontId="28" fillId="0" borderId="0"/>
    <xf numFmtId="9" fontId="28" fillId="0" borderId="0" applyFont="0" applyFill="0" applyBorder="0" applyAlignment="0" applyProtection="0"/>
    <xf numFmtId="0" fontId="11" fillId="0" borderId="0"/>
    <xf numFmtId="166" fontId="28" fillId="0" borderId="0" applyFont="0" applyFill="0" applyBorder="0" applyAlignment="0" applyProtection="0"/>
    <xf numFmtId="167" fontId="137"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4"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9" fontId="14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4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3"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174" fontId="33"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10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5" fontId="33" fillId="0" borderId="0" applyFont="0" applyFill="0" applyBorder="0" applyAlignment="0" applyProtection="0"/>
    <xf numFmtId="0" fontId="7" fillId="0" borderId="0"/>
    <xf numFmtId="0" fontId="7" fillId="0" borderId="0"/>
    <xf numFmtId="166" fontId="33" fillId="0" borderId="0"/>
    <xf numFmtId="0" fontId="116" fillId="21" borderId="5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118" fillId="0" borderId="52" applyNumberFormat="0" applyFill="0" applyAlignment="0" applyProtection="0"/>
    <xf numFmtId="166" fontId="33" fillId="0" borderId="0" applyFont="0" applyFill="0" applyBorder="0" applyAlignment="0" applyProtection="0"/>
    <xf numFmtId="44" fontId="33" fillId="0" borderId="0" applyFont="0" applyFill="0" applyBorder="0" applyAlignment="0" applyProtection="0"/>
    <xf numFmtId="0" fontId="28" fillId="0" borderId="0"/>
    <xf numFmtId="0" fontId="28" fillId="0" borderId="0"/>
    <xf numFmtId="0" fontId="28" fillId="0" borderId="0"/>
    <xf numFmtId="0" fontId="28" fillId="0" borderId="0"/>
    <xf numFmtId="167" fontId="33" fillId="0" borderId="0"/>
    <xf numFmtId="0" fontId="6" fillId="0" borderId="0"/>
    <xf numFmtId="0" fontId="6" fillId="0" borderId="0"/>
    <xf numFmtId="0" fontId="28"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4" fontId="33" fillId="0" borderId="0"/>
    <xf numFmtId="169" fontId="33" fillId="0" borderId="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8" fillId="0" borderId="0"/>
    <xf numFmtId="0" fontId="6" fillId="0" borderId="0"/>
    <xf numFmtId="174" fontId="33"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21" borderId="44" applyNumberFormat="0" applyAlignment="0" applyProtection="0"/>
    <xf numFmtId="0" fontId="113" fillId="12"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9" borderId="50" applyNumberFormat="0" applyFont="0" applyAlignment="0" applyProtection="0"/>
    <xf numFmtId="165" fontId="15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1417">
    <xf numFmtId="167" fontId="0" fillId="0" borderId="0" xfId="0"/>
    <xf numFmtId="167" fontId="30" fillId="0" borderId="0" xfId="0" applyFont="1"/>
    <xf numFmtId="167" fontId="30" fillId="0" borderId="0" xfId="0" applyFont="1" applyAlignment="1">
      <alignment horizontal="center"/>
    </xf>
    <xf numFmtId="167" fontId="33" fillId="0" borderId="0" xfId="0" applyFont="1"/>
    <xf numFmtId="167" fontId="33" fillId="0" borderId="0" xfId="0" applyFont="1" applyAlignment="1">
      <alignment horizontal="right"/>
    </xf>
    <xf numFmtId="167" fontId="33" fillId="0" borderId="0" xfId="0" applyFont="1" applyAlignment="1">
      <alignment horizontal="center"/>
    </xf>
    <xf numFmtId="9" fontId="33" fillId="0" borderId="0" xfId="2" applyFont="1"/>
    <xf numFmtId="167" fontId="31" fillId="0" borderId="0" xfId="0" applyFont="1"/>
    <xf numFmtId="167" fontId="35" fillId="0" borderId="0" xfId="0" applyFont="1"/>
    <xf numFmtId="167" fontId="0" fillId="0" borderId="0" xfId="0" applyAlignment="1">
      <alignment horizontal="center"/>
    </xf>
    <xf numFmtId="167" fontId="32" fillId="0" borderId="0" xfId="0" applyFont="1"/>
    <xf numFmtId="168" fontId="0" fillId="0" borderId="0" xfId="0" applyNumberFormat="1"/>
    <xf numFmtId="167" fontId="33" fillId="0" borderId="2" xfId="0" applyFont="1" applyBorder="1"/>
    <xf numFmtId="167" fontId="33" fillId="0" borderId="4" xfId="0" applyFont="1" applyBorder="1"/>
    <xf numFmtId="167" fontId="33" fillId="0" borderId="5" xfId="0" applyFont="1" applyBorder="1"/>
    <xf numFmtId="167" fontId="33" fillId="0" borderId="10" xfId="0" applyFont="1" applyBorder="1" applyAlignment="1">
      <alignment horizontal="center"/>
    </xf>
    <xf numFmtId="167" fontId="33" fillId="0" borderId="4" xfId="0" applyFont="1" applyBorder="1" applyAlignment="1">
      <alignment horizontal="center"/>
    </xf>
    <xf numFmtId="167" fontId="32" fillId="0" borderId="0" xfId="0" applyFont="1" applyAlignment="1">
      <alignment horizontal="right"/>
    </xf>
    <xf numFmtId="167" fontId="34" fillId="0" borderId="0" xfId="0" applyFont="1"/>
    <xf numFmtId="167" fontId="39" fillId="0" borderId="0" xfId="0" applyFont="1"/>
    <xf numFmtId="9" fontId="39" fillId="0" borderId="0" xfId="2" applyFont="1" applyBorder="1"/>
    <xf numFmtId="167" fontId="0" fillId="0" borderId="4" xfId="0" applyBorder="1"/>
    <xf numFmtId="167" fontId="0" fillId="0" borderId="4" xfId="0" applyBorder="1" applyAlignment="1">
      <alignment horizontal="center"/>
    </xf>
    <xf numFmtId="167" fontId="40" fillId="0" borderId="0" xfId="0" applyFont="1"/>
    <xf numFmtId="167" fontId="41" fillId="0" borderId="0" xfId="0" applyFont="1"/>
    <xf numFmtId="171" fontId="40" fillId="0" borderId="0" xfId="0" applyNumberFormat="1" applyFont="1"/>
    <xf numFmtId="167" fontId="0" fillId="0" borderId="0" xfId="0" applyAlignment="1">
      <alignment horizontal="fill"/>
    </xf>
    <xf numFmtId="167" fontId="42" fillId="0" borderId="0" xfId="0" applyFont="1"/>
    <xf numFmtId="172" fontId="32" fillId="0" borderId="0" xfId="0" applyNumberFormat="1" applyFont="1"/>
    <xf numFmtId="167" fontId="40" fillId="0" borderId="0" xfId="0" applyFont="1" applyAlignment="1">
      <alignment horizontal="left"/>
    </xf>
    <xf numFmtId="2" fontId="33" fillId="0" borderId="0" xfId="0" applyNumberFormat="1" applyFont="1"/>
    <xf numFmtId="167" fontId="43" fillId="0" borderId="5" xfId="0" applyFont="1" applyBorder="1"/>
    <xf numFmtId="168" fontId="33" fillId="0" borderId="5" xfId="0" applyNumberFormat="1" applyFont="1" applyBorder="1" applyAlignment="1">
      <alignment horizontal="center"/>
    </xf>
    <xf numFmtId="168" fontId="32" fillId="0" borderId="0" xfId="0" applyNumberFormat="1" applyFont="1" applyAlignment="1">
      <alignment horizontal="right"/>
    </xf>
    <xf numFmtId="9" fontId="0" fillId="0" borderId="0" xfId="2" applyFont="1" applyBorder="1"/>
    <xf numFmtId="167" fontId="43" fillId="0" borderId="8" xfId="0" applyFont="1" applyBorder="1"/>
    <xf numFmtId="9" fontId="33" fillId="0" borderId="8" xfId="2" applyFont="1" applyBorder="1" applyAlignment="1" applyProtection="1">
      <alignment horizontal="right"/>
    </xf>
    <xf numFmtId="9" fontId="32" fillId="0" borderId="0" xfId="2" applyFont="1" applyBorder="1" applyAlignment="1" applyProtection="1">
      <alignment horizontal="right"/>
    </xf>
    <xf numFmtId="9" fontId="33" fillId="0" borderId="0" xfId="2" applyFont="1" applyBorder="1"/>
    <xf numFmtId="167" fontId="43" fillId="0" borderId="0" xfId="0" applyFont="1"/>
    <xf numFmtId="2" fontId="43" fillId="0" borderId="0" xfId="0" applyNumberFormat="1" applyFont="1"/>
    <xf numFmtId="167" fontId="0" fillId="0" borderId="8" xfId="0" applyBorder="1"/>
    <xf numFmtId="167" fontId="44" fillId="0" borderId="0" xfId="0" applyFont="1"/>
    <xf numFmtId="10" fontId="40" fillId="0" borderId="0" xfId="2" applyNumberFormat="1" applyFont="1" applyProtection="1"/>
    <xf numFmtId="168" fontId="0" fillId="0" borderId="0" xfId="0" applyNumberFormat="1" applyAlignment="1">
      <alignment horizontal="fill"/>
    </xf>
    <xf numFmtId="167" fontId="43" fillId="0" borderId="4" xfId="0" applyFont="1" applyBorder="1"/>
    <xf numFmtId="171" fontId="43" fillId="0" borderId="0" xfId="0" applyNumberFormat="1" applyFont="1"/>
    <xf numFmtId="9" fontId="44" fillId="0" borderId="0" xfId="0" applyNumberFormat="1" applyFont="1"/>
    <xf numFmtId="172" fontId="33" fillId="0" borderId="0" xfId="0" applyNumberFormat="1" applyFont="1"/>
    <xf numFmtId="167" fontId="43" fillId="0" borderId="14" xfId="0" applyFont="1" applyBorder="1"/>
    <xf numFmtId="168" fontId="43" fillId="0" borderId="8" xfId="0" applyNumberFormat="1" applyFont="1" applyBorder="1" applyAlignment="1">
      <alignment horizontal="center"/>
    </xf>
    <xf numFmtId="168" fontId="43" fillId="0" borderId="13" xfId="0" applyNumberFormat="1" applyFont="1" applyBorder="1" applyAlignment="1">
      <alignment horizontal="center"/>
    </xf>
    <xf numFmtId="168" fontId="40" fillId="0" borderId="0" xfId="0" applyNumberFormat="1" applyFont="1"/>
    <xf numFmtId="167" fontId="32" fillId="0" borderId="8" xfId="0" applyFont="1" applyBorder="1"/>
    <xf numFmtId="9" fontId="32" fillId="0" borderId="0" xfId="2" applyFont="1"/>
    <xf numFmtId="167" fontId="43" fillId="0" borderId="0" xfId="0" applyFont="1" applyAlignment="1">
      <alignment horizontal="right"/>
    </xf>
    <xf numFmtId="167" fontId="43" fillId="0" borderId="15" xfId="0" applyFont="1" applyBorder="1"/>
    <xf numFmtId="167" fontId="43" fillId="0" borderId="16" xfId="0" applyFont="1" applyBorder="1"/>
    <xf numFmtId="167" fontId="43" fillId="0" borderId="17" xfId="0" applyFont="1" applyBorder="1"/>
    <xf numFmtId="167" fontId="43" fillId="0" borderId="18" xfId="0" applyFont="1" applyBorder="1"/>
    <xf numFmtId="167" fontId="32" fillId="0" borderId="5" xfId="0" applyFont="1" applyBorder="1"/>
    <xf numFmtId="168" fontId="32" fillId="0" borderId="0" xfId="0" applyNumberFormat="1" applyFont="1" applyAlignment="1">
      <alignment horizontal="left"/>
    </xf>
    <xf numFmtId="167" fontId="36" fillId="0" borderId="0" xfId="0" applyFont="1" applyAlignment="1">
      <alignment horizontal="right"/>
    </xf>
    <xf numFmtId="168" fontId="33" fillId="0" borderId="0" xfId="0" applyNumberFormat="1" applyFont="1" applyAlignment="1">
      <alignment horizontal="right"/>
    </xf>
    <xf numFmtId="168" fontId="32" fillId="0" borderId="0" xfId="0" applyNumberFormat="1" applyFont="1"/>
    <xf numFmtId="10" fontId="33" fillId="0" borderId="0" xfId="2" applyNumberFormat="1" applyFont="1" applyFill="1" applyBorder="1" applyAlignment="1" applyProtection="1"/>
    <xf numFmtId="10" fontId="33" fillId="0" borderId="0" xfId="2" applyNumberFormat="1" applyFont="1"/>
    <xf numFmtId="167" fontId="0" fillId="0" borderId="0" xfId="0" quotePrefix="1"/>
    <xf numFmtId="168" fontId="32" fillId="0" borderId="4" xfId="0" applyNumberFormat="1" applyFont="1" applyBorder="1"/>
    <xf numFmtId="10" fontId="33" fillId="0" borderId="0" xfId="2" applyNumberFormat="1" applyFont="1" applyBorder="1"/>
    <xf numFmtId="168" fontId="32" fillId="0" borderId="0" xfId="0" applyNumberFormat="1" applyFont="1" applyAlignment="1">
      <alignment horizontal="center"/>
    </xf>
    <xf numFmtId="168" fontId="33" fillId="0" borderId="0" xfId="0" applyNumberFormat="1" applyFont="1" applyAlignment="1">
      <alignment horizontal="left"/>
    </xf>
    <xf numFmtId="168" fontId="33" fillId="0" borderId="0" xfId="0" applyNumberFormat="1" applyFont="1" applyAlignment="1">
      <alignment horizontal="center"/>
    </xf>
    <xf numFmtId="167" fontId="38" fillId="0" borderId="0" xfId="0" applyFont="1"/>
    <xf numFmtId="167" fontId="37" fillId="0" borderId="0" xfId="0" applyFont="1"/>
    <xf numFmtId="167" fontId="38" fillId="0" borderId="0" xfId="0" applyFont="1" applyAlignment="1">
      <alignment horizontal="center"/>
    </xf>
    <xf numFmtId="167" fontId="37" fillId="0" borderId="0" xfId="0" applyFont="1" applyAlignment="1">
      <alignment horizontal="center"/>
    </xf>
    <xf numFmtId="168" fontId="38" fillId="0" borderId="5" xfId="0" applyNumberFormat="1" applyFont="1" applyBorder="1" applyAlignment="1">
      <alignment horizontal="center"/>
    </xf>
    <xf numFmtId="167" fontId="38" fillId="0" borderId="5" xfId="0" applyFont="1" applyBorder="1" applyAlignment="1">
      <alignment horizontal="left"/>
    </xf>
    <xf numFmtId="2" fontId="31" fillId="0" borderId="0" xfId="0" applyNumberFormat="1" applyFont="1"/>
    <xf numFmtId="167" fontId="33" fillId="0" borderId="5" xfId="0" applyFont="1" applyBorder="1" applyAlignment="1">
      <alignment vertical="top" wrapText="1"/>
    </xf>
    <xf numFmtId="167" fontId="46" fillId="0" borderId="0" xfId="0" applyFont="1"/>
    <xf numFmtId="0" fontId="0" fillId="0" borderId="0" xfId="0" applyNumberFormat="1"/>
    <xf numFmtId="0" fontId="39" fillId="0" borderId="0" xfId="0" applyNumberFormat="1" applyFont="1"/>
    <xf numFmtId="0" fontId="33" fillId="0" borderId="0" xfId="0" applyNumberFormat="1" applyFont="1"/>
    <xf numFmtId="0" fontId="34" fillId="0" borderId="0" xfId="0" applyNumberFormat="1" applyFont="1"/>
    <xf numFmtId="2" fontId="0" fillId="0" borderId="0" xfId="0" applyNumberFormat="1"/>
    <xf numFmtId="167" fontId="30" fillId="0" borderId="0" xfId="0" applyFont="1" applyAlignment="1">
      <alignment horizontal="left"/>
    </xf>
    <xf numFmtId="10" fontId="33" fillId="0" borderId="0" xfId="2" applyNumberFormat="1" applyFont="1" applyAlignment="1">
      <alignment horizontal="center"/>
    </xf>
    <xf numFmtId="10" fontId="33" fillId="0" borderId="4" xfId="2" applyNumberFormat="1" applyFont="1" applyBorder="1" applyAlignment="1">
      <alignment horizontal="center"/>
    </xf>
    <xf numFmtId="167" fontId="33" fillId="0" borderId="5" xfId="0" applyFont="1" applyBorder="1" applyAlignment="1">
      <alignment horizontal="center"/>
    </xf>
    <xf numFmtId="167" fontId="30" fillId="0" borderId="0" xfId="0" applyFont="1" applyAlignment="1">
      <alignment vertical="top"/>
    </xf>
    <xf numFmtId="167" fontId="38" fillId="0" borderId="5" xfId="0" applyFont="1" applyBorder="1" applyAlignment="1">
      <alignment horizontal="center"/>
    </xf>
    <xf numFmtId="49" fontId="38" fillId="0" borderId="5" xfId="0" applyNumberFormat="1" applyFont="1" applyBorder="1" applyAlignment="1">
      <alignment horizontal="center"/>
    </xf>
    <xf numFmtId="168" fontId="33" fillId="0" borderId="5" xfId="0" applyNumberFormat="1" applyFont="1" applyBorder="1" applyAlignment="1">
      <alignment horizontal="center" vertical="top"/>
    </xf>
    <xf numFmtId="10" fontId="33" fillId="0" borderId="5" xfId="2" applyNumberFormat="1" applyFont="1" applyBorder="1" applyAlignment="1">
      <alignment horizontal="right" vertical="top"/>
    </xf>
    <xf numFmtId="167" fontId="33" fillId="0" borderId="5" xfId="0" applyFont="1" applyBorder="1" applyAlignment="1">
      <alignment horizontal="left" vertical="top" wrapText="1"/>
    </xf>
    <xf numFmtId="167" fontId="28" fillId="0" borderId="0" xfId="0" applyFont="1"/>
    <xf numFmtId="170" fontId="0" fillId="0" borderId="0" xfId="0" applyNumberFormat="1"/>
    <xf numFmtId="174" fontId="32" fillId="0" borderId="0" xfId="0" applyNumberFormat="1" applyFont="1"/>
    <xf numFmtId="174" fontId="32" fillId="0" borderId="0" xfId="2" applyNumberFormat="1" applyFont="1"/>
    <xf numFmtId="10" fontId="33" fillId="0" borderId="4" xfId="2" applyNumberFormat="1" applyFont="1" applyBorder="1"/>
    <xf numFmtId="167" fontId="48" fillId="0" borderId="0" xfId="0" applyFont="1"/>
    <xf numFmtId="167" fontId="48" fillId="0" borderId="8" xfId="0" applyFont="1" applyBorder="1"/>
    <xf numFmtId="167" fontId="46" fillId="0" borderId="0" xfId="0" applyFont="1" applyAlignment="1">
      <alignment horizontal="right"/>
    </xf>
    <xf numFmtId="167" fontId="33" fillId="0" borderId="4" xfId="0" quotePrefix="1" applyFont="1" applyBorder="1"/>
    <xf numFmtId="0" fontId="55" fillId="0" borderId="14" xfId="5" applyFont="1" applyBorder="1" applyAlignment="1">
      <alignment horizontal="center" vertical="top" wrapText="1"/>
    </xf>
    <xf numFmtId="0" fontId="49" fillId="0" borderId="0" xfId="5" applyFont="1" applyAlignment="1">
      <alignment vertical="top"/>
    </xf>
    <xf numFmtId="167" fontId="30" fillId="0" borderId="5" xfId="0" applyFont="1" applyBorder="1" applyAlignment="1">
      <alignment vertical="center"/>
    </xf>
    <xf numFmtId="167" fontId="33" fillId="0" borderId="5" xfId="0" applyFont="1" applyBorder="1" applyAlignment="1">
      <alignment vertical="center"/>
    </xf>
    <xf numFmtId="167" fontId="33" fillId="0" borderId="0" xfId="0" applyFont="1" applyAlignment="1">
      <alignment vertical="center"/>
    </xf>
    <xf numFmtId="167" fontId="30" fillId="0" borderId="0" xfId="0" applyFont="1" applyAlignment="1">
      <alignment horizontal="right"/>
    </xf>
    <xf numFmtId="167" fontId="33" fillId="0" borderId="0" xfId="0" applyFont="1" applyAlignment="1">
      <alignment vertical="top"/>
    </xf>
    <xf numFmtId="167" fontId="33" fillId="0" borderId="0" xfId="0" applyFont="1" applyAlignment="1">
      <alignment vertical="top" wrapText="1"/>
    </xf>
    <xf numFmtId="10" fontId="0" fillId="0" borderId="4" xfId="2" applyNumberFormat="1" applyFont="1" applyBorder="1"/>
    <xf numFmtId="174" fontId="0" fillId="0" borderId="0" xfId="0" applyNumberFormat="1"/>
    <xf numFmtId="174" fontId="0" fillId="0" borderId="4" xfId="0" applyNumberFormat="1" applyBorder="1"/>
    <xf numFmtId="167" fontId="61" fillId="0" borderId="0" xfId="0" applyFont="1"/>
    <xf numFmtId="0" fontId="35" fillId="0" borderId="0" xfId="0" applyNumberFormat="1" applyFont="1"/>
    <xf numFmtId="0" fontId="33" fillId="0" borderId="5" xfId="0" applyNumberFormat="1" applyFont="1" applyBorder="1"/>
    <xf numFmtId="167" fontId="0" fillId="0" borderId="5" xfId="0" applyBorder="1" applyAlignment="1">
      <alignment horizontal="center"/>
    </xf>
    <xf numFmtId="0" fontId="43" fillId="0" borderId="0" xfId="0" applyNumberFormat="1" applyFont="1"/>
    <xf numFmtId="0" fontId="43" fillId="0" borderId="4" xfId="0" applyNumberFormat="1" applyFont="1" applyBorder="1"/>
    <xf numFmtId="0" fontId="33" fillId="0" borderId="4" xfId="0" applyNumberFormat="1" applyFont="1" applyBorder="1"/>
    <xf numFmtId="170" fontId="33" fillId="0" borderId="0" xfId="0" applyNumberFormat="1" applyFont="1"/>
    <xf numFmtId="0" fontId="50" fillId="0" borderId="0" xfId="5" applyFont="1" applyAlignment="1">
      <alignment horizontal="left" vertical="center"/>
    </xf>
    <xf numFmtId="0" fontId="49" fillId="0" borderId="0" xfId="5" applyFont="1"/>
    <xf numFmtId="0" fontId="49" fillId="0" borderId="0" xfId="5" applyFont="1" applyAlignment="1">
      <alignment horizontal="left" vertical="center" indent="1"/>
    </xf>
    <xf numFmtId="0" fontId="51" fillId="0" borderId="0" xfId="5" applyFont="1" applyAlignment="1">
      <alignment horizontal="left" vertical="center" indent="1"/>
    </xf>
    <xf numFmtId="0" fontId="49" fillId="0" borderId="0" xfId="5" applyFont="1" applyAlignment="1">
      <alignment horizontal="left" vertical="center" indent="8"/>
    </xf>
    <xf numFmtId="0" fontId="52" fillId="0" borderId="0" xfId="5" applyFont="1" applyAlignment="1">
      <alignment vertical="center"/>
    </xf>
    <xf numFmtId="0" fontId="54" fillId="0" borderId="5" xfId="5" applyFont="1" applyBorder="1" applyAlignment="1">
      <alignment horizontal="center" vertical="top" wrapText="1"/>
    </xf>
    <xf numFmtId="0" fontId="54" fillId="0" borderId="8" xfId="5" applyFont="1" applyBorder="1" applyAlignment="1">
      <alignment horizontal="center" vertical="top" wrapText="1"/>
    </xf>
    <xf numFmtId="0" fontId="54" fillId="0" borderId="14" xfId="5" applyFont="1" applyBorder="1" applyAlignment="1">
      <alignment vertical="top" wrapText="1"/>
    </xf>
    <xf numFmtId="0" fontId="38" fillId="0" borderId="0" xfId="5" applyFont="1" applyAlignment="1">
      <alignment vertical="top"/>
    </xf>
    <xf numFmtId="0" fontId="54" fillId="0" borderId="14" xfId="5" applyFont="1" applyBorder="1" applyAlignment="1">
      <alignment horizontal="center" vertical="top" wrapText="1"/>
    </xf>
    <xf numFmtId="9" fontId="54" fillId="0" borderId="14" xfId="2" applyFont="1" applyFill="1" applyBorder="1" applyAlignment="1">
      <alignment horizontal="center" vertical="top" wrapText="1"/>
    </xf>
    <xf numFmtId="0" fontId="54" fillId="0" borderId="13" xfId="5" applyFont="1" applyBorder="1" applyAlignment="1">
      <alignment vertical="top" wrapText="1"/>
    </xf>
    <xf numFmtId="0" fontId="51" fillId="0" borderId="14" xfId="5" applyFont="1" applyBorder="1" applyAlignment="1">
      <alignment vertical="center"/>
    </xf>
    <xf numFmtId="0" fontId="51" fillId="0" borderId="8" xfId="5" applyFont="1" applyBorder="1" applyAlignment="1">
      <alignment vertical="center"/>
    </xf>
    <xf numFmtId="0" fontId="51" fillId="0" borderId="13" xfId="5" applyFont="1" applyBorder="1" applyAlignment="1">
      <alignment vertical="center"/>
    </xf>
    <xf numFmtId="0" fontId="55" fillId="0" borderId="1" xfId="5" applyFont="1" applyBorder="1" applyAlignment="1">
      <alignment horizontal="center" vertical="top" wrapText="1"/>
    </xf>
    <xf numFmtId="176" fontId="52" fillId="0" borderId="5" xfId="5" applyNumberFormat="1" applyFont="1" applyBorder="1" applyAlignment="1">
      <alignment horizontal="center" vertical="top" wrapText="1"/>
    </xf>
    <xf numFmtId="4" fontId="52" fillId="0" borderId="5" xfId="5" applyNumberFormat="1" applyFont="1" applyBorder="1" applyAlignment="1">
      <alignment horizontal="center" vertical="top" wrapText="1"/>
    </xf>
    <xf numFmtId="0" fontId="52" fillId="0" borderId="5" xfId="5" applyFont="1" applyBorder="1" applyAlignment="1">
      <alignment horizontal="center" vertical="top" wrapText="1"/>
    </xf>
    <xf numFmtId="2" fontId="52" fillId="0" borderId="5" xfId="5" applyNumberFormat="1" applyFont="1" applyBorder="1" applyAlignment="1">
      <alignment horizontal="center" vertical="top" wrapText="1"/>
    </xf>
    <xf numFmtId="2" fontId="49" fillId="0" borderId="0" xfId="5" applyNumberFormat="1" applyFont="1" applyAlignment="1">
      <alignment vertical="top"/>
    </xf>
    <xf numFmtId="0" fontId="55" fillId="0" borderId="11" xfId="5" applyFont="1" applyBorder="1" applyAlignment="1">
      <alignment horizontal="center" vertical="top" wrapText="1"/>
    </xf>
    <xf numFmtId="177" fontId="52" fillId="0" borderId="11" xfId="5" applyNumberFormat="1" applyFont="1" applyBorder="1" applyAlignment="1">
      <alignment horizontal="center" vertical="top" wrapText="1"/>
    </xf>
    <xf numFmtId="0" fontId="52" fillId="0" borderId="11" xfId="5" applyFont="1" applyBorder="1" applyAlignment="1">
      <alignment horizontal="center" vertical="top" wrapText="1"/>
    </xf>
    <xf numFmtId="0" fontId="55" fillId="0" borderId="5" xfId="5" applyFont="1" applyBorder="1" applyAlignment="1">
      <alignment horizontal="center" vertical="top" wrapText="1"/>
    </xf>
    <xf numFmtId="0" fontId="56" fillId="0" borderId="5" xfId="0" applyNumberFormat="1" applyFont="1" applyBorder="1" applyAlignment="1">
      <alignment horizontal="left" vertical="top" wrapText="1"/>
    </xf>
    <xf numFmtId="0" fontId="28" fillId="0" borderId="5" xfId="0" applyNumberFormat="1" applyFont="1" applyBorder="1" applyAlignment="1">
      <alignment horizontal="justify" vertical="top" wrapText="1"/>
    </xf>
    <xf numFmtId="167" fontId="52" fillId="0" borderId="5" xfId="5" applyNumberFormat="1" applyFont="1" applyBorder="1" applyAlignment="1">
      <alignment horizontal="center" vertical="top" wrapText="1"/>
    </xf>
    <xf numFmtId="0" fontId="55" fillId="0" borderId="0" xfId="5" applyFont="1" applyAlignment="1">
      <alignment horizontal="justify" vertical="top"/>
    </xf>
    <xf numFmtId="0" fontId="55" fillId="0" borderId="0" xfId="5" applyFont="1" applyAlignment="1">
      <alignment horizontal="center" vertical="top" wrapText="1"/>
    </xf>
    <xf numFmtId="0" fontId="52" fillId="0" borderId="0" xfId="5" applyFont="1" applyAlignment="1">
      <alignment vertical="top" wrapText="1"/>
    </xf>
    <xf numFmtId="2" fontId="52" fillId="0" borderId="24" xfId="5" applyNumberFormat="1" applyFont="1" applyBorder="1" applyAlignment="1">
      <alignment horizontal="center" vertical="top" wrapText="1"/>
    </xf>
    <xf numFmtId="0" fontId="55" fillId="0" borderId="0" xfId="5" applyFont="1" applyAlignment="1">
      <alignment vertical="top" wrapText="1"/>
    </xf>
    <xf numFmtId="0" fontId="52" fillId="0" borderId="0" xfId="5" applyFont="1" applyAlignment="1">
      <alignment horizontal="left" vertical="top" wrapText="1"/>
    </xf>
    <xf numFmtId="0" fontId="55" fillId="0" borderId="0" xfId="5" applyFont="1" applyAlignment="1">
      <alignment vertical="center"/>
    </xf>
    <xf numFmtId="9" fontId="49" fillId="0" borderId="0" xfId="5" applyNumberFormat="1" applyFont="1" applyAlignment="1">
      <alignment horizontal="center"/>
    </xf>
    <xf numFmtId="0" fontId="49" fillId="0" borderId="0" xfId="5" applyFont="1" applyAlignment="1">
      <alignment horizontal="center"/>
    </xf>
    <xf numFmtId="0" fontId="50" fillId="0" borderId="0" xfId="5" applyFont="1"/>
    <xf numFmtId="0" fontId="52" fillId="0" borderId="24" xfId="5" applyFont="1" applyBorder="1" applyAlignment="1">
      <alignment horizontal="center" vertical="top" wrapText="1"/>
    </xf>
    <xf numFmtId="0" fontId="51" fillId="0" borderId="27" xfId="5" applyFont="1" applyBorder="1" applyAlignment="1">
      <alignment horizontal="center" vertical="top" wrapText="1"/>
    </xf>
    <xf numFmtId="0" fontId="52" fillId="0" borderId="12" xfId="5" applyFont="1" applyBorder="1" applyAlignment="1">
      <alignment horizontal="center" vertical="top" wrapText="1"/>
    </xf>
    <xf numFmtId="0" fontId="51" fillId="0" borderId="27" xfId="5" applyFont="1" applyBorder="1" applyAlignment="1">
      <alignment horizontal="center" vertical="center" wrapText="1"/>
    </xf>
    <xf numFmtId="2" fontId="51" fillId="0" borderId="22" xfId="5" applyNumberFormat="1" applyFont="1" applyBorder="1" applyAlignment="1">
      <alignment horizontal="center" vertical="top" wrapText="1"/>
    </xf>
    <xf numFmtId="0" fontId="52" fillId="0" borderId="0" xfId="5" applyFont="1" applyAlignment="1">
      <alignment horizontal="center" vertical="top" wrapText="1"/>
    </xf>
    <xf numFmtId="2" fontId="51" fillId="0" borderId="24" xfId="5" applyNumberFormat="1" applyFont="1" applyBorder="1" applyAlignment="1">
      <alignment horizontal="center" vertical="top" wrapText="1"/>
    </xf>
    <xf numFmtId="168" fontId="51" fillId="0" borderId="27" xfId="5" applyNumberFormat="1" applyFont="1" applyBorder="1" applyAlignment="1">
      <alignment horizontal="center" vertical="top" wrapText="1"/>
    </xf>
    <xf numFmtId="0" fontId="51" fillId="0" borderId="22" xfId="5" applyFont="1" applyBorder="1" applyAlignment="1">
      <alignment horizontal="left" vertical="top" wrapText="1"/>
    </xf>
    <xf numFmtId="0" fontId="51" fillId="0" borderId="22" xfId="5" applyFont="1" applyBorder="1" applyAlignment="1">
      <alignment horizontal="center" vertical="top" wrapText="1"/>
    </xf>
    <xf numFmtId="0" fontId="51" fillId="0" borderId="24" xfId="5" applyFont="1" applyBorder="1" applyAlignment="1">
      <alignment horizontal="center" vertical="top" wrapText="1"/>
    </xf>
    <xf numFmtId="0" fontId="51" fillId="0" borderId="24" xfId="5" applyFont="1" applyBorder="1" applyAlignment="1">
      <alignment vertical="top" wrapText="1"/>
    </xf>
    <xf numFmtId="0" fontId="51" fillId="0" borderId="29" xfId="5" applyFont="1" applyBorder="1" applyAlignment="1">
      <alignment horizontal="center" vertical="top" wrapText="1"/>
    </xf>
    <xf numFmtId="0" fontId="55" fillId="0" borderId="26" xfId="5" applyFont="1" applyBorder="1" applyAlignment="1">
      <alignment vertical="center"/>
    </xf>
    <xf numFmtId="0" fontId="51" fillId="0" borderId="24" xfId="5" applyFont="1" applyBorder="1" applyAlignment="1">
      <alignment vertical="top"/>
    </xf>
    <xf numFmtId="2" fontId="51" fillId="0" borderId="29" xfId="5" applyNumberFormat="1" applyFont="1" applyBorder="1" applyAlignment="1">
      <alignment horizontal="center" vertical="center"/>
    </xf>
    <xf numFmtId="9" fontId="49" fillId="0" borderId="29" xfId="5" applyNumberFormat="1" applyFont="1" applyBorder="1" applyAlignment="1">
      <alignment horizontal="center"/>
    </xf>
    <xf numFmtId="2" fontId="51" fillId="0" borderId="24" xfId="5" applyNumberFormat="1" applyFont="1" applyBorder="1" applyAlignment="1">
      <alignment horizontal="center" vertical="top"/>
    </xf>
    <xf numFmtId="0" fontId="49" fillId="0" borderId="0" xfId="5" applyFont="1" applyAlignment="1">
      <alignment horizontal="left" vertical="center"/>
    </xf>
    <xf numFmtId="175" fontId="51" fillId="0" borderId="24" xfId="5" applyNumberFormat="1" applyFont="1" applyBorder="1" applyAlignment="1">
      <alignment horizontal="left" vertical="top"/>
    </xf>
    <xf numFmtId="0" fontId="49" fillId="0" borderId="0" xfId="5" applyFont="1" applyAlignment="1">
      <alignment horizontal="justify" vertical="center"/>
    </xf>
    <xf numFmtId="2" fontId="43" fillId="0" borderId="4" xfId="0" applyNumberFormat="1" applyFont="1" applyBorder="1"/>
    <xf numFmtId="167" fontId="30" fillId="0" borderId="2" xfId="0" applyFont="1" applyBorder="1" applyAlignment="1">
      <alignment horizontal="center"/>
    </xf>
    <xf numFmtId="167" fontId="33" fillId="0" borderId="0" xfId="22" applyNumberFormat="1"/>
    <xf numFmtId="167" fontId="35" fillId="0" borderId="0" xfId="22" applyNumberFormat="1" applyFont="1" applyAlignment="1">
      <alignment horizontal="right"/>
    </xf>
    <xf numFmtId="0" fontId="26" fillId="0" borderId="0" xfId="15"/>
    <xf numFmtId="167" fontId="33" fillId="0" borderId="0" xfId="22" applyNumberFormat="1" applyAlignment="1">
      <alignment vertical="top"/>
    </xf>
    <xf numFmtId="167" fontId="33" fillId="2" borderId="0" xfId="22" applyNumberFormat="1" applyFill="1" applyAlignment="1">
      <alignment horizontal="right"/>
    </xf>
    <xf numFmtId="167" fontId="33" fillId="0" borderId="0" xfId="22" applyNumberFormat="1" applyAlignment="1">
      <alignment horizontal="right"/>
    </xf>
    <xf numFmtId="167" fontId="33" fillId="0" borderId="0" xfId="22" applyNumberFormat="1" applyAlignment="1">
      <alignment horizontal="left" vertical="top"/>
    </xf>
    <xf numFmtId="167" fontId="33" fillId="0" borderId="0" xfId="22" applyNumberFormat="1" applyAlignment="1">
      <alignment horizontal="left"/>
    </xf>
    <xf numFmtId="167" fontId="32" fillId="0" borderId="0" xfId="22" applyNumberFormat="1" applyFont="1" applyAlignment="1">
      <alignment horizontal="center"/>
    </xf>
    <xf numFmtId="167" fontId="33" fillId="0" borderId="0" xfId="22" applyNumberFormat="1" applyAlignment="1">
      <alignment horizontal="center"/>
    </xf>
    <xf numFmtId="167" fontId="30" fillId="0" borderId="0" xfId="22" applyNumberFormat="1" applyFont="1" applyAlignment="1">
      <alignment horizontal="center"/>
    </xf>
    <xf numFmtId="3" fontId="30" fillId="0" borderId="19" xfId="15" applyNumberFormat="1" applyFont="1" applyBorder="1"/>
    <xf numFmtId="178" fontId="33" fillId="2" borderId="19" xfId="15" applyNumberFormat="1" applyFont="1" applyFill="1" applyBorder="1" applyAlignment="1">
      <alignment horizontal="right"/>
    </xf>
    <xf numFmtId="167" fontId="33" fillId="0" borderId="19" xfId="15" applyNumberFormat="1" applyFont="1" applyBorder="1" applyAlignment="1">
      <alignment horizontal="left"/>
    </xf>
    <xf numFmtId="167" fontId="33" fillId="0" borderId="19" xfId="22" applyNumberFormat="1" applyBorder="1"/>
    <xf numFmtId="167" fontId="30" fillId="0" borderId="19" xfId="15" applyNumberFormat="1" applyFont="1" applyBorder="1" applyAlignment="1">
      <alignment horizontal="left"/>
    </xf>
    <xf numFmtId="167" fontId="30" fillId="0" borderId="0" xfId="22" applyNumberFormat="1" applyFont="1" applyAlignment="1">
      <alignment horizontal="right"/>
    </xf>
    <xf numFmtId="167" fontId="30" fillId="0" borderId="0" xfId="15" applyNumberFormat="1" applyFont="1"/>
    <xf numFmtId="167" fontId="26" fillId="0" borderId="0" xfId="15" applyNumberFormat="1"/>
    <xf numFmtId="168" fontId="26" fillId="0" borderId="0" xfId="15" applyNumberFormat="1"/>
    <xf numFmtId="3" fontId="30" fillId="0" borderId="33" xfId="15" applyNumberFormat="1" applyFont="1" applyBorder="1" applyAlignment="1">
      <alignment horizontal="center" vertical="top"/>
    </xf>
    <xf numFmtId="178" fontId="30" fillId="0" borderId="35" xfId="15" applyNumberFormat="1" applyFont="1" applyBorder="1" applyAlignment="1">
      <alignment horizontal="center" vertical="top"/>
    </xf>
    <xf numFmtId="167" fontId="30" fillId="0" borderId="35" xfId="22" applyNumberFormat="1" applyFont="1" applyBorder="1" applyAlignment="1">
      <alignment horizontal="center" vertical="top"/>
    </xf>
    <xf numFmtId="178" fontId="30" fillId="0" borderId="33" xfId="15" applyNumberFormat="1" applyFont="1" applyBorder="1" applyAlignment="1">
      <alignment horizontal="center" vertical="top"/>
    </xf>
    <xf numFmtId="167" fontId="30" fillId="0" borderId="0" xfId="22" applyNumberFormat="1" applyFont="1" applyAlignment="1">
      <alignment vertical="top" wrapText="1"/>
    </xf>
    <xf numFmtId="167" fontId="33" fillId="0" borderId="0" xfId="22" applyNumberFormat="1" applyAlignment="1">
      <alignment horizontal="center" vertical="center"/>
    </xf>
    <xf numFmtId="167" fontId="30" fillId="0" borderId="0" xfId="15" applyNumberFormat="1" applyFont="1" applyAlignment="1">
      <alignment horizontal="left"/>
    </xf>
    <xf numFmtId="180" fontId="33" fillId="0" borderId="0" xfId="22" applyNumberFormat="1" applyAlignment="1">
      <alignment horizontal="center"/>
    </xf>
    <xf numFmtId="167" fontId="34" fillId="0" borderId="0" xfId="15" applyNumberFormat="1" applyFont="1" applyAlignment="1">
      <alignment horizontal="right"/>
    </xf>
    <xf numFmtId="3" fontId="33" fillId="0" borderId="2" xfId="15" applyNumberFormat="1" applyFont="1" applyBorder="1" applyAlignment="1">
      <alignment horizontal="center" vertical="top"/>
    </xf>
    <xf numFmtId="178" fontId="33" fillId="0" borderId="2" xfId="15" applyNumberFormat="1" applyFont="1" applyBorder="1" applyAlignment="1">
      <alignment horizontal="left" vertical="top" wrapText="1"/>
    </xf>
    <xf numFmtId="167" fontId="33" fillId="0" borderId="9" xfId="15" applyNumberFormat="1" applyFont="1" applyBorder="1" applyAlignment="1">
      <alignment vertical="top"/>
    </xf>
    <xf numFmtId="167" fontId="33" fillId="0" borderId="9" xfId="22" applyNumberFormat="1" applyBorder="1" applyAlignment="1">
      <alignment vertical="top" wrapText="1"/>
    </xf>
    <xf numFmtId="167" fontId="33" fillId="0" borderId="2" xfId="22" applyNumberFormat="1" applyBorder="1" applyAlignment="1">
      <alignment vertical="top" wrapText="1"/>
    </xf>
    <xf numFmtId="0" fontId="65" fillId="0" borderId="0" xfId="15" applyFont="1" applyAlignment="1">
      <alignment vertical="top"/>
    </xf>
    <xf numFmtId="167" fontId="30" fillId="0" borderId="0" xfId="22" applyNumberFormat="1" applyFont="1" applyAlignment="1">
      <alignment horizontal="center" vertical="center"/>
    </xf>
    <xf numFmtId="167" fontId="33" fillId="0" borderId="0" xfId="22" applyNumberFormat="1" applyAlignment="1">
      <alignment horizontal="center" vertical="top"/>
    </xf>
    <xf numFmtId="167" fontId="33" fillId="0" borderId="0" xfId="22" applyNumberFormat="1" applyAlignment="1">
      <alignment vertical="top" wrapText="1"/>
    </xf>
    <xf numFmtId="2" fontId="33" fillId="0" borderId="0" xfId="22" applyNumberFormat="1" applyAlignment="1">
      <alignment vertical="top"/>
    </xf>
    <xf numFmtId="167" fontId="35" fillId="0" borderId="0" xfId="15" applyNumberFormat="1" applyFont="1"/>
    <xf numFmtId="1" fontId="26" fillId="0" borderId="0" xfId="15" applyNumberFormat="1" applyAlignment="1">
      <alignment vertical="top"/>
    </xf>
    <xf numFmtId="167" fontId="26" fillId="0" borderId="0" xfId="15" applyNumberFormat="1" applyAlignment="1">
      <alignment vertical="top"/>
    </xf>
    <xf numFmtId="174" fontId="33" fillId="0" borderId="2" xfId="16" applyNumberFormat="1" applyBorder="1" applyAlignment="1">
      <alignment vertical="top" wrapText="1"/>
    </xf>
    <xf numFmtId="167" fontId="33" fillId="0" borderId="9" xfId="22" applyNumberFormat="1" applyBorder="1" applyAlignment="1">
      <alignment vertical="top"/>
    </xf>
    <xf numFmtId="2" fontId="33" fillId="0" borderId="0" xfId="15" applyNumberFormat="1" applyFont="1" applyAlignment="1">
      <alignment vertical="top"/>
    </xf>
    <xf numFmtId="167" fontId="33" fillId="0" borderId="0" xfId="22" applyNumberFormat="1" applyAlignment="1">
      <alignment horizontal="right" vertical="top"/>
    </xf>
    <xf numFmtId="1" fontId="26" fillId="0" borderId="0" xfId="15" applyNumberFormat="1" applyAlignment="1">
      <alignment horizontal="center" vertical="top"/>
    </xf>
    <xf numFmtId="167" fontId="30" fillId="0" borderId="0" xfId="15" applyNumberFormat="1" applyFont="1" applyAlignment="1">
      <alignment horizontal="center" vertical="top"/>
    </xf>
    <xf numFmtId="167" fontId="26" fillId="0" borderId="0" xfId="15" applyNumberFormat="1" applyAlignment="1">
      <alignment horizontal="center" vertical="top"/>
    </xf>
    <xf numFmtId="167" fontId="26" fillId="0" borderId="0" xfId="15" applyNumberFormat="1" applyAlignment="1">
      <alignment horizontal="right" vertical="top"/>
    </xf>
    <xf numFmtId="167" fontId="26" fillId="0" borderId="0" xfId="15" applyNumberFormat="1" applyAlignment="1">
      <alignment horizontal="left"/>
    </xf>
    <xf numFmtId="2" fontId="33" fillId="0" borderId="9" xfId="22" applyNumberFormat="1" applyBorder="1" applyAlignment="1">
      <alignment vertical="top"/>
    </xf>
    <xf numFmtId="2" fontId="33" fillId="0" borderId="0" xfId="22" applyNumberFormat="1"/>
    <xf numFmtId="2" fontId="33" fillId="0" borderId="0" xfId="22" applyNumberFormat="1" applyAlignment="1">
      <alignment vertical="top" wrapText="1"/>
    </xf>
    <xf numFmtId="168" fontId="33" fillId="0" borderId="0" xfId="22" applyNumberFormat="1" applyAlignment="1">
      <alignment horizontal="center" vertical="top" wrapText="1"/>
    </xf>
    <xf numFmtId="167" fontId="26" fillId="0" borderId="0" xfId="15" applyNumberFormat="1" applyAlignment="1">
      <alignment horizontal="left" vertical="top" wrapText="1"/>
    </xf>
    <xf numFmtId="178" fontId="33" fillId="0" borderId="2" xfId="15" applyNumberFormat="1" applyFont="1" applyBorder="1" applyAlignment="1">
      <alignment vertical="top"/>
    </xf>
    <xf numFmtId="167" fontId="33" fillId="0" borderId="0" xfId="15" applyNumberFormat="1" applyFont="1" applyAlignment="1">
      <alignment vertical="top"/>
    </xf>
    <xf numFmtId="167" fontId="34" fillId="0" borderId="0" xfId="15" applyNumberFormat="1" applyFont="1" applyAlignment="1">
      <alignment horizontal="center"/>
    </xf>
    <xf numFmtId="167" fontId="34" fillId="0" borderId="0" xfId="15" applyNumberFormat="1" applyFont="1"/>
    <xf numFmtId="167" fontId="28" fillId="0" borderId="0" xfId="15" applyNumberFormat="1" applyFont="1" applyAlignment="1">
      <alignment horizontal="center"/>
    </xf>
    <xf numFmtId="167" fontId="68" fillId="0" borderId="0" xfId="15" applyNumberFormat="1" applyFont="1" applyAlignment="1">
      <alignment vertical="top"/>
    </xf>
    <xf numFmtId="0" fontId="26" fillId="0" borderId="0" xfId="15" applyAlignment="1">
      <alignment vertical="top"/>
    </xf>
    <xf numFmtId="178" fontId="33" fillId="0" borderId="2" xfId="15" applyNumberFormat="1" applyFont="1" applyBorder="1" applyAlignment="1">
      <alignment vertical="top" wrapText="1"/>
    </xf>
    <xf numFmtId="167" fontId="33" fillId="0" borderId="9" xfId="15" applyNumberFormat="1" applyFont="1" applyBorder="1" applyAlignment="1">
      <alignment vertical="top" wrapText="1"/>
    </xf>
    <xf numFmtId="2" fontId="33" fillId="0" borderId="9" xfId="22" applyNumberFormat="1" applyBorder="1" applyAlignment="1">
      <alignment vertical="top" wrapText="1"/>
    </xf>
    <xf numFmtId="171" fontId="33" fillId="0" borderId="0" xfId="22" applyNumberFormat="1" applyAlignment="1">
      <alignment horizontal="center" vertical="top"/>
    </xf>
    <xf numFmtId="1" fontId="28" fillId="0" borderId="0" xfId="15" applyNumberFormat="1" applyFont="1" applyAlignment="1">
      <alignment horizontal="center" vertical="top"/>
    </xf>
    <xf numFmtId="167" fontId="38" fillId="0" borderId="0" xfId="15" applyNumberFormat="1" applyFont="1" applyAlignment="1">
      <alignment vertical="top" wrapText="1"/>
    </xf>
    <xf numFmtId="167" fontId="38" fillId="0" borderId="0" xfId="15" applyNumberFormat="1" applyFont="1" applyAlignment="1">
      <alignment horizontal="center" vertical="top" wrapText="1"/>
    </xf>
    <xf numFmtId="168" fontId="38" fillId="0" borderId="0" xfId="15" applyNumberFormat="1" applyFont="1" applyAlignment="1">
      <alignment horizontal="center" vertical="top" wrapText="1"/>
    </xf>
    <xf numFmtId="168" fontId="38" fillId="0" borderId="0" xfId="15" applyNumberFormat="1" applyFont="1" applyAlignment="1">
      <alignment vertical="top" wrapText="1"/>
    </xf>
    <xf numFmtId="168" fontId="26" fillId="0" borderId="0" xfId="15" applyNumberFormat="1" applyAlignment="1">
      <alignment horizontal="center"/>
    </xf>
    <xf numFmtId="0" fontId="26" fillId="0" borderId="0" xfId="15" applyAlignment="1">
      <alignment horizontal="center" vertical="top"/>
    </xf>
    <xf numFmtId="2" fontId="33" fillId="0" borderId="9" xfId="15" applyNumberFormat="1" applyFont="1" applyBorder="1" applyAlignment="1">
      <alignment vertical="top"/>
    </xf>
    <xf numFmtId="167" fontId="33" fillId="0" borderId="0" xfId="22" applyNumberFormat="1" applyAlignment="1">
      <alignment wrapText="1"/>
    </xf>
    <xf numFmtId="1" fontId="28" fillId="0" borderId="0" xfId="15" applyNumberFormat="1" applyFont="1" applyAlignment="1">
      <alignment horizontal="center"/>
    </xf>
    <xf numFmtId="0" fontId="26" fillId="0" borderId="0" xfId="15" applyAlignment="1">
      <alignment horizontal="center"/>
    </xf>
    <xf numFmtId="2" fontId="65" fillId="0" borderId="0" xfId="15" applyNumberFormat="1" applyFont="1" applyAlignment="1">
      <alignment horizontal="center" vertical="top"/>
    </xf>
    <xf numFmtId="167" fontId="28" fillId="0" borderId="0" xfId="15" applyNumberFormat="1" applyFont="1" applyAlignment="1">
      <alignment horizontal="right"/>
    </xf>
    <xf numFmtId="3" fontId="33" fillId="0" borderId="10" xfId="15" applyNumberFormat="1" applyFont="1" applyBorder="1" applyAlignment="1">
      <alignment horizontal="center" vertical="top"/>
    </xf>
    <xf numFmtId="178" fontId="33" fillId="0" borderId="10" xfId="15" applyNumberFormat="1" applyFont="1" applyBorder="1" applyAlignment="1">
      <alignment vertical="top" wrapText="1"/>
    </xf>
    <xf numFmtId="167" fontId="30" fillId="0" borderId="0" xfId="22" applyNumberFormat="1" applyFont="1" applyAlignment="1">
      <alignment horizontal="center" vertical="top"/>
    </xf>
    <xf numFmtId="167" fontId="30" fillId="0" borderId="0" xfId="22" applyNumberFormat="1" applyFont="1" applyAlignment="1">
      <alignment vertical="top"/>
    </xf>
    <xf numFmtId="167" fontId="28" fillId="0" borderId="0" xfId="15" applyNumberFormat="1" applyFont="1" applyAlignment="1">
      <alignment horizontal="left" vertical="top" wrapText="1"/>
    </xf>
    <xf numFmtId="168" fontId="26" fillId="0" borderId="0" xfId="15" applyNumberFormat="1" applyAlignment="1">
      <alignment horizontal="center" vertical="top"/>
    </xf>
    <xf numFmtId="167" fontId="28" fillId="0" borderId="0" xfId="15" applyNumberFormat="1" applyFont="1" applyAlignment="1">
      <alignment horizontal="right" vertical="top"/>
    </xf>
    <xf numFmtId="178" fontId="30" fillId="0" borderId="10" xfId="15" applyNumberFormat="1" applyFont="1" applyBorder="1" applyAlignment="1">
      <alignment horizontal="right" vertical="top" wrapText="1"/>
    </xf>
    <xf numFmtId="167" fontId="30" fillId="0" borderId="9" xfId="15" applyNumberFormat="1" applyFont="1" applyBorder="1" applyAlignment="1">
      <alignment vertical="top"/>
    </xf>
    <xf numFmtId="167" fontId="30" fillId="0" borderId="2" xfId="22" applyNumberFormat="1" applyFont="1" applyBorder="1" applyAlignment="1">
      <alignment vertical="top" wrapText="1"/>
    </xf>
    <xf numFmtId="2" fontId="33" fillId="0" borderId="0" xfId="22" applyNumberFormat="1" applyAlignment="1">
      <alignment horizontal="right"/>
    </xf>
    <xf numFmtId="168" fontId="30" fillId="0" borderId="0" xfId="22" applyNumberFormat="1" applyFont="1" applyAlignment="1">
      <alignment horizontal="center"/>
    </xf>
    <xf numFmtId="167" fontId="30" fillId="0" borderId="0" xfId="22" applyNumberFormat="1" applyFont="1" applyAlignment="1">
      <alignment horizontal="left"/>
    </xf>
    <xf numFmtId="167" fontId="30" fillId="0" borderId="0" xfId="22" applyNumberFormat="1" applyFont="1"/>
    <xf numFmtId="178" fontId="30" fillId="0" borderId="9" xfId="15" applyNumberFormat="1" applyFont="1" applyBorder="1" applyAlignment="1">
      <alignment vertical="top"/>
    </xf>
    <xf numFmtId="167" fontId="30" fillId="0" borderId="23" xfId="15" applyNumberFormat="1" applyFont="1" applyBorder="1" applyAlignment="1">
      <alignment vertical="top"/>
    </xf>
    <xf numFmtId="2" fontId="30" fillId="0" borderId="23" xfId="22" applyNumberFormat="1" applyFont="1" applyBorder="1" applyAlignment="1">
      <alignment vertical="top"/>
    </xf>
    <xf numFmtId="167" fontId="33" fillId="0" borderId="9" xfId="22" applyNumberFormat="1" applyBorder="1"/>
    <xf numFmtId="1" fontId="28" fillId="0" borderId="0" xfId="15" applyNumberFormat="1" applyFont="1" applyAlignment="1">
      <alignment horizontal="right"/>
    </xf>
    <xf numFmtId="167" fontId="34" fillId="0" borderId="0" xfId="15" applyNumberFormat="1" applyFont="1" applyAlignment="1">
      <alignment horizontal="right" wrapText="1"/>
    </xf>
    <xf numFmtId="168" fontId="34" fillId="0" borderId="0" xfId="15" applyNumberFormat="1" applyFont="1" applyAlignment="1">
      <alignment horizontal="right"/>
    </xf>
    <xf numFmtId="3" fontId="33" fillId="0" borderId="2" xfId="15" applyNumberFormat="1" applyFont="1" applyBorder="1" applyAlignment="1">
      <alignment horizontal="right" vertical="top"/>
    </xf>
    <xf numFmtId="178" fontId="33" fillId="0" borderId="0" xfId="15" applyNumberFormat="1" applyFont="1" applyAlignment="1">
      <alignment vertical="top"/>
    </xf>
    <xf numFmtId="167" fontId="33" fillId="0" borderId="2" xfId="16" applyNumberFormat="1" applyBorder="1" applyAlignment="1">
      <alignment vertical="top"/>
    </xf>
    <xf numFmtId="167" fontId="34" fillId="0" borderId="0" xfId="15" applyNumberFormat="1" applyFont="1" applyAlignment="1">
      <alignment horizontal="left"/>
    </xf>
    <xf numFmtId="167" fontId="28" fillId="0" borderId="0" xfId="15" applyNumberFormat="1" applyFont="1" applyAlignment="1">
      <alignment horizontal="left"/>
    </xf>
    <xf numFmtId="3" fontId="23" fillId="0" borderId="2" xfId="15" applyNumberFormat="1" applyFont="1" applyBorder="1" applyAlignment="1">
      <alignment horizontal="right" vertical="top"/>
    </xf>
    <xf numFmtId="167" fontId="67" fillId="0" borderId="0" xfId="15" applyNumberFormat="1" applyFont="1"/>
    <xf numFmtId="167" fontId="33" fillId="0" borderId="12" xfId="15" applyNumberFormat="1" applyFont="1" applyBorder="1" applyAlignment="1">
      <alignment vertical="top"/>
    </xf>
    <xf numFmtId="167" fontId="33" fillId="0" borderId="10" xfId="16" applyNumberFormat="1" applyBorder="1" applyAlignment="1">
      <alignment vertical="top"/>
    </xf>
    <xf numFmtId="167" fontId="33" fillId="0" borderId="10" xfId="22" applyNumberFormat="1" applyBorder="1" applyAlignment="1">
      <alignment vertical="top" wrapText="1"/>
    </xf>
    <xf numFmtId="167" fontId="28" fillId="0" borderId="0" xfId="15" applyNumberFormat="1" applyFont="1"/>
    <xf numFmtId="3" fontId="26" fillId="0" borderId="12" xfId="15" applyNumberFormat="1" applyBorder="1" applyAlignment="1">
      <alignment horizontal="right" vertical="top"/>
    </xf>
    <xf numFmtId="178" fontId="30" fillId="0" borderId="5" xfId="15" applyNumberFormat="1" applyFont="1" applyBorder="1" applyAlignment="1">
      <alignment horizontal="right" vertical="top" wrapText="1"/>
    </xf>
    <xf numFmtId="172" fontId="33" fillId="0" borderId="2" xfId="16" applyNumberFormat="1" applyBorder="1" applyAlignment="1">
      <alignment vertical="top"/>
    </xf>
    <xf numFmtId="180" fontId="33" fillId="0" borderId="0" xfId="22" applyNumberFormat="1"/>
    <xf numFmtId="167" fontId="28" fillId="0" borderId="0" xfId="15" applyNumberFormat="1" applyFont="1" applyAlignment="1">
      <alignment wrapText="1"/>
    </xf>
    <xf numFmtId="167" fontId="28" fillId="0" borderId="0" xfId="15" applyNumberFormat="1" applyFont="1" applyAlignment="1">
      <alignment horizontal="center" vertical="top"/>
    </xf>
    <xf numFmtId="3" fontId="33" fillId="0" borderId="5" xfId="15" applyNumberFormat="1" applyFont="1" applyBorder="1" applyAlignment="1">
      <alignment horizontal="center" vertical="top"/>
    </xf>
    <xf numFmtId="178" fontId="30" fillId="0" borderId="5" xfId="15" applyNumberFormat="1" applyFont="1" applyBorder="1" applyAlignment="1">
      <alignment vertical="top"/>
    </xf>
    <xf numFmtId="167" fontId="30" fillId="0" borderId="5" xfId="15" applyNumberFormat="1" applyFont="1" applyBorder="1" applyAlignment="1">
      <alignment vertical="top"/>
    </xf>
    <xf numFmtId="168" fontId="28" fillId="0" borderId="0" xfId="15" applyNumberFormat="1" applyFont="1" applyAlignment="1">
      <alignment horizontal="right"/>
    </xf>
    <xf numFmtId="3" fontId="33" fillId="0" borderId="1" xfId="15" applyNumberFormat="1" applyFont="1" applyBorder="1" applyAlignment="1">
      <alignment horizontal="center" vertical="top"/>
    </xf>
    <xf numFmtId="178" fontId="33" fillId="0" borderId="3" xfId="15" applyNumberFormat="1" applyFont="1" applyBorder="1" applyAlignment="1">
      <alignment vertical="top"/>
    </xf>
    <xf numFmtId="167" fontId="33" fillId="0" borderId="2" xfId="15" applyNumberFormat="1" applyFont="1" applyBorder="1" applyAlignment="1">
      <alignment vertical="top"/>
    </xf>
    <xf numFmtId="167" fontId="33" fillId="0" borderId="1" xfId="15" applyNumberFormat="1" applyFont="1" applyBorder="1" applyAlignment="1">
      <alignment vertical="top"/>
    </xf>
    <xf numFmtId="167" fontId="30" fillId="0" borderId="5" xfId="22" applyNumberFormat="1" applyFont="1" applyBorder="1" applyAlignment="1">
      <alignment vertical="top"/>
    </xf>
    <xf numFmtId="180" fontId="28" fillId="0" borderId="0" xfId="13" applyNumberFormat="1" applyAlignment="1">
      <alignment horizontal="right" vertical="top" wrapText="1"/>
    </xf>
    <xf numFmtId="2" fontId="34" fillId="0" borderId="0" xfId="22" applyNumberFormat="1" applyFont="1"/>
    <xf numFmtId="167" fontId="34" fillId="0" borderId="0" xfId="22" applyNumberFormat="1" applyFont="1" applyAlignment="1">
      <alignment wrapText="1"/>
    </xf>
    <xf numFmtId="167" fontId="69" fillId="0" borderId="0" xfId="22" applyNumberFormat="1" applyFont="1"/>
    <xf numFmtId="167" fontId="33" fillId="2" borderId="0" xfId="15" applyNumberFormat="1" applyFont="1" applyFill="1" applyAlignment="1">
      <alignment horizontal="right"/>
    </xf>
    <xf numFmtId="167" fontId="33" fillId="0" borderId="0" xfId="15" applyNumberFormat="1" applyFont="1" applyAlignment="1">
      <alignment horizontal="right"/>
    </xf>
    <xf numFmtId="178" fontId="33" fillId="0" borderId="5" xfId="15" applyNumberFormat="1" applyFont="1" applyBorder="1" applyAlignment="1">
      <alignment horizontal="right"/>
    </xf>
    <xf numFmtId="167" fontId="33" fillId="2" borderId="5" xfId="22" applyNumberFormat="1" applyFill="1" applyBorder="1" applyAlignment="1">
      <alignment horizontal="left" vertical="top"/>
    </xf>
    <xf numFmtId="167" fontId="33" fillId="2" borderId="5" xfId="15" applyNumberFormat="1" applyFont="1" applyFill="1" applyBorder="1" applyAlignment="1">
      <alignment horizontal="right" vertical="top"/>
    </xf>
    <xf numFmtId="0" fontId="64" fillId="4" borderId="0" xfId="16" applyNumberFormat="1" applyFont="1" applyFill="1" applyAlignment="1">
      <alignment horizontal="left" vertical="top" wrapText="1"/>
    </xf>
    <xf numFmtId="0" fontId="67" fillId="0" borderId="0" xfId="15" applyFont="1" applyAlignment="1">
      <alignment vertical="top"/>
    </xf>
    <xf numFmtId="167" fontId="33" fillId="2" borderId="5" xfId="15" quotePrefix="1" applyNumberFormat="1" applyFont="1" applyFill="1" applyBorder="1" applyAlignment="1">
      <alignment horizontal="right" vertical="top"/>
    </xf>
    <xf numFmtId="0" fontId="66" fillId="0" borderId="0" xfId="15" applyFont="1" applyAlignment="1">
      <alignment vertical="top" wrapText="1"/>
    </xf>
    <xf numFmtId="0" fontId="66" fillId="0" borderId="0" xfId="15" applyFont="1" applyAlignment="1">
      <alignment vertical="top"/>
    </xf>
    <xf numFmtId="1" fontId="66" fillId="0" borderId="0" xfId="15" applyNumberFormat="1" applyFont="1" applyAlignment="1">
      <alignment vertical="top"/>
    </xf>
    <xf numFmtId="167" fontId="33" fillId="0" borderId="5" xfId="22" applyNumberFormat="1" applyBorder="1" applyAlignment="1">
      <alignment horizontal="right" vertical="top" wrapText="1"/>
    </xf>
    <xf numFmtId="169" fontId="33" fillId="2" borderId="5" xfId="2" applyNumberFormat="1" applyFont="1" applyFill="1" applyBorder="1" applyAlignment="1">
      <alignment horizontal="left" vertical="top" wrapText="1"/>
    </xf>
    <xf numFmtId="167" fontId="33" fillId="0" borderId="5" xfId="15" quotePrefix="1" applyNumberFormat="1" applyFont="1" applyBorder="1" applyAlignment="1">
      <alignment horizontal="right"/>
    </xf>
    <xf numFmtId="167" fontId="33" fillId="0" borderId="5" xfId="22" applyNumberFormat="1" applyBorder="1"/>
    <xf numFmtId="167" fontId="33" fillId="0" borderId="0" xfId="15" quotePrefix="1" applyNumberFormat="1" applyFont="1" applyAlignment="1">
      <alignment horizontal="right"/>
    </xf>
    <xf numFmtId="167" fontId="33" fillId="0" borderId="14" xfId="22" applyNumberFormat="1" applyBorder="1" applyAlignment="1">
      <alignment horizontal="right" vertical="top" wrapText="1"/>
    </xf>
    <xf numFmtId="3" fontId="33" fillId="0" borderId="1" xfId="15" applyNumberFormat="1" applyFont="1" applyBorder="1" applyAlignment="1">
      <alignment horizontal="center"/>
    </xf>
    <xf numFmtId="178" fontId="33" fillId="0" borderId="14" xfId="15" applyNumberFormat="1" applyFont="1" applyBorder="1"/>
    <xf numFmtId="167" fontId="28" fillId="0" borderId="5" xfId="15" applyNumberFormat="1" applyFont="1" applyBorder="1"/>
    <xf numFmtId="0" fontId="70" fillId="0" borderId="0" xfId="16" applyNumberFormat="1" applyFont="1" applyAlignment="1">
      <alignment vertical="top" wrapText="1"/>
    </xf>
    <xf numFmtId="3" fontId="33" fillId="0" borderId="10" xfId="15" applyNumberFormat="1" applyFont="1" applyBorder="1" applyAlignment="1">
      <alignment horizontal="center"/>
    </xf>
    <xf numFmtId="167" fontId="26" fillId="0" borderId="12" xfId="15" applyNumberFormat="1" applyBorder="1" applyAlignment="1">
      <alignment horizontal="center"/>
    </xf>
    <xf numFmtId="167" fontId="28" fillId="0" borderId="5" xfId="15" applyNumberFormat="1" applyFont="1" applyBorder="1" applyAlignment="1">
      <alignment horizontal="center" vertical="center" wrapText="1"/>
    </xf>
    <xf numFmtId="167" fontId="28" fillId="0" borderId="5" xfId="15" applyNumberFormat="1" applyFont="1" applyBorder="1" applyAlignment="1">
      <alignment vertical="center" wrapText="1"/>
    </xf>
    <xf numFmtId="167" fontId="33" fillId="0" borderId="5" xfId="0" applyFont="1" applyBorder="1" applyAlignment="1">
      <alignment horizontal="center" vertical="center" wrapText="1"/>
    </xf>
    <xf numFmtId="167" fontId="28" fillId="0" borderId="5" xfId="15" applyNumberFormat="1" applyFont="1" applyBorder="1" applyAlignment="1">
      <alignment horizontal="center" vertical="top" wrapText="1"/>
    </xf>
    <xf numFmtId="167" fontId="28" fillId="0" borderId="5" xfId="15" applyNumberFormat="1" applyFont="1" applyBorder="1" applyAlignment="1">
      <alignment horizontal="center" vertical="center"/>
    </xf>
    <xf numFmtId="0" fontId="26" fillId="0" borderId="0" xfId="15" applyAlignment="1">
      <alignment vertical="top" wrapText="1"/>
    </xf>
    <xf numFmtId="169" fontId="23" fillId="2" borderId="12" xfId="2" applyNumberFormat="1" applyFont="1" applyFill="1" applyBorder="1" applyAlignment="1">
      <alignment horizontal="right"/>
    </xf>
    <xf numFmtId="169" fontId="28" fillId="2" borderId="5" xfId="2" applyNumberFormat="1" applyFont="1" applyFill="1" applyBorder="1" applyAlignment="1">
      <alignment horizontal="center" vertical="center" wrapText="1"/>
    </xf>
    <xf numFmtId="169" fontId="28" fillId="0" borderId="5" xfId="2" applyNumberFormat="1" applyFont="1" applyBorder="1" applyAlignment="1">
      <alignment horizontal="center" vertical="center" wrapText="1"/>
    </xf>
    <xf numFmtId="169" fontId="29" fillId="0" borderId="5" xfId="2" applyNumberFormat="1" applyFont="1" applyFill="1" applyBorder="1" applyAlignment="1" applyProtection="1">
      <alignment horizontal="center" vertical="center" wrapText="1"/>
    </xf>
    <xf numFmtId="9" fontId="28" fillId="2" borderId="5" xfId="2" applyFont="1" applyFill="1" applyBorder="1" applyAlignment="1">
      <alignment horizontal="center" vertical="center"/>
    </xf>
    <xf numFmtId="178" fontId="33" fillId="0" borderId="14" xfId="15" applyNumberFormat="1" applyFont="1" applyBorder="1" applyAlignment="1">
      <alignment vertical="top"/>
    </xf>
    <xf numFmtId="167" fontId="33" fillId="0" borderId="5" xfId="15" applyNumberFormat="1" applyFont="1" applyBorder="1" applyAlignment="1">
      <alignment horizontal="right" vertical="top"/>
    </xf>
    <xf numFmtId="2" fontId="65" fillId="0" borderId="5" xfId="15" applyNumberFormat="1" applyFont="1" applyBorder="1" applyAlignment="1">
      <alignment vertical="top"/>
    </xf>
    <xf numFmtId="167" fontId="30" fillId="0" borderId="5" xfId="15" applyNumberFormat="1" applyFont="1" applyBorder="1" applyAlignment="1">
      <alignment horizontal="center"/>
    </xf>
    <xf numFmtId="2" fontId="33" fillId="0" borderId="5" xfId="15" applyNumberFormat="1" applyFont="1" applyBorder="1" applyAlignment="1">
      <alignment horizontal="right" vertical="top"/>
    </xf>
    <xf numFmtId="3" fontId="33" fillId="0" borderId="5" xfId="15" applyNumberFormat="1" applyFont="1" applyBorder="1" applyAlignment="1">
      <alignment horizontal="center"/>
    </xf>
    <xf numFmtId="178" fontId="33" fillId="0" borderId="14" xfId="15" applyNumberFormat="1" applyFont="1" applyBorder="1" applyAlignment="1">
      <alignment wrapText="1"/>
    </xf>
    <xf numFmtId="167" fontId="33" fillId="0" borderId="5" xfId="15" applyNumberFormat="1" applyFont="1" applyBorder="1" applyAlignment="1">
      <alignment horizontal="right"/>
    </xf>
    <xf numFmtId="2" fontId="33" fillId="0" borderId="5" xfId="15" applyNumberFormat="1" applyFont="1" applyBorder="1" applyAlignment="1">
      <alignment horizontal="right"/>
    </xf>
    <xf numFmtId="0" fontId="70" fillId="0" borderId="0" xfId="16" applyNumberFormat="1" applyFont="1" applyAlignment="1">
      <alignment horizontal="left" vertical="top" wrapText="1"/>
    </xf>
    <xf numFmtId="0" fontId="33" fillId="0" borderId="0" xfId="16" applyNumberFormat="1" applyAlignment="1">
      <alignment vertical="top"/>
    </xf>
    <xf numFmtId="178" fontId="33" fillId="0" borderId="0" xfId="15" applyNumberFormat="1" applyFont="1" applyAlignment="1">
      <alignment vertical="top" wrapText="1"/>
    </xf>
    <xf numFmtId="178" fontId="33" fillId="0" borderId="5" xfId="15" applyNumberFormat="1" applyFont="1" applyBorder="1" applyAlignment="1">
      <alignment vertical="top" wrapText="1"/>
    </xf>
    <xf numFmtId="178" fontId="33" fillId="0" borderId="14" xfId="15" applyNumberFormat="1" applyFont="1" applyBorder="1" applyAlignment="1">
      <alignment vertical="top" wrapText="1"/>
    </xf>
    <xf numFmtId="2" fontId="33" fillId="0" borderId="5" xfId="15" applyNumberFormat="1" applyFont="1" applyBorder="1" applyAlignment="1">
      <alignment vertical="top"/>
    </xf>
    <xf numFmtId="167" fontId="30" fillId="0" borderId="5" xfId="15" applyNumberFormat="1" applyFont="1" applyBorder="1" applyAlignment="1">
      <alignment horizontal="right" vertical="top"/>
    </xf>
    <xf numFmtId="0" fontId="64" fillId="0" borderId="0" xfId="16" applyNumberFormat="1" applyFont="1" applyAlignment="1">
      <alignment horizontal="left" vertical="top" wrapText="1"/>
    </xf>
    <xf numFmtId="167" fontId="30" fillId="0" borderId="5" xfId="15" applyNumberFormat="1" applyFont="1" applyBorder="1" applyAlignment="1">
      <alignment horizontal="center" vertical="top"/>
    </xf>
    <xf numFmtId="0" fontId="71" fillId="0" borderId="0" xfId="16" applyNumberFormat="1" applyFont="1" applyAlignment="1">
      <alignment horizontal="left" vertical="top"/>
    </xf>
    <xf numFmtId="178" fontId="33" fillId="0" borderId="2" xfId="15" applyNumberFormat="1" applyFont="1" applyBorder="1" applyAlignment="1">
      <alignment horizontal="left" vertical="center" wrapText="1"/>
    </xf>
    <xf numFmtId="2" fontId="65" fillId="0" borderId="5" xfId="15" applyNumberFormat="1" applyFont="1" applyBorder="1"/>
    <xf numFmtId="167" fontId="30" fillId="0" borderId="13" xfId="15" applyNumberFormat="1" applyFont="1" applyBorder="1" applyAlignment="1">
      <alignment horizontal="center"/>
    </xf>
    <xf numFmtId="167" fontId="33" fillId="0" borderId="13" xfId="15" applyNumberFormat="1" applyFont="1" applyBorder="1" applyAlignment="1">
      <alignment horizontal="center"/>
    </xf>
    <xf numFmtId="178" fontId="33" fillId="0" borderId="5" xfId="15" applyNumberFormat="1" applyFont="1" applyBorder="1" applyAlignment="1">
      <alignment horizontal="left" vertical="top" wrapText="1"/>
    </xf>
    <xf numFmtId="167" fontId="30" fillId="0" borderId="13" xfId="15" applyNumberFormat="1" applyFont="1" applyBorder="1" applyAlignment="1">
      <alignment horizontal="center" vertical="top"/>
    </xf>
    <xf numFmtId="178" fontId="33" fillId="0" borderId="14" xfId="15" applyNumberFormat="1" applyFont="1" applyBorder="1" applyAlignment="1">
      <alignment horizontal="left" vertical="top" wrapText="1"/>
    </xf>
    <xf numFmtId="167" fontId="33" fillId="0" borderId="13" xfId="15" applyNumberFormat="1" applyFont="1" applyBorder="1" applyAlignment="1">
      <alignment horizontal="center" vertical="top"/>
    </xf>
    <xf numFmtId="178" fontId="30" fillId="0" borderId="14" xfId="15" applyNumberFormat="1" applyFont="1" applyBorder="1"/>
    <xf numFmtId="2" fontId="30" fillId="0" borderId="5" xfId="15" applyNumberFormat="1" applyFont="1" applyBorder="1" applyAlignment="1">
      <alignment horizontal="right"/>
    </xf>
    <xf numFmtId="2" fontId="26" fillId="0" borderId="0" xfId="15" applyNumberFormat="1"/>
    <xf numFmtId="3" fontId="26" fillId="0" borderId="0" xfId="15" applyNumberFormat="1"/>
    <xf numFmtId="167" fontId="26" fillId="0" borderId="0" xfId="15" applyNumberFormat="1" applyAlignment="1">
      <alignment horizontal="right"/>
    </xf>
    <xf numFmtId="167" fontId="30" fillId="0" borderId="0" xfId="15" applyNumberFormat="1" applyFont="1" applyAlignment="1">
      <alignment horizontal="center" vertical="top" wrapText="1"/>
    </xf>
    <xf numFmtId="1" fontId="68" fillId="0" borderId="0" xfId="15" applyNumberFormat="1" applyFont="1" applyAlignment="1">
      <alignment horizontal="center"/>
    </xf>
    <xf numFmtId="167" fontId="68" fillId="0" borderId="0" xfId="15" applyNumberFormat="1" applyFont="1" applyAlignment="1">
      <alignment horizontal="left" wrapText="1"/>
    </xf>
    <xf numFmtId="167" fontId="26" fillId="0" borderId="0" xfId="15" applyNumberFormat="1" applyAlignment="1">
      <alignment horizontal="center"/>
    </xf>
    <xf numFmtId="167" fontId="28" fillId="0" borderId="0" xfId="15" applyNumberFormat="1" applyFont="1" applyAlignment="1">
      <alignment horizontal="left" wrapText="1"/>
    </xf>
    <xf numFmtId="167" fontId="28" fillId="0" borderId="0" xfId="15" applyNumberFormat="1" applyFont="1" applyAlignment="1">
      <alignment vertical="top"/>
    </xf>
    <xf numFmtId="167" fontId="28" fillId="0" borderId="0" xfId="15" applyNumberFormat="1" applyFont="1" applyAlignment="1">
      <alignment horizontal="center" vertical="center"/>
    </xf>
    <xf numFmtId="167" fontId="28" fillId="0" borderId="0" xfId="15" quotePrefix="1" applyNumberFormat="1" applyFont="1" applyAlignment="1">
      <alignment horizontal="center" vertical="center"/>
    </xf>
    <xf numFmtId="167" fontId="34" fillId="0" borderId="0" xfId="15" applyNumberFormat="1" applyFont="1" applyAlignment="1">
      <alignment horizontal="center" vertical="center" wrapText="1"/>
    </xf>
    <xf numFmtId="167" fontId="28" fillId="0" borderId="0" xfId="15" quotePrefix="1" applyNumberFormat="1" applyFont="1" applyAlignment="1">
      <alignment horizontal="center"/>
    </xf>
    <xf numFmtId="0" fontId="26" fillId="0" borderId="0" xfId="15" applyAlignment="1">
      <alignment wrapText="1"/>
    </xf>
    <xf numFmtId="167" fontId="28" fillId="0" borderId="0" xfId="15" applyNumberFormat="1" applyFont="1" applyAlignment="1">
      <alignment vertical="center" wrapText="1"/>
    </xf>
    <xf numFmtId="168" fontId="28" fillId="0" borderId="0" xfId="15" applyNumberFormat="1" applyFont="1" applyAlignment="1">
      <alignment horizontal="right" vertical="center"/>
    </xf>
    <xf numFmtId="167" fontId="28" fillId="0" borderId="0" xfId="15" applyNumberFormat="1" applyFont="1" applyAlignment="1">
      <alignment horizontal="right" vertical="center"/>
    </xf>
    <xf numFmtId="168" fontId="28" fillId="0" borderId="0" xfId="15" applyNumberFormat="1" applyFont="1" applyAlignment="1">
      <alignment horizontal="center" vertical="top"/>
    </xf>
    <xf numFmtId="168" fontId="28" fillId="0" borderId="0" xfId="15" applyNumberFormat="1" applyFont="1" applyAlignment="1">
      <alignment horizontal="center" vertical="center"/>
    </xf>
    <xf numFmtId="167" fontId="26" fillId="0" borderId="0" xfId="15" applyNumberFormat="1" applyAlignment="1">
      <alignment wrapText="1"/>
    </xf>
    <xf numFmtId="167" fontId="26" fillId="0" borderId="0" xfId="15" applyNumberFormat="1" applyAlignment="1">
      <alignment horizontal="center" vertical="center"/>
    </xf>
    <xf numFmtId="0" fontId="26" fillId="0" borderId="0" xfId="15" applyAlignment="1">
      <alignment horizontal="center" vertical="center"/>
    </xf>
    <xf numFmtId="0" fontId="26" fillId="0" borderId="0" xfId="15" applyAlignment="1">
      <alignment horizontal="left" vertical="center"/>
    </xf>
    <xf numFmtId="167" fontId="28" fillId="0" borderId="0" xfId="15" quotePrefix="1" applyNumberFormat="1" applyFont="1" applyAlignment="1">
      <alignment horizontal="left"/>
    </xf>
    <xf numFmtId="1" fontId="72" fillId="0" borderId="0" xfId="15" applyNumberFormat="1" applyFont="1" applyAlignment="1">
      <alignment horizontal="right"/>
    </xf>
    <xf numFmtId="167" fontId="34" fillId="0" borderId="0" xfId="15" applyNumberFormat="1" applyFont="1" applyAlignment="1">
      <alignment horizontal="left" wrapText="1"/>
    </xf>
    <xf numFmtId="0" fontId="55" fillId="0" borderId="23" xfId="5" applyFont="1" applyBorder="1" applyAlignment="1">
      <alignment horizontal="center" vertical="top" wrapText="1"/>
    </xf>
    <xf numFmtId="167" fontId="51" fillId="0" borderId="5" xfId="5" applyNumberFormat="1" applyFont="1" applyBorder="1" applyAlignment="1">
      <alignment horizontal="center" vertical="center" wrapText="1"/>
    </xf>
    <xf numFmtId="167" fontId="51" fillId="0" borderId="5" xfId="5" applyNumberFormat="1" applyFont="1" applyBorder="1" applyAlignment="1">
      <alignment horizontal="left" vertical="center" wrapText="1"/>
    </xf>
    <xf numFmtId="0" fontId="51" fillId="0" borderId="5" xfId="5" applyFont="1" applyBorder="1" applyAlignment="1">
      <alignment horizontal="center" vertical="center"/>
    </xf>
    <xf numFmtId="0" fontId="51" fillId="0" borderId="0" xfId="5" applyFont="1" applyAlignment="1">
      <alignment vertical="center"/>
    </xf>
    <xf numFmtId="168" fontId="38" fillId="0" borderId="1" xfId="0" applyNumberFormat="1" applyFont="1" applyBorder="1" applyAlignment="1">
      <alignment horizontal="center" vertical="top"/>
    </xf>
    <xf numFmtId="167" fontId="38" fillId="0" borderId="1" xfId="0" applyFont="1" applyBorder="1" applyAlignment="1">
      <alignment horizontal="left" vertical="top"/>
    </xf>
    <xf numFmtId="49" fontId="38" fillId="0" borderId="11" xfId="0" applyNumberFormat="1" applyFont="1" applyBorder="1" applyAlignment="1">
      <alignment horizontal="center" vertical="top"/>
    </xf>
    <xf numFmtId="2" fontId="38" fillId="0" borderId="1" xfId="0" applyNumberFormat="1" applyFont="1" applyBorder="1" applyAlignment="1">
      <alignment horizontal="right" vertical="top"/>
    </xf>
    <xf numFmtId="168" fontId="38" fillId="0" borderId="2" xfId="0" applyNumberFormat="1" applyFont="1" applyBorder="1" applyAlignment="1">
      <alignment horizontal="center" vertical="top"/>
    </xf>
    <xf numFmtId="167" fontId="38" fillId="0" borderId="2" xfId="0" applyFont="1" applyBorder="1" applyAlignment="1">
      <alignment horizontal="left" vertical="top"/>
    </xf>
    <xf numFmtId="49" fontId="38" fillId="0" borderId="0" xfId="0" applyNumberFormat="1" applyFont="1" applyAlignment="1">
      <alignment horizontal="center" vertical="top"/>
    </xf>
    <xf numFmtId="2" fontId="38" fillId="0" borderId="2" xfId="0" applyNumberFormat="1" applyFont="1" applyBorder="1" applyAlignment="1">
      <alignment horizontal="right" vertical="top"/>
    </xf>
    <xf numFmtId="167" fontId="38" fillId="0" borderId="2" xfId="0" applyFont="1" applyBorder="1" applyAlignment="1">
      <alignment vertical="top" wrapText="1"/>
    </xf>
    <xf numFmtId="167" fontId="38" fillId="0" borderId="0" xfId="0" applyFont="1" applyAlignment="1">
      <alignment horizontal="center" vertical="top"/>
    </xf>
    <xf numFmtId="167" fontId="38" fillId="0" borderId="2" xfId="0" applyFont="1" applyBorder="1" applyAlignment="1">
      <alignment vertical="top"/>
    </xf>
    <xf numFmtId="168" fontId="38" fillId="0" borderId="9" xfId="0" applyNumberFormat="1" applyFont="1" applyBorder="1" applyAlignment="1">
      <alignment horizontal="center" vertical="top"/>
    </xf>
    <xf numFmtId="167" fontId="38" fillId="0" borderId="9" xfId="0" applyFont="1" applyBorder="1" applyAlignment="1">
      <alignment horizontal="left" vertical="top"/>
    </xf>
    <xf numFmtId="167" fontId="38" fillId="0" borderId="2" xfId="0" applyFont="1" applyBorder="1" applyAlignment="1">
      <alignment horizontal="center" vertical="top"/>
    </xf>
    <xf numFmtId="167" fontId="38" fillId="0" borderId="9" xfId="0" applyFont="1" applyBorder="1" applyAlignment="1">
      <alignment vertical="top"/>
    </xf>
    <xf numFmtId="167" fontId="38" fillId="0" borderId="9" xfId="0" applyFont="1" applyBorder="1" applyAlignment="1">
      <alignment horizontal="center" vertical="top"/>
    </xf>
    <xf numFmtId="10" fontId="38" fillId="0" borderId="2" xfId="2" applyNumberFormat="1" applyFont="1" applyBorder="1" applyAlignment="1" applyProtection="1">
      <alignment horizontal="right" vertical="top"/>
    </xf>
    <xf numFmtId="168" fontId="38" fillId="0" borderId="10" xfId="0" applyNumberFormat="1" applyFont="1" applyBorder="1" applyAlignment="1">
      <alignment horizontal="center" vertical="top"/>
    </xf>
    <xf numFmtId="167" fontId="38" fillId="0" borderId="12" xfId="0" applyFont="1" applyBorder="1" applyAlignment="1">
      <alignment horizontal="left" vertical="top"/>
    </xf>
    <xf numFmtId="167" fontId="38" fillId="0" borderId="12" xfId="0" applyFont="1" applyBorder="1" applyAlignment="1">
      <alignment horizontal="center" vertical="top"/>
    </xf>
    <xf numFmtId="2" fontId="38" fillId="0" borderId="10" xfId="0" applyNumberFormat="1" applyFont="1" applyBorder="1" applyAlignment="1">
      <alignment horizontal="right" vertical="top"/>
    </xf>
    <xf numFmtId="9" fontId="49" fillId="0" borderId="0" xfId="2" applyFont="1" applyFill="1" applyAlignment="1">
      <alignment vertical="top"/>
    </xf>
    <xf numFmtId="167" fontId="33" fillId="0" borderId="0" xfId="0" applyFont="1" applyAlignment="1">
      <alignment wrapText="1"/>
    </xf>
    <xf numFmtId="167" fontId="59" fillId="0" borderId="5" xfId="0" applyFont="1" applyBorder="1" applyAlignment="1">
      <alignment vertical="top"/>
    </xf>
    <xf numFmtId="0" fontId="49" fillId="0" borderId="0" xfId="5" applyFont="1" applyAlignment="1">
      <alignment horizontal="right"/>
    </xf>
    <xf numFmtId="175" fontId="49" fillId="0" borderId="4" xfId="5" applyNumberFormat="1" applyFont="1" applyBorder="1" applyAlignment="1">
      <alignment horizontal="left" vertical="top"/>
    </xf>
    <xf numFmtId="175" fontId="49" fillId="0" borderId="0" xfId="5" applyNumberFormat="1" applyFont="1" applyAlignment="1">
      <alignment horizontal="left" vertical="top"/>
    </xf>
    <xf numFmtId="167" fontId="59" fillId="0" borderId="5" xfId="0" applyFont="1" applyBorder="1"/>
    <xf numFmtId="167" fontId="0" fillId="0" borderId="11" xfId="0" applyBorder="1"/>
    <xf numFmtId="167" fontId="59" fillId="0" borderId="0" xfId="0" applyFont="1"/>
    <xf numFmtId="167" fontId="85" fillId="0" borderId="0" xfId="0" applyFont="1" applyAlignment="1">
      <alignment vertical="top"/>
    </xf>
    <xf numFmtId="167" fontId="59" fillId="0" borderId="0" xfId="0" applyFont="1" applyAlignment="1">
      <alignment vertical="top"/>
    </xf>
    <xf numFmtId="167" fontId="76" fillId="0" borderId="24" xfId="0" applyFont="1" applyBorder="1" applyAlignment="1">
      <alignment horizontal="center" vertical="top"/>
    </xf>
    <xf numFmtId="167" fontId="76" fillId="0" borderId="25" xfId="0" applyFont="1" applyBorder="1" applyAlignment="1">
      <alignment horizontal="center" vertical="top"/>
    </xf>
    <xf numFmtId="167" fontId="59" fillId="0" borderId="0" xfId="0" applyFont="1" applyAlignment="1">
      <alignment horizontal="center"/>
    </xf>
    <xf numFmtId="167" fontId="79" fillId="0" borderId="5" xfId="0" applyFont="1" applyBorder="1" applyAlignment="1">
      <alignment vertical="top"/>
    </xf>
    <xf numFmtId="167" fontId="79" fillId="0" borderId="5" xfId="0" applyFont="1" applyBorder="1" applyAlignment="1">
      <alignment horizontal="center" vertical="top"/>
    </xf>
    <xf numFmtId="167" fontId="59" fillId="0" borderId="5" xfId="0" applyFont="1" applyBorder="1" applyAlignment="1">
      <alignment horizontal="left"/>
    </xf>
    <xf numFmtId="167" fontId="60" fillId="0" borderId="23" xfId="0" applyFont="1" applyBorder="1"/>
    <xf numFmtId="167" fontId="86" fillId="0" borderId="11" xfId="0" applyFont="1" applyBorder="1"/>
    <xf numFmtId="167" fontId="59" fillId="0" borderId="11" xfId="0" applyFont="1" applyBorder="1"/>
    <xf numFmtId="167" fontId="59" fillId="0" borderId="7" xfId="0" applyFont="1" applyBorder="1"/>
    <xf numFmtId="167" fontId="59" fillId="0" borderId="5" xfId="0" applyFont="1" applyBorder="1" applyAlignment="1">
      <alignment horizontal="center"/>
    </xf>
    <xf numFmtId="168" fontId="59" fillId="0" borderId="5" xfId="0" applyNumberFormat="1" applyFont="1" applyBorder="1"/>
    <xf numFmtId="167" fontId="60" fillId="0" borderId="0" xfId="0" applyFont="1"/>
    <xf numFmtId="167" fontId="82" fillId="0" borderId="0" xfId="0" applyFont="1" applyAlignment="1">
      <alignment vertical="top"/>
    </xf>
    <xf numFmtId="167" fontId="59" fillId="0" borderId="5" xfId="0" applyFont="1" applyBorder="1" applyAlignment="1">
      <alignment horizontal="left" vertical="center"/>
    </xf>
    <xf numFmtId="167" fontId="59" fillId="0" borderId="0" xfId="0" applyFont="1" applyAlignment="1">
      <alignment horizontal="left" vertical="top"/>
    </xf>
    <xf numFmtId="168" fontId="38" fillId="2" borderId="5" xfId="0" applyNumberFormat="1" applyFont="1" applyFill="1" applyBorder="1" applyAlignment="1">
      <alignment horizontal="center"/>
    </xf>
    <xf numFmtId="167" fontId="38" fillId="2" borderId="5" xfId="0" applyFont="1" applyFill="1" applyBorder="1"/>
    <xf numFmtId="10" fontId="33" fillId="2" borderId="5" xfId="2" applyNumberFormat="1" applyFont="1" applyFill="1" applyBorder="1" applyAlignment="1">
      <alignment horizontal="right" vertical="top"/>
    </xf>
    <xf numFmtId="167" fontId="38" fillId="2" borderId="0" xfId="0" applyFont="1" applyFill="1"/>
    <xf numFmtId="167" fontId="59" fillId="0" borderId="5" xfId="0" applyFont="1" applyBorder="1" applyAlignment="1">
      <alignment horizontal="center" vertical="top"/>
    </xf>
    <xf numFmtId="167" fontId="79" fillId="0" borderId="5" xfId="0" applyFont="1" applyBorder="1" applyAlignment="1">
      <alignment vertical="top" wrapText="1"/>
    </xf>
    <xf numFmtId="167" fontId="76" fillId="0" borderId="5" xfId="0" applyFont="1" applyBorder="1" applyAlignment="1">
      <alignment vertical="top"/>
    </xf>
    <xf numFmtId="167" fontId="76" fillId="0" borderId="29" xfId="0" applyFont="1" applyBorder="1" applyAlignment="1">
      <alignment horizontal="center" vertical="top"/>
    </xf>
    <xf numFmtId="167" fontId="60" fillId="0" borderId="0" xfId="0" applyFont="1" applyAlignment="1">
      <alignment wrapText="1"/>
    </xf>
    <xf numFmtId="167" fontId="79" fillId="0" borderId="10" xfId="0" applyFont="1" applyBorder="1" applyAlignment="1">
      <alignment vertical="top"/>
    </xf>
    <xf numFmtId="167" fontId="79" fillId="0" borderId="10" xfId="0" applyFont="1" applyBorder="1" applyAlignment="1">
      <alignment horizontal="center" vertical="top"/>
    </xf>
    <xf numFmtId="168" fontId="79" fillId="3" borderId="10" xfId="0" applyNumberFormat="1" applyFont="1" applyFill="1" applyBorder="1" applyAlignment="1">
      <alignment horizontal="center" vertical="top"/>
    </xf>
    <xf numFmtId="168" fontId="59" fillId="3" borderId="12" xfId="0" applyNumberFormat="1" applyFont="1" applyFill="1" applyBorder="1" applyAlignment="1">
      <alignment horizontal="center" vertical="top"/>
    </xf>
    <xf numFmtId="168" fontId="76" fillId="3" borderId="5" xfId="0" applyNumberFormat="1" applyFont="1" applyFill="1" applyBorder="1" applyAlignment="1">
      <alignment horizontal="center" vertical="top" wrapText="1"/>
    </xf>
    <xf numFmtId="167" fontId="59" fillId="0" borderId="0" xfId="0" applyFont="1" applyAlignment="1">
      <alignment horizontal="left" wrapText="1"/>
    </xf>
    <xf numFmtId="168" fontId="79" fillId="3" borderId="5" xfId="0" applyNumberFormat="1" applyFont="1" applyFill="1" applyBorder="1" applyAlignment="1">
      <alignment horizontal="center" vertical="top"/>
    </xf>
    <xf numFmtId="168" fontId="59" fillId="3" borderId="14" xfId="0" applyNumberFormat="1" applyFont="1" applyFill="1" applyBorder="1" applyAlignment="1">
      <alignment horizontal="center" vertical="top"/>
    </xf>
    <xf numFmtId="167" fontId="79" fillId="3" borderId="5" xfId="0" applyFont="1" applyFill="1" applyBorder="1" applyAlignment="1">
      <alignment horizontal="center" vertical="top"/>
    </xf>
    <xf numFmtId="167" fontId="75" fillId="3" borderId="14" xfId="0" applyFont="1" applyFill="1" applyBorder="1" applyAlignment="1">
      <alignment horizontal="center" vertical="top"/>
    </xf>
    <xf numFmtId="167" fontId="76" fillId="3" borderId="5" xfId="0" applyFont="1" applyFill="1" applyBorder="1" applyAlignment="1">
      <alignment horizontal="center" vertical="top" wrapText="1"/>
    </xf>
    <xf numFmtId="168" fontId="59" fillId="0" borderId="0" xfId="0" applyNumberFormat="1" applyFont="1" applyAlignment="1">
      <alignment horizontal="center" vertical="top"/>
    </xf>
    <xf numFmtId="168" fontId="75" fillId="0" borderId="0" xfId="0" applyNumberFormat="1" applyFont="1" applyAlignment="1">
      <alignment horizontal="center" vertical="top" wrapText="1"/>
    </xf>
    <xf numFmtId="168" fontId="59" fillId="3" borderId="5" xfId="0" applyNumberFormat="1" applyFont="1" applyFill="1" applyBorder="1" applyAlignment="1">
      <alignment horizontal="center" vertical="top" wrapText="1"/>
    </xf>
    <xf numFmtId="168" fontId="59" fillId="3" borderId="14" xfId="0" applyNumberFormat="1" applyFont="1" applyFill="1" applyBorder="1" applyAlignment="1">
      <alignment horizontal="center" vertical="top" wrapText="1"/>
    </xf>
    <xf numFmtId="168" fontId="60" fillId="3" borderId="5" xfId="0" applyNumberFormat="1" applyFont="1" applyFill="1" applyBorder="1" applyAlignment="1">
      <alignment horizontal="center" vertical="top" wrapText="1"/>
    </xf>
    <xf numFmtId="168" fontId="59" fillId="0" borderId="0" xfId="0" applyNumberFormat="1" applyFont="1" applyAlignment="1">
      <alignment horizontal="center" vertical="top" wrapText="1"/>
    </xf>
    <xf numFmtId="167" fontId="79" fillId="3" borderId="5" xfId="0" quotePrefix="1" applyFont="1" applyFill="1" applyBorder="1" applyAlignment="1">
      <alignment horizontal="center" vertical="top"/>
    </xf>
    <xf numFmtId="167" fontId="59" fillId="3" borderId="14" xfId="0" quotePrefix="1" applyFont="1" applyFill="1" applyBorder="1" applyAlignment="1">
      <alignment horizontal="center" vertical="top"/>
    </xf>
    <xf numFmtId="167" fontId="79" fillId="0" borderId="0" xfId="0" quotePrefix="1" applyFont="1" applyAlignment="1">
      <alignment horizontal="center" vertical="top"/>
    </xf>
    <xf numFmtId="167" fontId="79" fillId="3" borderId="5" xfId="0" applyFont="1" applyFill="1" applyBorder="1" applyAlignment="1">
      <alignment horizontal="center"/>
    </xf>
    <xf numFmtId="167" fontId="59" fillId="3" borderId="14" xfId="0" applyFont="1" applyFill="1" applyBorder="1" applyAlignment="1">
      <alignment horizontal="center"/>
    </xf>
    <xf numFmtId="168" fontId="76" fillId="3" borderId="5" xfId="0" applyNumberFormat="1" applyFont="1" applyFill="1" applyBorder="1" applyAlignment="1">
      <alignment horizontal="center"/>
    </xf>
    <xf numFmtId="167" fontId="59" fillId="3" borderId="5" xfId="0" applyFont="1" applyFill="1" applyBorder="1" applyAlignment="1">
      <alignment horizontal="center" vertical="center"/>
    </xf>
    <xf numFmtId="167" fontId="59" fillId="3" borderId="14" xfId="0" applyFont="1" applyFill="1" applyBorder="1" applyAlignment="1">
      <alignment horizontal="center" vertical="center"/>
    </xf>
    <xf numFmtId="167" fontId="60" fillId="3" borderId="5" xfId="0" applyFont="1" applyFill="1" applyBorder="1" applyAlignment="1">
      <alignment horizontal="center"/>
    </xf>
    <xf numFmtId="168" fontId="59" fillId="3" borderId="5" xfId="0" applyNumberFormat="1" applyFont="1" applyFill="1" applyBorder="1"/>
    <xf numFmtId="168" fontId="77" fillId="2" borderId="5" xfId="0" applyNumberFormat="1" applyFont="1" applyFill="1" applyBorder="1"/>
    <xf numFmtId="168" fontId="59" fillId="2" borderId="5" xfId="0" applyNumberFormat="1" applyFont="1" applyFill="1" applyBorder="1"/>
    <xf numFmtId="168" fontId="59" fillId="0" borderId="5" xfId="0" applyNumberFormat="1" applyFont="1" applyBorder="1" applyAlignment="1">
      <alignment horizontal="center"/>
    </xf>
    <xf numFmtId="167" fontId="59" fillId="0" borderId="5" xfId="0" applyFont="1" applyBorder="1" applyAlignment="1">
      <alignment wrapText="1"/>
    </xf>
    <xf numFmtId="167" fontId="59" fillId="3" borderId="5" xfId="0" applyFont="1" applyFill="1" applyBorder="1" applyAlignment="1">
      <alignment vertical="top"/>
    </xf>
    <xf numFmtId="167" fontId="59" fillId="2" borderId="5" xfId="0" applyFont="1" applyFill="1" applyBorder="1" applyAlignment="1">
      <alignment vertical="top"/>
    </xf>
    <xf numFmtId="169" fontId="59" fillId="2" borderId="5" xfId="2" applyNumberFormat="1" applyFont="1" applyFill="1" applyBorder="1" applyAlignment="1" applyProtection="1">
      <alignment vertical="top"/>
    </xf>
    <xf numFmtId="10" fontId="59" fillId="2" borderId="5" xfId="2" applyNumberFormat="1" applyFont="1" applyFill="1" applyBorder="1" applyAlignment="1" applyProtection="1">
      <alignment horizontal="right" vertical="top"/>
    </xf>
    <xf numFmtId="167" fontId="90" fillId="2" borderId="5" xfId="0" applyFont="1" applyFill="1" applyBorder="1"/>
    <xf numFmtId="167" fontId="79" fillId="0" borderId="5" xfId="0" applyFont="1" applyBorder="1" applyAlignment="1">
      <alignment vertical="center"/>
    </xf>
    <xf numFmtId="168" fontId="79" fillId="2" borderId="5" xfId="0" applyNumberFormat="1" applyFont="1" applyFill="1" applyBorder="1" applyAlignment="1">
      <alignment horizontal="center" vertical="center"/>
    </xf>
    <xf numFmtId="167" fontId="79" fillId="2" borderId="5" xfId="0" applyFont="1" applyFill="1" applyBorder="1" applyAlignment="1">
      <alignment horizontal="center" vertical="center"/>
    </xf>
    <xf numFmtId="1" fontId="79" fillId="2" borderId="5" xfId="0" applyNumberFormat="1" applyFont="1" applyFill="1" applyBorder="1" applyAlignment="1">
      <alignment horizontal="center" vertical="center"/>
    </xf>
    <xf numFmtId="167" fontId="59" fillId="0" borderId="5" xfId="0" applyFont="1" applyBorder="1" applyAlignment="1">
      <alignment horizontal="left" vertical="top"/>
    </xf>
    <xf numFmtId="168" fontId="59" fillId="0" borderId="5" xfId="0" applyNumberFormat="1" applyFont="1" applyBorder="1" applyAlignment="1">
      <alignment horizontal="right" vertical="top"/>
    </xf>
    <xf numFmtId="167" fontId="59" fillId="0" borderId="5" xfId="0" quotePrefix="1" applyFont="1" applyBorder="1" applyAlignment="1">
      <alignment horizontal="center" vertical="top"/>
    </xf>
    <xf numFmtId="168" fontId="59" fillId="3" borderId="5" xfId="0" applyNumberFormat="1" applyFont="1" applyFill="1" applyBorder="1" applyAlignment="1">
      <alignment vertical="top"/>
    </xf>
    <xf numFmtId="167" fontId="79" fillId="5" borderId="5" xfId="0" applyFont="1" applyFill="1" applyBorder="1" applyAlignment="1">
      <alignment vertical="top" wrapText="1"/>
    </xf>
    <xf numFmtId="168" fontId="59" fillId="0" borderId="5" xfId="0" applyNumberFormat="1" applyFont="1" applyBorder="1" applyAlignment="1">
      <alignment vertical="top"/>
    </xf>
    <xf numFmtId="167" fontId="60" fillId="0" borderId="5" xfId="0" applyFont="1" applyBorder="1" applyAlignment="1">
      <alignment horizontal="right" vertical="top"/>
    </xf>
    <xf numFmtId="2" fontId="80" fillId="3" borderId="5" xfId="19" quotePrefix="1" applyNumberFormat="1" applyFont="1" applyFill="1" applyBorder="1" applyAlignment="1">
      <alignment horizontal="right"/>
    </xf>
    <xf numFmtId="167" fontId="60" fillId="0" borderId="0" xfId="0" applyFont="1" applyAlignment="1">
      <alignment horizontal="right"/>
    </xf>
    <xf numFmtId="2" fontId="59" fillId="2" borderId="5" xfId="0" quotePrefix="1" applyNumberFormat="1" applyFont="1" applyFill="1" applyBorder="1" applyAlignment="1">
      <alignment horizontal="center" vertical="top"/>
    </xf>
    <xf numFmtId="167" fontId="79" fillId="5" borderId="5" xfId="0" quotePrefix="1" applyFont="1" applyFill="1" applyBorder="1" applyAlignment="1">
      <alignment vertical="top"/>
    </xf>
    <xf numFmtId="2" fontId="80" fillId="3" borderId="2" xfId="19" quotePrefix="1" applyNumberFormat="1" applyFont="1" applyFill="1" applyBorder="1" applyAlignment="1">
      <alignment horizontal="right"/>
    </xf>
    <xf numFmtId="167" fontId="59" fillId="0" borderId="5" xfId="0" applyFont="1" applyBorder="1" applyAlignment="1">
      <alignment horizontal="center" vertical="top" wrapText="1"/>
    </xf>
    <xf numFmtId="9" fontId="79" fillId="3" borderId="5" xfId="2" applyFont="1" applyFill="1" applyBorder="1" applyAlignment="1">
      <alignment vertical="top"/>
    </xf>
    <xf numFmtId="2" fontId="80" fillId="0" borderId="5" xfId="19" quotePrefix="1" applyNumberFormat="1" applyFont="1" applyBorder="1" applyAlignment="1">
      <alignment horizontal="right"/>
    </xf>
    <xf numFmtId="167" fontId="79" fillId="5" borderId="0" xfId="0" applyFont="1" applyFill="1" applyAlignment="1">
      <alignment vertical="top" wrapText="1"/>
    </xf>
    <xf numFmtId="167" fontId="59" fillId="0" borderId="5" xfId="3" applyNumberFormat="1" applyFont="1" applyBorder="1" applyAlignment="1">
      <alignment horizontal="left" vertical="top"/>
    </xf>
    <xf numFmtId="167" fontId="73" fillId="0" borderId="5" xfId="3" applyNumberFormat="1" applyFont="1" applyBorder="1" applyAlignment="1">
      <alignment horizontal="center" vertical="top"/>
    </xf>
    <xf numFmtId="168" fontId="73" fillId="2" borderId="5" xfId="3" applyNumberFormat="1" applyFont="1" applyFill="1" applyBorder="1" applyAlignment="1">
      <alignment vertical="top"/>
    </xf>
    <xf numFmtId="167" fontId="59" fillId="2" borderId="5" xfId="0" applyFont="1" applyFill="1" applyBorder="1"/>
    <xf numFmtId="167" fontId="60" fillId="0" borderId="0" xfId="0" applyFont="1" applyAlignment="1">
      <alignment horizontal="left"/>
    </xf>
    <xf numFmtId="167" fontId="33" fillId="0" borderId="2" xfId="0" applyFont="1" applyBorder="1" applyAlignment="1">
      <alignment horizontal="center" vertical="top"/>
    </xf>
    <xf numFmtId="167" fontId="33" fillId="0" borderId="2" xfId="0" applyFont="1" applyBorder="1" applyAlignment="1">
      <alignment vertical="top"/>
    </xf>
    <xf numFmtId="167" fontId="33" fillId="0" borderId="2" xfId="0" applyFont="1" applyBorder="1" applyAlignment="1">
      <alignment vertical="top" wrapText="1"/>
    </xf>
    <xf numFmtId="167" fontId="30" fillId="0" borderId="5" xfId="0" applyFont="1" applyBorder="1" applyAlignment="1">
      <alignment horizontal="center" vertical="top"/>
    </xf>
    <xf numFmtId="168" fontId="33" fillId="0" borderId="1" xfId="0" applyNumberFormat="1" applyFont="1" applyBorder="1" applyAlignment="1">
      <alignment horizontal="center" vertical="top"/>
    </xf>
    <xf numFmtId="168" fontId="33" fillId="0" borderId="3" xfId="0" applyNumberFormat="1" applyFont="1" applyBorder="1" applyAlignment="1">
      <alignment vertical="top"/>
    </xf>
    <xf numFmtId="168" fontId="33" fillId="0" borderId="2" xfId="0" applyNumberFormat="1" applyFont="1" applyBorder="1" applyAlignment="1">
      <alignment horizontal="center" vertical="top"/>
    </xf>
    <xf numFmtId="167" fontId="33" fillId="0" borderId="3" xfId="0" applyFont="1" applyBorder="1" applyAlignment="1">
      <alignment vertical="top"/>
    </xf>
    <xf numFmtId="168" fontId="33" fillId="0" borderId="3" xfId="2" applyNumberFormat="1" applyFont="1" applyFill="1" applyBorder="1" applyAlignment="1" applyProtection="1">
      <alignment vertical="top"/>
    </xf>
    <xf numFmtId="172" fontId="0" fillId="0" borderId="0" xfId="0" applyNumberFormat="1"/>
    <xf numFmtId="182" fontId="0" fillId="0" borderId="0" xfId="0" applyNumberFormat="1"/>
    <xf numFmtId="167" fontId="0" fillId="0" borderId="3" xfId="0" applyBorder="1" applyAlignment="1">
      <alignment horizontal="center" vertical="top" wrapText="1"/>
    </xf>
    <xf numFmtId="10" fontId="0" fillId="0" borderId="0" xfId="2" applyNumberFormat="1" applyFont="1"/>
    <xf numFmtId="168" fontId="33" fillId="0" borderId="10" xfId="0" applyNumberFormat="1" applyFont="1" applyBorder="1" applyAlignment="1">
      <alignment horizontal="center" vertical="top"/>
    </xf>
    <xf numFmtId="167" fontId="33" fillId="0" borderId="10" xfId="0" applyFont="1" applyBorder="1" applyAlignment="1">
      <alignment vertical="top"/>
    </xf>
    <xf numFmtId="167" fontId="33" fillId="0" borderId="10" xfId="0" applyFont="1" applyBorder="1" applyAlignment="1">
      <alignment horizontal="center" vertical="top"/>
    </xf>
    <xf numFmtId="168" fontId="33" fillId="0" borderId="6" xfId="0" applyNumberFormat="1" applyFont="1" applyBorder="1" applyAlignment="1">
      <alignment vertical="top"/>
    </xf>
    <xf numFmtId="168" fontId="30" fillId="0" borderId="0" xfId="0" applyNumberFormat="1" applyFont="1" applyAlignment="1">
      <alignment horizontal="center"/>
    </xf>
    <xf numFmtId="167" fontId="30" fillId="0" borderId="4" xfId="0" applyFont="1" applyBorder="1" applyAlignment="1">
      <alignment horizontal="left"/>
    </xf>
    <xf numFmtId="167" fontId="0" fillId="0" borderId="5" xfId="0" applyBorder="1" applyAlignment="1">
      <alignment horizontal="center" vertical="top" wrapText="1"/>
    </xf>
    <xf numFmtId="167" fontId="33" fillId="0" borderId="5" xfId="0" applyFont="1" applyBorder="1" applyAlignment="1">
      <alignment horizontal="center" vertical="top" wrapText="1"/>
    </xf>
    <xf numFmtId="167" fontId="0" fillId="0" borderId="9" xfId="0" applyBorder="1" applyAlignment="1">
      <alignment horizontal="center"/>
    </xf>
    <xf numFmtId="168" fontId="33" fillId="0" borderId="2" xfId="0" applyNumberFormat="1" applyFont="1" applyBorder="1" applyAlignment="1">
      <alignment horizontal="center"/>
    </xf>
    <xf numFmtId="168" fontId="0" fillId="0" borderId="3" xfId="0" applyNumberFormat="1" applyBorder="1" applyAlignment="1">
      <alignment horizontal="right" vertical="top" wrapText="1"/>
    </xf>
    <xf numFmtId="167" fontId="0" fillId="0" borderId="3" xfId="0" applyBorder="1" applyAlignment="1">
      <alignment horizontal="right" vertical="top" wrapText="1"/>
    </xf>
    <xf numFmtId="167" fontId="0" fillId="0" borderId="0" xfId="0" applyAlignment="1">
      <alignment horizontal="right" vertical="top" wrapText="1"/>
    </xf>
    <xf numFmtId="168" fontId="33" fillId="0" borderId="2" xfId="0" applyNumberFormat="1" applyFont="1" applyBorder="1" applyAlignment="1">
      <alignment horizontal="center" vertical="top" wrapText="1"/>
    </xf>
    <xf numFmtId="167" fontId="33" fillId="0" borderId="10" xfId="0" applyFont="1" applyBorder="1" applyAlignment="1">
      <alignment horizontal="left" vertical="top"/>
    </xf>
    <xf numFmtId="167" fontId="0" fillId="0" borderId="10" xfId="0" applyBorder="1" applyAlignment="1">
      <alignment horizontal="center" vertical="top" wrapText="1"/>
    </xf>
    <xf numFmtId="168" fontId="0" fillId="0" borderId="6" xfId="0" applyNumberFormat="1" applyBorder="1" applyAlignment="1">
      <alignment horizontal="right" vertical="top" wrapText="1"/>
    </xf>
    <xf numFmtId="167" fontId="0" fillId="0" borderId="10" xfId="0" applyBorder="1" applyAlignment="1">
      <alignment horizontal="right" vertical="top" wrapText="1"/>
    </xf>
    <xf numFmtId="167" fontId="30" fillId="0" borderId="2" xfId="0" applyFont="1" applyBorder="1" applyAlignment="1">
      <alignment horizontal="right"/>
    </xf>
    <xf numFmtId="167" fontId="30" fillId="0" borderId="3" xfId="0" applyFont="1" applyBorder="1" applyAlignment="1">
      <alignment horizontal="right"/>
    </xf>
    <xf numFmtId="168" fontId="30" fillId="0" borderId="2" xfId="0" applyNumberFormat="1" applyFont="1" applyBorder="1" applyAlignment="1">
      <alignment horizontal="right"/>
    </xf>
    <xf numFmtId="167" fontId="30" fillId="0" borderId="1" xfId="0" applyFont="1" applyBorder="1" applyAlignment="1">
      <alignment horizontal="right" vertical="top" wrapText="1"/>
    </xf>
    <xf numFmtId="167" fontId="30" fillId="0" borderId="1" xfId="0" applyFont="1" applyBorder="1" applyAlignment="1">
      <alignment horizontal="center"/>
    </xf>
    <xf numFmtId="167" fontId="30" fillId="0" borderId="1" xfId="0" applyFont="1" applyBorder="1" applyAlignment="1">
      <alignment horizontal="left"/>
    </xf>
    <xf numFmtId="167" fontId="34" fillId="0" borderId="7" xfId="0" applyFont="1" applyBorder="1" applyAlignment="1">
      <alignment horizontal="center"/>
    </xf>
    <xf numFmtId="167" fontId="34" fillId="0" borderId="11" xfId="0" applyFont="1" applyBorder="1" applyAlignment="1">
      <alignment horizontal="right"/>
    </xf>
    <xf numFmtId="167" fontId="34" fillId="0" borderId="1" xfId="0" applyFont="1" applyBorder="1" applyAlignment="1">
      <alignment horizontal="right"/>
    </xf>
    <xf numFmtId="167" fontId="0" fillId="0" borderId="3" xfId="0" applyBorder="1" applyAlignment="1">
      <alignment horizontal="center"/>
    </xf>
    <xf numFmtId="168" fontId="0" fillId="0" borderId="0" xfId="0" applyNumberFormat="1" applyAlignment="1">
      <alignment horizontal="right" vertical="top" wrapText="1"/>
    </xf>
    <xf numFmtId="168" fontId="0" fillId="0" borderId="2" xfId="0" applyNumberFormat="1" applyBorder="1" applyAlignment="1">
      <alignment horizontal="right" vertical="top" wrapText="1"/>
    </xf>
    <xf numFmtId="167" fontId="0" fillId="0" borderId="2" xfId="0" applyBorder="1" applyAlignment="1">
      <alignment horizontal="right" vertical="top" wrapText="1"/>
    </xf>
    <xf numFmtId="168" fontId="0" fillId="0" borderId="2" xfId="0" applyNumberFormat="1" applyBorder="1" applyAlignment="1">
      <alignment horizontal="center"/>
    </xf>
    <xf numFmtId="167" fontId="33" fillId="0" borderId="3" xfId="0" applyFont="1" applyBorder="1" applyAlignment="1">
      <alignment horizontal="center"/>
    </xf>
    <xf numFmtId="172" fontId="0" fillId="0" borderId="2" xfId="0" applyNumberFormat="1" applyBorder="1" applyAlignment="1">
      <alignment horizontal="right" vertical="top" wrapText="1"/>
    </xf>
    <xf numFmtId="167" fontId="0" fillId="0" borderId="0" xfId="0" applyAlignment="1">
      <alignment horizontal="right"/>
    </xf>
    <xf numFmtId="168" fontId="0" fillId="0" borderId="10" xfId="0" applyNumberFormat="1" applyBorder="1" applyAlignment="1">
      <alignment horizontal="center"/>
    </xf>
    <xf numFmtId="167" fontId="33" fillId="0" borderId="10" xfId="0" quotePrefix="1" applyFont="1" applyBorder="1" applyAlignment="1">
      <alignment horizontal="left"/>
    </xf>
    <xf numFmtId="167" fontId="0" fillId="0" borderId="6" xfId="0" applyBorder="1" applyAlignment="1">
      <alignment horizontal="center"/>
    </xf>
    <xf numFmtId="168" fontId="0" fillId="0" borderId="4" xfId="0" applyNumberFormat="1" applyBorder="1" applyAlignment="1">
      <alignment horizontal="right"/>
    </xf>
    <xf numFmtId="168" fontId="0" fillId="0" borderId="10" xfId="0" applyNumberFormat="1" applyBorder="1" applyAlignment="1">
      <alignment horizontal="right"/>
    </xf>
    <xf numFmtId="167" fontId="0" fillId="0" borderId="10" xfId="0" applyBorder="1" applyAlignment="1">
      <alignment horizontal="right"/>
    </xf>
    <xf numFmtId="167" fontId="34" fillId="0" borderId="10" xfId="0" applyFont="1" applyBorder="1" applyAlignment="1">
      <alignment horizontal="center"/>
    </xf>
    <xf numFmtId="167" fontId="30" fillId="0" borderId="6" xfId="0" applyFont="1" applyBorder="1" applyAlignment="1">
      <alignment horizontal="right"/>
    </xf>
    <xf numFmtId="168" fontId="34" fillId="0" borderId="10" xfId="0" applyNumberFormat="1" applyFont="1" applyBorder="1" applyAlignment="1">
      <alignment horizontal="right"/>
    </xf>
    <xf numFmtId="167" fontId="30" fillId="0" borderId="10" xfId="0" applyFont="1" applyBorder="1" applyAlignment="1">
      <alignment horizontal="center"/>
    </xf>
    <xf numFmtId="167" fontId="30" fillId="0" borderId="10" xfId="0" applyFont="1" applyBorder="1" applyAlignment="1">
      <alignment horizontal="left"/>
    </xf>
    <xf numFmtId="168" fontId="30" fillId="0" borderId="10" xfId="0" applyNumberFormat="1" applyFont="1" applyBorder="1" applyAlignment="1">
      <alignment horizontal="right"/>
    </xf>
    <xf numFmtId="168" fontId="30" fillId="0" borderId="10" xfId="0" applyNumberFormat="1" applyFont="1" applyBorder="1" applyAlignment="1">
      <alignment horizontal="center"/>
    </xf>
    <xf numFmtId="167" fontId="81" fillId="5" borderId="0" xfId="0" applyFont="1" applyFill="1"/>
    <xf numFmtId="167" fontId="34" fillId="0" borderId="0" xfId="0" applyFont="1" applyAlignment="1">
      <alignment horizontal="right"/>
    </xf>
    <xf numFmtId="167" fontId="30" fillId="0" borderId="23" xfId="0" applyFont="1" applyBorder="1"/>
    <xf numFmtId="167" fontId="92" fillId="0" borderId="11" xfId="0" applyFont="1" applyBorder="1"/>
    <xf numFmtId="167" fontId="0" fillId="0" borderId="7" xfId="0" applyBorder="1"/>
    <xf numFmtId="167" fontId="0" fillId="0" borderId="5" xfId="0" applyBorder="1"/>
    <xf numFmtId="168" fontId="0" fillId="2" borderId="5" xfId="0" applyNumberFormat="1" applyFill="1" applyBorder="1"/>
    <xf numFmtId="168" fontId="93" fillId="0" borderId="5" xfId="0" applyNumberFormat="1" applyFont="1" applyBorder="1"/>
    <xf numFmtId="168" fontId="0" fillId="0" borderId="5" xfId="0" applyNumberFormat="1" applyBorder="1"/>
    <xf numFmtId="172" fontId="0" fillId="0" borderId="0" xfId="0" applyNumberFormat="1" applyAlignment="1">
      <alignment horizontal="left"/>
    </xf>
    <xf numFmtId="167" fontId="0" fillId="0" borderId="9" xfId="0" applyBorder="1"/>
    <xf numFmtId="167" fontId="0" fillId="0" borderId="3" xfId="0" applyBorder="1"/>
    <xf numFmtId="167" fontId="33" fillId="0" borderId="5" xfId="0" applyFont="1" applyBorder="1" applyAlignment="1">
      <alignment vertical="top"/>
    </xf>
    <xf numFmtId="167" fontId="0" fillId="0" borderId="0" xfId="0" applyAlignment="1">
      <alignment wrapText="1"/>
    </xf>
    <xf numFmtId="10" fontId="0" fillId="0" borderId="5" xfId="2" applyNumberFormat="1" applyFont="1" applyBorder="1" applyAlignment="1">
      <alignment vertical="top"/>
    </xf>
    <xf numFmtId="167" fontId="87" fillId="0" borderId="0" xfId="0" applyFont="1"/>
    <xf numFmtId="167" fontId="93" fillId="0" borderId="0" xfId="0" applyFont="1" applyAlignment="1">
      <alignment wrapText="1"/>
    </xf>
    <xf numFmtId="10" fontId="0" fillId="0" borderId="0" xfId="2" applyNumberFormat="1" applyFont="1" applyBorder="1" applyAlignment="1">
      <alignment vertical="top"/>
    </xf>
    <xf numFmtId="167" fontId="93" fillId="0" borderId="0" xfId="0" applyFont="1"/>
    <xf numFmtId="168" fontId="0" fillId="0" borderId="5" xfId="0" applyNumberFormat="1" applyBorder="1" applyAlignment="1">
      <alignment horizontal="center"/>
    </xf>
    <xf numFmtId="167" fontId="87" fillId="0" borderId="5" xfId="0" applyFont="1" applyBorder="1" applyAlignment="1">
      <alignment wrapText="1"/>
    </xf>
    <xf numFmtId="167" fontId="87" fillId="0" borderId="5" xfId="0" applyFont="1" applyBorder="1" applyAlignment="1">
      <alignment horizontal="center"/>
    </xf>
    <xf numFmtId="167" fontId="87" fillId="0" borderId="5" xfId="0" applyFont="1" applyBorder="1" applyAlignment="1">
      <alignment vertical="top"/>
    </xf>
    <xf numFmtId="169" fontId="87" fillId="0" borderId="5" xfId="2" applyNumberFormat="1" applyFont="1" applyFill="1" applyBorder="1" applyAlignment="1" applyProtection="1">
      <alignment vertical="top"/>
    </xf>
    <xf numFmtId="10" fontId="87" fillId="0" borderId="5" xfId="2" applyNumberFormat="1" applyFont="1" applyFill="1" applyBorder="1" applyAlignment="1" applyProtection="1">
      <alignment horizontal="right" vertical="top"/>
    </xf>
    <xf numFmtId="167" fontId="0" fillId="0" borderId="0" xfId="0" applyAlignment="1">
      <alignment vertical="top"/>
    </xf>
    <xf numFmtId="167" fontId="35" fillId="0" borderId="0" xfId="3" applyNumberFormat="1" applyFont="1" applyAlignment="1">
      <alignment horizontal="left" vertical="top"/>
    </xf>
    <xf numFmtId="167" fontId="27" fillId="0" borderId="0" xfId="3" applyNumberFormat="1" applyAlignment="1">
      <alignment vertical="top"/>
    </xf>
    <xf numFmtId="168" fontId="27" fillId="0" borderId="0" xfId="3" applyNumberFormat="1" applyAlignment="1">
      <alignment horizontal="right" vertical="top"/>
    </xf>
    <xf numFmtId="168" fontId="27" fillId="0" borderId="0" xfId="3" applyNumberFormat="1" applyAlignment="1">
      <alignment horizontal="center" vertical="top"/>
    </xf>
    <xf numFmtId="167" fontId="33" fillId="0" borderId="0" xfId="3" applyNumberFormat="1" applyFont="1" applyAlignment="1">
      <alignment horizontal="left" vertical="top"/>
    </xf>
    <xf numFmtId="167" fontId="17" fillId="0" borderId="0" xfId="3" applyNumberFormat="1" applyFont="1" applyAlignment="1">
      <alignment horizontal="center" vertical="top"/>
    </xf>
    <xf numFmtId="167" fontId="27" fillId="0" borderId="0" xfId="3" applyNumberFormat="1" applyAlignment="1">
      <alignment horizontal="center" vertical="top"/>
    </xf>
    <xf numFmtId="168" fontId="27" fillId="3" borderId="0" xfId="3" applyNumberFormat="1" applyFill="1" applyAlignment="1">
      <alignment vertical="top"/>
    </xf>
    <xf numFmtId="168" fontId="27" fillId="0" borderId="0" xfId="3" applyNumberFormat="1" applyAlignment="1">
      <alignment vertical="top"/>
    </xf>
    <xf numFmtId="167" fontId="33" fillId="0" borderId="0" xfId="3" applyNumberFormat="1" applyFont="1" applyAlignment="1">
      <alignment horizontal="left" vertical="top" wrapText="1"/>
    </xf>
    <xf numFmtId="183" fontId="27" fillId="0" borderId="0" xfId="3" applyNumberFormat="1" applyAlignment="1">
      <alignment horizontal="center" vertical="top"/>
    </xf>
    <xf numFmtId="167" fontId="17" fillId="0" borderId="0" xfId="3" applyNumberFormat="1" applyFont="1" applyAlignment="1">
      <alignment vertical="top"/>
    </xf>
    <xf numFmtId="167" fontId="33" fillId="0" borderId="0" xfId="3" applyNumberFormat="1" applyFont="1" applyAlignment="1">
      <alignment vertical="top"/>
    </xf>
    <xf numFmtId="167" fontId="33" fillId="0" borderId="0" xfId="3" applyNumberFormat="1" applyFont="1" applyAlignment="1">
      <alignment horizontal="center" vertical="top"/>
    </xf>
    <xf numFmtId="167" fontId="30" fillId="0" borderId="0" xfId="3" applyNumberFormat="1" applyFont="1" applyAlignment="1">
      <alignment vertical="top"/>
    </xf>
    <xf numFmtId="167" fontId="79" fillId="5" borderId="0" xfId="0" applyFont="1" applyFill="1"/>
    <xf numFmtId="168" fontId="87" fillId="0" borderId="0" xfId="0" applyNumberFormat="1" applyFont="1" applyAlignment="1">
      <alignment horizontal="right" vertical="top" wrapText="1"/>
    </xf>
    <xf numFmtId="167" fontId="87" fillId="0" borderId="0" xfId="0" applyFont="1" applyAlignment="1">
      <alignment horizontal="right" vertical="top" wrapText="1"/>
    </xf>
    <xf numFmtId="167" fontId="33" fillId="0" borderId="3" xfId="0" applyFont="1" applyBorder="1" applyAlignment="1">
      <alignment horizontal="left" vertical="top" wrapText="1"/>
    </xf>
    <xf numFmtId="167" fontId="94" fillId="0" borderId="0" xfId="0" applyFont="1"/>
    <xf numFmtId="2" fontId="80" fillId="3" borderId="10" xfId="19" quotePrefix="1" applyNumberFormat="1" applyFont="1" applyFill="1" applyBorder="1" applyAlignment="1">
      <alignment vertical="top"/>
    </xf>
    <xf numFmtId="167" fontId="87" fillId="0" borderId="2" xfId="0" applyFont="1" applyBorder="1"/>
    <xf numFmtId="167" fontId="87" fillId="0" borderId="3" xfId="0" applyFont="1" applyBorder="1" applyAlignment="1">
      <alignment horizontal="center"/>
    </xf>
    <xf numFmtId="167" fontId="33" fillId="0" borderId="0" xfId="0" applyFont="1" applyAlignment="1">
      <alignment horizontal="center" vertical="center"/>
    </xf>
    <xf numFmtId="167" fontId="33" fillId="0" borderId="5" xfId="0" applyFont="1" applyBorder="1" applyAlignment="1">
      <alignment horizontal="center" vertical="center"/>
    </xf>
    <xf numFmtId="167" fontId="33" fillId="0" borderId="14" xfId="0" applyFont="1" applyBorder="1" applyAlignment="1">
      <alignment vertical="center"/>
    </xf>
    <xf numFmtId="0" fontId="36" fillId="0" borderId="11" xfId="5" applyFont="1" applyBorder="1" applyAlignment="1">
      <alignment vertical="top"/>
    </xf>
    <xf numFmtId="0" fontId="57" fillId="0" borderId="11" xfId="5" applyFont="1" applyBorder="1" applyAlignment="1">
      <alignment vertical="top" wrapText="1"/>
    </xf>
    <xf numFmtId="2" fontId="52" fillId="0" borderId="11" xfId="5" applyNumberFormat="1" applyFont="1" applyBorder="1" applyAlignment="1">
      <alignment horizontal="center" vertical="top" wrapText="1"/>
    </xf>
    <xf numFmtId="10" fontId="52" fillId="0" borderId="11" xfId="2" applyNumberFormat="1" applyFont="1" applyFill="1" applyBorder="1" applyAlignment="1">
      <alignment horizontal="center" vertical="top" wrapText="1"/>
    </xf>
    <xf numFmtId="169" fontId="52" fillId="0" borderId="11" xfId="2" applyNumberFormat="1" applyFont="1" applyFill="1" applyBorder="1" applyAlignment="1">
      <alignment horizontal="center" vertical="top" wrapText="1"/>
    </xf>
    <xf numFmtId="2" fontId="52" fillId="0" borderId="11" xfId="2" applyNumberFormat="1" applyFont="1" applyFill="1" applyBorder="1" applyAlignment="1">
      <alignment horizontal="center" vertical="top" wrapText="1"/>
    </xf>
    <xf numFmtId="2" fontId="51" fillId="0" borderId="11" xfId="2" applyNumberFormat="1" applyFont="1" applyFill="1" applyBorder="1" applyAlignment="1">
      <alignment horizontal="center" vertical="top" wrapText="1"/>
    </xf>
    <xf numFmtId="0" fontId="51" fillId="0" borderId="12" xfId="34" applyFont="1" applyBorder="1" applyAlignment="1">
      <alignment horizontal="left" vertical="center"/>
    </xf>
    <xf numFmtId="0" fontId="51" fillId="0" borderId="4" xfId="34" applyFont="1" applyBorder="1" applyAlignment="1">
      <alignment horizontal="left" vertical="center"/>
    </xf>
    <xf numFmtId="0" fontId="51" fillId="0" borderId="6" xfId="34" applyFont="1" applyBorder="1" applyAlignment="1">
      <alignment horizontal="left" vertical="center"/>
    </xf>
    <xf numFmtId="0" fontId="55" fillId="0" borderId="5" xfId="34" applyFont="1" applyBorder="1" applyAlignment="1">
      <alignment horizontal="center" vertical="top" wrapText="1"/>
    </xf>
    <xf numFmtId="0" fontId="97" fillId="0" borderId="5" xfId="8" applyFont="1" applyBorder="1" applyAlignment="1">
      <alignment horizontal="left" vertical="top" wrapText="1"/>
    </xf>
    <xf numFmtId="0" fontId="38" fillId="0" borderId="5" xfId="8" applyFont="1" applyBorder="1" applyAlignment="1">
      <alignment horizontal="justify" vertical="top" wrapText="1"/>
    </xf>
    <xf numFmtId="176" fontId="52" fillId="0" borderId="5" xfId="34" applyNumberFormat="1" applyFont="1" applyBorder="1" applyAlignment="1">
      <alignment horizontal="center" vertical="top" wrapText="1"/>
    </xf>
    <xf numFmtId="4" fontId="52" fillId="0" borderId="5" xfId="34" applyNumberFormat="1" applyFont="1" applyBorder="1" applyAlignment="1">
      <alignment horizontal="center" vertical="top" wrapText="1"/>
    </xf>
    <xf numFmtId="2" fontId="52" fillId="0" borderId="5" xfId="34" applyNumberFormat="1" applyFont="1" applyBorder="1" applyAlignment="1">
      <alignment horizontal="center" vertical="top" wrapText="1"/>
    </xf>
    <xf numFmtId="0" fontId="52" fillId="0" borderId="5" xfId="34" applyFont="1" applyBorder="1" applyAlignment="1">
      <alignment horizontal="center" vertical="top" wrapText="1"/>
    </xf>
    <xf numFmtId="167" fontId="52" fillId="0" borderId="5" xfId="34" applyNumberFormat="1" applyFont="1" applyBorder="1" applyAlignment="1">
      <alignment horizontal="center" vertical="top" wrapText="1"/>
    </xf>
    <xf numFmtId="9" fontId="52" fillId="0" borderId="5" xfId="96" applyFont="1" applyFill="1" applyBorder="1" applyAlignment="1">
      <alignment horizontal="center" vertical="top" wrapText="1"/>
    </xf>
    <xf numFmtId="2" fontId="98" fillId="0" borderId="5" xfId="34" applyNumberFormat="1" applyFont="1" applyBorder="1" applyAlignment="1">
      <alignment horizontal="center" vertical="top" wrapText="1"/>
    </xf>
    <xf numFmtId="0" fontId="36" fillId="0" borderId="5" xfId="5" applyFont="1" applyBorder="1" applyAlignment="1">
      <alignment vertical="top"/>
    </xf>
    <xf numFmtId="0" fontId="57" fillId="0" borderId="5" xfId="5" applyFont="1" applyBorder="1" applyAlignment="1">
      <alignment vertical="top" wrapText="1"/>
    </xf>
    <xf numFmtId="0" fontId="55" fillId="0" borderId="0" xfId="5" applyFont="1" applyAlignment="1">
      <alignment horizontal="left" vertical="top" wrapText="1"/>
    </xf>
    <xf numFmtId="177" fontId="52" fillId="0" borderId="0" xfId="5" applyNumberFormat="1" applyFont="1" applyAlignment="1">
      <alignment horizontal="center" vertical="top" wrapText="1"/>
    </xf>
    <xf numFmtId="0" fontId="51" fillId="0" borderId="5" xfId="5" applyFont="1" applyBorder="1" applyAlignment="1">
      <alignment horizontal="center" vertical="center" wrapText="1"/>
    </xf>
    <xf numFmtId="167" fontId="33" fillId="0" borderId="0" xfId="0" applyFont="1" applyAlignment="1">
      <alignment vertical="center" wrapText="1"/>
    </xf>
    <xf numFmtId="167" fontId="0" fillId="0" borderId="0" xfId="0" applyAlignment="1">
      <alignment vertical="center"/>
    </xf>
    <xf numFmtId="167" fontId="100" fillId="0" borderId="5" xfId="0" applyFont="1" applyBorder="1" applyAlignment="1">
      <alignment vertical="center" wrapText="1"/>
    </xf>
    <xf numFmtId="167" fontId="99" fillId="0" borderId="5" xfId="0" applyFont="1" applyBorder="1" applyAlignment="1">
      <alignment vertical="center"/>
    </xf>
    <xf numFmtId="168" fontId="100" fillId="0" borderId="5" xfId="0" applyNumberFormat="1" applyFont="1" applyBorder="1" applyAlignment="1">
      <alignment horizontal="center" vertical="center"/>
    </xf>
    <xf numFmtId="1" fontId="100" fillId="0" borderId="5" xfId="0" applyNumberFormat="1" applyFont="1" applyBorder="1" applyAlignment="1">
      <alignment horizontal="center" vertical="center"/>
    </xf>
    <xf numFmtId="167" fontId="99" fillId="0" borderId="5" xfId="0" applyFont="1" applyBorder="1" applyAlignment="1">
      <alignment horizontal="center" vertical="center"/>
    </xf>
    <xf numFmtId="167" fontId="99" fillId="0" borderId="5" xfId="0" applyFont="1" applyBorder="1" applyAlignment="1">
      <alignment vertical="center" wrapText="1"/>
    </xf>
    <xf numFmtId="167" fontId="33" fillId="0" borderId="5" xfId="0" applyFont="1" applyBorder="1" applyAlignment="1">
      <alignment wrapText="1"/>
    </xf>
    <xf numFmtId="2" fontId="33" fillId="0" borderId="0" xfId="21" applyNumberFormat="1"/>
    <xf numFmtId="168" fontId="33" fillId="0" borderId="0" xfId="21" applyNumberFormat="1" applyAlignment="1">
      <alignment vertical="top"/>
    </xf>
    <xf numFmtId="167" fontId="33" fillId="0" borderId="0" xfId="21"/>
    <xf numFmtId="167" fontId="35" fillId="0" borderId="0" xfId="21" applyFont="1"/>
    <xf numFmtId="167" fontId="30" fillId="0" borderId="0" xfId="21" applyFont="1"/>
    <xf numFmtId="167" fontId="33" fillId="0" borderId="0" xfId="21" applyAlignment="1">
      <alignment horizontal="center"/>
    </xf>
    <xf numFmtId="167" fontId="39" fillId="0" borderId="0" xfId="21" applyFont="1"/>
    <xf numFmtId="167" fontId="33" fillId="0" borderId="0" xfId="21" quotePrefix="1"/>
    <xf numFmtId="167" fontId="43" fillId="0" borderId="0" xfId="21" applyFont="1"/>
    <xf numFmtId="171" fontId="43" fillId="0" borderId="0" xfId="21" applyNumberFormat="1" applyFont="1"/>
    <xf numFmtId="167" fontId="33" fillId="0" borderId="0" xfId="21" applyAlignment="1">
      <alignment horizontal="fill"/>
    </xf>
    <xf numFmtId="167" fontId="44" fillId="0" borderId="0" xfId="21" applyFont="1"/>
    <xf numFmtId="172" fontId="33" fillId="0" borderId="0" xfId="21" applyNumberFormat="1"/>
    <xf numFmtId="171" fontId="33" fillId="0" borderId="0" xfId="21" applyNumberFormat="1" applyAlignment="1">
      <alignment horizontal="center"/>
    </xf>
    <xf numFmtId="167" fontId="43" fillId="0" borderId="53" xfId="21" applyFont="1" applyBorder="1"/>
    <xf numFmtId="168" fontId="33" fillId="0" borderId="8" xfId="21" applyNumberFormat="1" applyBorder="1" applyAlignment="1">
      <alignment horizontal="right"/>
    </xf>
    <xf numFmtId="167" fontId="92" fillId="0" borderId="0" xfId="21" applyFont="1"/>
    <xf numFmtId="167" fontId="43" fillId="0" borderId="8" xfId="21" applyFont="1" applyBorder="1"/>
    <xf numFmtId="10" fontId="33" fillId="0" borderId="0" xfId="2" applyNumberFormat="1" applyFont="1" applyFill="1" applyBorder="1" applyAlignment="1" applyProtection="1">
      <alignment horizontal="right"/>
    </xf>
    <xf numFmtId="168" fontId="33" fillId="0" borderId="5" xfId="21" applyNumberFormat="1" applyBorder="1" applyAlignment="1">
      <alignment horizontal="center"/>
    </xf>
    <xf numFmtId="168" fontId="43" fillId="0" borderId="8" xfId="21" applyNumberFormat="1" applyFont="1" applyBorder="1"/>
    <xf numFmtId="168" fontId="43" fillId="0" borderId="13" xfId="21" applyNumberFormat="1" applyFont="1" applyBorder="1"/>
    <xf numFmtId="167" fontId="33" fillId="0" borderId="8" xfId="21" applyBorder="1"/>
    <xf numFmtId="167" fontId="33" fillId="0" borderId="4" xfId="21" applyBorder="1" applyAlignment="1">
      <alignment horizontal="center"/>
    </xf>
    <xf numFmtId="167" fontId="33" fillId="0" borderId="4" xfId="21" applyBorder="1"/>
    <xf numFmtId="167" fontId="33" fillId="0" borderId="8" xfId="21" applyBorder="1" applyAlignment="1">
      <alignment horizontal="center"/>
    </xf>
    <xf numFmtId="168" fontId="33" fillId="0" borderId="0" xfId="21" applyNumberFormat="1"/>
    <xf numFmtId="167" fontId="30" fillId="0" borderId="14" xfId="21" applyFont="1" applyBorder="1"/>
    <xf numFmtId="167" fontId="30" fillId="0" borderId="8" xfId="21" applyFont="1" applyBorder="1" applyAlignment="1">
      <alignment horizontal="center"/>
    </xf>
    <xf numFmtId="167" fontId="30" fillId="0" borderId="13" xfId="21" applyFont="1" applyBorder="1"/>
    <xf numFmtId="167" fontId="33" fillId="0" borderId="0" xfId="21" applyAlignment="1">
      <alignment horizontal="left"/>
    </xf>
    <xf numFmtId="167" fontId="43" fillId="0" borderId="4" xfId="21" applyFont="1" applyBorder="1"/>
    <xf numFmtId="9" fontId="44" fillId="0" borderId="0" xfId="21" applyNumberFormat="1" applyFont="1"/>
    <xf numFmtId="168" fontId="43" fillId="0" borderId="8" xfId="21" applyNumberFormat="1" applyFont="1" applyBorder="1" applyAlignment="1">
      <alignment horizontal="center"/>
    </xf>
    <xf numFmtId="168" fontId="43" fillId="0" borderId="13" xfId="21" applyNumberFormat="1" applyFont="1" applyBorder="1" applyAlignment="1">
      <alignment horizontal="center"/>
    </xf>
    <xf numFmtId="172" fontId="43" fillId="0" borderId="0" xfId="21" applyNumberFormat="1" applyFont="1"/>
    <xf numFmtId="167" fontId="30" fillId="0" borderId="0" xfId="21" applyFont="1" applyAlignment="1">
      <alignment horizontal="right"/>
    </xf>
    <xf numFmtId="167" fontId="43" fillId="0" borderId="15" xfId="21" applyFont="1" applyBorder="1"/>
    <xf numFmtId="167" fontId="43" fillId="0" borderId="16" xfId="21" applyFont="1" applyBorder="1"/>
    <xf numFmtId="167" fontId="43" fillId="0" borderId="17" xfId="21" applyFont="1" applyBorder="1"/>
    <xf numFmtId="167" fontId="43" fillId="0" borderId="18" xfId="21" applyFont="1" applyBorder="1"/>
    <xf numFmtId="167" fontId="33" fillId="0" borderId="5" xfId="21" applyBorder="1"/>
    <xf numFmtId="167" fontId="43" fillId="0" borderId="0" xfId="21" applyFont="1" applyAlignment="1">
      <alignment horizontal="center"/>
    </xf>
    <xf numFmtId="168" fontId="33" fillId="0" borderId="0" xfId="21" applyNumberFormat="1" applyAlignment="1">
      <alignment horizontal="right"/>
    </xf>
    <xf numFmtId="167" fontId="33" fillId="0" borderId="0" xfId="21" applyAlignment="1">
      <alignment horizontal="right"/>
    </xf>
    <xf numFmtId="167" fontId="33" fillId="0" borderId="0" xfId="21" applyAlignment="1">
      <alignment vertical="top"/>
    </xf>
    <xf numFmtId="167" fontId="33" fillId="0" borderId="0" xfId="21" applyAlignment="1">
      <alignment horizontal="center" vertical="top"/>
    </xf>
    <xf numFmtId="167" fontId="43" fillId="0" borderId="0" xfId="21" applyFont="1" applyAlignment="1">
      <alignment vertical="top"/>
    </xf>
    <xf numFmtId="10" fontId="33" fillId="0" borderId="0" xfId="2" applyNumberFormat="1" applyFont="1" applyFill="1" applyBorder="1" applyAlignment="1" applyProtection="1">
      <alignment vertical="top"/>
    </xf>
    <xf numFmtId="168" fontId="33" fillId="0" borderId="0" xfId="21" applyNumberFormat="1" applyAlignment="1">
      <alignment horizontal="right" vertical="top"/>
    </xf>
    <xf numFmtId="167" fontId="33" fillId="0" borderId="0" xfId="21" applyAlignment="1">
      <alignment horizontal="fill" vertical="top"/>
    </xf>
    <xf numFmtId="10" fontId="33" fillId="0" borderId="0" xfId="2" applyNumberFormat="1" applyFont="1" applyAlignment="1">
      <alignment vertical="top"/>
    </xf>
    <xf numFmtId="168" fontId="33" fillId="0" borderId="8" xfId="21" applyNumberFormat="1" applyBorder="1" applyAlignment="1">
      <alignment horizontal="center"/>
    </xf>
    <xf numFmtId="168" fontId="33" fillId="0" borderId="0" xfId="21" applyNumberFormat="1" applyAlignment="1">
      <alignment horizontal="center"/>
    </xf>
    <xf numFmtId="168" fontId="33" fillId="0" borderId="0" xfId="21" applyNumberFormat="1" applyAlignment="1">
      <alignment horizontal="left"/>
    </xf>
    <xf numFmtId="10" fontId="33" fillId="0" borderId="0" xfId="2" applyNumberFormat="1" applyFont="1" applyBorder="1" applyAlignment="1" applyProtection="1">
      <alignment horizontal="right"/>
    </xf>
    <xf numFmtId="167" fontId="33" fillId="0" borderId="5" xfId="21" applyBorder="1" applyAlignment="1">
      <alignment horizontal="center"/>
    </xf>
    <xf numFmtId="167" fontId="33" fillId="0" borderId="5" xfId="21" applyBorder="1" applyAlignment="1">
      <alignment horizontal="center" vertical="top"/>
    </xf>
    <xf numFmtId="10" fontId="43" fillId="2" borderId="0" xfId="2" applyNumberFormat="1" applyFont="1" applyFill="1" applyProtection="1"/>
    <xf numFmtId="167" fontId="33" fillId="2" borderId="0" xfId="21" applyFill="1"/>
    <xf numFmtId="167" fontId="92" fillId="2" borderId="0" xfId="21" applyFont="1" applyFill="1"/>
    <xf numFmtId="167" fontId="33" fillId="2" borderId="8" xfId="21" applyFill="1" applyBorder="1"/>
    <xf numFmtId="9" fontId="119" fillId="0" borderId="0" xfId="21" applyNumberFormat="1" applyFont="1"/>
    <xf numFmtId="167" fontId="119" fillId="0" borderId="0" xfId="21" applyFont="1"/>
    <xf numFmtId="167" fontId="44" fillId="0" borderId="14" xfId="21" applyFont="1" applyBorder="1"/>
    <xf numFmtId="167" fontId="43" fillId="0" borderId="0" xfId="21" applyFont="1" applyAlignment="1">
      <alignment vertical="center"/>
    </xf>
    <xf numFmtId="167" fontId="30" fillId="2" borderId="0" xfId="21" applyFont="1" applyFill="1"/>
    <xf numFmtId="167" fontId="33" fillId="0" borderId="5" xfId="0" applyFont="1" applyBorder="1" applyAlignment="1">
      <alignment vertical="center" wrapText="1"/>
    </xf>
    <xf numFmtId="167" fontId="100" fillId="0" borderId="5" xfId="0" applyFont="1" applyBorder="1" applyAlignment="1">
      <alignment horizontal="center" vertical="center"/>
    </xf>
    <xf numFmtId="167" fontId="35" fillId="0" borderId="0" xfId="0" applyFont="1" applyAlignment="1">
      <alignment vertical="center"/>
    </xf>
    <xf numFmtId="167" fontId="0" fillId="0" borderId="5" xfId="0" applyBorder="1" applyAlignment="1">
      <alignment vertical="center"/>
    </xf>
    <xf numFmtId="168" fontId="99" fillId="0" borderId="5" xfId="0" applyNumberFormat="1" applyFont="1" applyBorder="1" applyAlignment="1">
      <alignment vertical="center"/>
    </xf>
    <xf numFmtId="168" fontId="0" fillId="0" borderId="0" xfId="0" applyNumberFormat="1" applyAlignment="1">
      <alignment vertical="center"/>
    </xf>
    <xf numFmtId="168" fontId="99" fillId="0" borderId="5" xfId="0" applyNumberFormat="1" applyFont="1" applyBorder="1" applyAlignment="1">
      <alignment horizontal="center" vertical="center"/>
    </xf>
    <xf numFmtId="167" fontId="0" fillId="0" borderId="0" xfId="0" applyAlignment="1">
      <alignment vertical="center" wrapText="1"/>
    </xf>
    <xf numFmtId="168" fontId="33" fillId="0" borderId="5" xfId="0" applyNumberFormat="1" applyFont="1" applyBorder="1" applyAlignment="1">
      <alignment vertical="center"/>
    </xf>
    <xf numFmtId="168" fontId="0" fillId="0" borderId="5" xfId="0" applyNumberFormat="1" applyBorder="1" applyAlignment="1">
      <alignment vertical="center"/>
    </xf>
    <xf numFmtId="167" fontId="0" fillId="0" borderId="5" xfId="0" applyBorder="1" applyAlignment="1">
      <alignment vertical="center" wrapText="1"/>
    </xf>
    <xf numFmtId="168" fontId="30" fillId="0" borderId="5" xfId="0" applyNumberFormat="1" applyFont="1" applyBorder="1" applyAlignment="1">
      <alignment horizontal="right" vertical="center"/>
    </xf>
    <xf numFmtId="168" fontId="30" fillId="0" borderId="0" xfId="0" applyNumberFormat="1" applyFont="1" applyAlignment="1">
      <alignment horizontal="right" vertical="center"/>
    </xf>
    <xf numFmtId="167" fontId="30" fillId="0" borderId="10" xfId="0" applyFont="1" applyBorder="1" applyAlignment="1">
      <alignment horizontal="center" vertical="center"/>
    </xf>
    <xf numFmtId="2" fontId="101" fillId="0" borderId="5" xfId="0" applyNumberFormat="1" applyFont="1" applyBorder="1" applyAlignment="1">
      <alignment horizontal="center"/>
    </xf>
    <xf numFmtId="2" fontId="100" fillId="0" borderId="5" xfId="0" applyNumberFormat="1" applyFont="1" applyBorder="1" applyAlignment="1">
      <alignment horizontal="center" vertical="center"/>
    </xf>
    <xf numFmtId="2" fontId="100" fillId="0" borderId="5" xfId="0" applyNumberFormat="1" applyFont="1" applyBorder="1" applyAlignment="1">
      <alignment horizontal="center"/>
    </xf>
    <xf numFmtId="1" fontId="33" fillId="0" borderId="5" xfId="0" applyNumberFormat="1" applyFont="1" applyBorder="1" applyAlignment="1">
      <alignment horizontal="center"/>
    </xf>
    <xf numFmtId="168" fontId="0" fillId="0" borderId="5" xfId="0" applyNumberFormat="1" applyBorder="1" applyAlignment="1">
      <alignment horizontal="center" vertical="center"/>
    </xf>
    <xf numFmtId="167" fontId="121" fillId="0" borderId="5" xfId="0" applyFont="1" applyBorder="1" applyAlignment="1">
      <alignment vertical="center"/>
    </xf>
    <xf numFmtId="167" fontId="52" fillId="0" borderId="1" xfId="5" applyNumberFormat="1" applyFont="1" applyBorder="1" applyAlignment="1">
      <alignment horizontal="center" vertical="top" wrapText="1"/>
    </xf>
    <xf numFmtId="9" fontId="52" fillId="0" borderId="1" xfId="2" applyFont="1" applyFill="1" applyBorder="1" applyAlignment="1">
      <alignment horizontal="center" vertical="top" wrapText="1"/>
    </xf>
    <xf numFmtId="0" fontId="52" fillId="0" borderId="0" xfId="5" applyFont="1" applyAlignment="1">
      <alignment horizontal="right" vertical="center" wrapText="1"/>
    </xf>
    <xf numFmtId="0" fontId="52" fillId="0" borderId="0" xfId="5" applyFont="1" applyAlignment="1">
      <alignment horizontal="right" vertical="center"/>
    </xf>
    <xf numFmtId="168" fontId="30" fillId="0" borderId="5" xfId="0" applyNumberFormat="1" applyFont="1" applyBorder="1" applyAlignment="1">
      <alignment horizontal="center" vertical="center"/>
    </xf>
    <xf numFmtId="167" fontId="30" fillId="0" borderId="5" xfId="0" applyFont="1" applyBorder="1" applyAlignment="1">
      <alignment horizontal="center" vertical="center" wrapText="1"/>
    </xf>
    <xf numFmtId="167" fontId="99" fillId="0" borderId="5" xfId="0" applyFont="1" applyBorder="1" applyAlignment="1">
      <alignment horizontal="center" vertical="center" wrapText="1"/>
    </xf>
    <xf numFmtId="0" fontId="55" fillId="2" borderId="1" xfId="5" applyFont="1" applyFill="1" applyBorder="1" applyAlignment="1">
      <alignment horizontal="center" vertical="top" wrapText="1"/>
    </xf>
    <xf numFmtId="0" fontId="51" fillId="0" borderId="22" xfId="5" applyFont="1" applyBorder="1" applyAlignment="1">
      <alignment horizontal="left" vertical="center" wrapText="1"/>
    </xf>
    <xf numFmtId="0" fontId="59" fillId="0" borderId="1" xfId="0" applyNumberFormat="1" applyFont="1" applyBorder="1" applyAlignment="1">
      <alignment horizontal="left" vertical="center" wrapText="1"/>
    </xf>
    <xf numFmtId="0" fontId="59" fillId="0" borderId="5" xfId="0" applyNumberFormat="1" applyFont="1" applyBorder="1" applyAlignment="1">
      <alignment horizontal="left" vertical="center" wrapText="1"/>
    </xf>
    <xf numFmtId="0" fontId="62" fillId="0" borderId="5" xfId="0" applyNumberFormat="1" applyFont="1" applyBorder="1" applyAlignment="1">
      <alignment vertical="center" wrapText="1"/>
    </xf>
    <xf numFmtId="0" fontId="63" fillId="0" borderId="1" xfId="0" applyNumberFormat="1" applyFont="1" applyBorder="1" applyAlignment="1">
      <alignment horizontal="left" vertical="center" wrapText="1"/>
    </xf>
    <xf numFmtId="176" fontId="59" fillId="0" borderId="5" xfId="0" applyNumberFormat="1" applyFont="1" applyBorder="1" applyAlignment="1">
      <alignment horizontal="right" vertical="center" wrapText="1"/>
    </xf>
    <xf numFmtId="184" fontId="55" fillId="0" borderId="5" xfId="5" applyNumberFormat="1" applyFont="1" applyBorder="1" applyAlignment="1">
      <alignment horizontal="center" vertical="center" wrapText="1"/>
    </xf>
    <xf numFmtId="4" fontId="55" fillId="0" borderId="5" xfId="5" applyNumberFormat="1" applyFont="1" applyBorder="1" applyAlignment="1">
      <alignment horizontal="center" vertical="center" wrapText="1"/>
    </xf>
    <xf numFmtId="0" fontId="52" fillId="0" borderId="5" xfId="5" applyFont="1" applyBorder="1" applyAlignment="1">
      <alignment horizontal="center" vertical="center" wrapText="1"/>
    </xf>
    <xf numFmtId="2" fontId="52" fillId="0" borderId="5" xfId="5" applyNumberFormat="1" applyFont="1" applyBorder="1" applyAlignment="1">
      <alignment horizontal="center" vertical="center" wrapText="1"/>
    </xf>
    <xf numFmtId="2" fontId="55" fillId="0" borderId="14" xfId="5" applyNumberFormat="1" applyFont="1" applyBorder="1" applyAlignment="1">
      <alignment horizontal="center" vertical="center" wrapText="1"/>
    </xf>
    <xf numFmtId="0" fontId="52" fillId="0" borderId="1" xfId="5" applyFont="1" applyBorder="1" applyAlignment="1">
      <alignment horizontal="center" vertical="center" wrapText="1"/>
    </xf>
    <xf numFmtId="2" fontId="52" fillId="0" borderId="1" xfId="5" applyNumberFormat="1" applyFont="1" applyBorder="1" applyAlignment="1">
      <alignment horizontal="center" vertical="center" wrapText="1"/>
    </xf>
    <xf numFmtId="164" fontId="59" fillId="0" borderId="5" xfId="0" applyNumberFormat="1" applyFont="1" applyBorder="1" applyAlignment="1">
      <alignment horizontal="right" vertical="center" wrapText="1"/>
    </xf>
    <xf numFmtId="176" fontId="59" fillId="0" borderId="5" xfId="0" applyNumberFormat="1" applyFont="1" applyBorder="1" applyAlignment="1">
      <alignment horizontal="right" vertical="center"/>
    </xf>
    <xf numFmtId="0" fontId="49" fillId="0" borderId="5" xfId="5" applyFont="1" applyBorder="1" applyAlignment="1">
      <alignment vertical="center"/>
    </xf>
    <xf numFmtId="176" fontId="63" fillId="0" borderId="5" xfId="0" applyNumberFormat="1" applyFont="1" applyBorder="1" applyAlignment="1">
      <alignment horizontal="right" vertical="center"/>
    </xf>
    <xf numFmtId="2" fontId="122" fillId="0" borderId="5" xfId="5" applyNumberFormat="1" applyFont="1" applyBorder="1" applyAlignment="1">
      <alignment horizontal="center" vertical="center" wrapText="1"/>
    </xf>
    <xf numFmtId="176" fontId="52" fillId="0" borderId="5" xfId="5" applyNumberFormat="1" applyFont="1" applyBorder="1" applyAlignment="1">
      <alignment horizontal="center" vertical="center" wrapText="1"/>
    </xf>
    <xf numFmtId="4" fontId="52" fillId="0" borderId="5" xfId="5" applyNumberFormat="1" applyFont="1" applyBorder="1" applyAlignment="1">
      <alignment horizontal="center" vertical="center" wrapText="1"/>
    </xf>
    <xf numFmtId="2" fontId="52" fillId="0" borderId="14" xfId="5" applyNumberFormat="1" applyFont="1" applyBorder="1" applyAlignment="1">
      <alignment horizontal="center" vertical="center" wrapText="1"/>
    </xf>
    <xf numFmtId="2" fontId="51" fillId="0" borderId="1" xfId="5" applyNumberFormat="1" applyFont="1" applyBorder="1" applyAlignment="1">
      <alignment horizontal="center" vertical="center" wrapText="1"/>
    </xf>
    <xf numFmtId="177" fontId="52" fillId="0" borderId="5" xfId="5" applyNumberFormat="1" applyFont="1" applyBorder="1" applyAlignment="1">
      <alignment horizontal="center" vertical="center" wrapText="1"/>
    </xf>
    <xf numFmtId="10" fontId="52" fillId="0" borderId="5" xfId="2" applyNumberFormat="1" applyFont="1" applyFill="1" applyBorder="1" applyAlignment="1">
      <alignment horizontal="center" vertical="center" wrapText="1"/>
    </xf>
    <xf numFmtId="169" fontId="52" fillId="0" borderId="5" xfId="2" applyNumberFormat="1" applyFont="1" applyFill="1" applyBorder="1" applyAlignment="1">
      <alignment horizontal="center" vertical="center" wrapText="1"/>
    </xf>
    <xf numFmtId="2" fontId="52" fillId="0" borderId="5" xfId="2" applyNumberFormat="1" applyFont="1" applyFill="1" applyBorder="1" applyAlignment="1">
      <alignment horizontal="center" vertical="center" wrapText="1"/>
    </xf>
    <xf numFmtId="2" fontId="51" fillId="0" borderId="5" xfId="2" applyNumberFormat="1" applyFont="1" applyFill="1" applyBorder="1" applyAlignment="1">
      <alignment horizontal="center" vertical="center" wrapText="1"/>
    </xf>
    <xf numFmtId="0" fontId="46" fillId="0" borderId="22" xfId="5" applyFont="1" applyBorder="1" applyAlignment="1">
      <alignment vertical="top"/>
    </xf>
    <xf numFmtId="0" fontId="51" fillId="2" borderId="0" xfId="5" applyFont="1" applyFill="1" applyAlignment="1">
      <alignment horizontal="left" vertical="center" indent="1"/>
    </xf>
    <xf numFmtId="167" fontId="30" fillId="0" borderId="0" xfId="0" applyFont="1" applyAlignment="1">
      <alignment horizontal="center" vertical="top" wrapText="1"/>
    </xf>
    <xf numFmtId="180" fontId="33" fillId="23" borderId="5" xfId="25" applyNumberFormat="1" applyFont="1" applyFill="1" applyBorder="1" applyAlignment="1">
      <alignment horizontal="left" wrapText="1"/>
    </xf>
    <xf numFmtId="186" fontId="28" fillId="0" borderId="1" xfId="28" applyNumberFormat="1" applyFont="1" applyFill="1" applyBorder="1" applyAlignment="1">
      <alignment horizontal="right" vertical="top" wrapText="1"/>
    </xf>
    <xf numFmtId="186" fontId="28" fillId="0" borderId="0" xfId="28" applyNumberFormat="1" applyFont="1" applyFill="1" applyBorder="1" applyAlignment="1">
      <alignment horizontal="right" vertical="top" wrapText="1"/>
    </xf>
    <xf numFmtId="167" fontId="33" fillId="0" borderId="0" xfId="0" applyFont="1" applyAlignment="1">
      <alignment horizontal="center" vertical="top" wrapText="1"/>
    </xf>
    <xf numFmtId="0" fontId="81" fillId="0" borderId="5" xfId="0" applyNumberFormat="1" applyFont="1" applyBorder="1" applyAlignment="1">
      <alignment horizontal="left" vertical="top" wrapText="1"/>
    </xf>
    <xf numFmtId="167" fontId="33" fillId="0" borderId="0" xfId="0" applyFont="1" applyAlignment="1">
      <alignment horizontal="right" vertical="top" wrapText="1"/>
    </xf>
    <xf numFmtId="167" fontId="33" fillId="0" borderId="0" xfId="0" applyFont="1" applyAlignment="1">
      <alignment horizontal="left" vertical="top" wrapText="1"/>
    </xf>
    <xf numFmtId="0" fontId="33" fillId="0" borderId="5" xfId="0" applyNumberFormat="1" applyFont="1" applyBorder="1" applyAlignment="1">
      <alignment horizontal="center" vertical="top" wrapText="1"/>
    </xf>
    <xf numFmtId="0" fontId="33" fillId="0" borderId="5" xfId="0" applyNumberFormat="1" applyFont="1" applyBorder="1" applyAlignment="1">
      <alignment horizontal="right" vertical="top" wrapText="1"/>
    </xf>
    <xf numFmtId="2" fontId="33" fillId="2" borderId="5" xfId="0" applyNumberFormat="1" applyFont="1" applyFill="1" applyBorder="1" applyAlignment="1">
      <alignment horizontal="left" vertical="center" wrapText="1"/>
    </xf>
    <xf numFmtId="0" fontId="33" fillId="0" borderId="5" xfId="0" applyNumberFormat="1" applyFont="1" applyBorder="1" applyAlignment="1">
      <alignment horizontal="right" vertical="center" wrapText="1"/>
    </xf>
    <xf numFmtId="0" fontId="33" fillId="0" borderId="5" xfId="0" applyNumberFormat="1" applyFont="1" applyBorder="1" applyAlignment="1">
      <alignment vertical="top" wrapText="1"/>
    </xf>
    <xf numFmtId="0" fontId="33" fillId="0" borderId="5" xfId="0" applyNumberFormat="1" applyFont="1" applyBorder="1" applyAlignment="1">
      <alignment vertical="center" wrapText="1"/>
    </xf>
    <xf numFmtId="0" fontId="33" fillId="0" borderId="5" xfId="0" applyNumberFormat="1" applyFont="1" applyBorder="1" applyAlignment="1">
      <alignment horizontal="left" vertical="top" wrapText="1"/>
    </xf>
    <xf numFmtId="0" fontId="33" fillId="0" borderId="5" xfId="0" applyNumberFormat="1" applyFont="1" applyBorder="1" applyAlignment="1">
      <alignment horizontal="left" vertical="center" wrapText="1"/>
    </xf>
    <xf numFmtId="0" fontId="30" fillId="0" borderId="5" xfId="0" applyNumberFormat="1" applyFont="1" applyBorder="1" applyAlignment="1">
      <alignment horizontal="center" vertical="top" wrapText="1"/>
    </xf>
    <xf numFmtId="0" fontId="56" fillId="0" borderId="13" xfId="0" applyNumberFormat="1" applyFont="1" applyBorder="1" applyAlignment="1">
      <alignment vertical="top" wrapText="1"/>
    </xf>
    <xf numFmtId="0" fontId="56" fillId="0" borderId="5" xfId="0" applyNumberFormat="1" applyFont="1" applyBorder="1" applyAlignment="1">
      <alignment horizontal="center" vertical="top"/>
    </xf>
    <xf numFmtId="167" fontId="30" fillId="0" borderId="5" xfId="0" applyFont="1" applyBorder="1" applyAlignment="1">
      <alignment horizontal="center" vertical="top" wrapText="1"/>
    </xf>
    <xf numFmtId="167" fontId="30" fillId="0" borderId="5" xfId="0" applyFont="1" applyBorder="1" applyAlignment="1">
      <alignment vertical="top" wrapText="1"/>
    </xf>
    <xf numFmtId="0" fontId="30" fillId="0" borderId="5" xfId="0" applyNumberFormat="1" applyFont="1" applyBorder="1" applyAlignment="1">
      <alignment horizontal="left" vertical="top" wrapText="1"/>
    </xf>
    <xf numFmtId="0" fontId="30" fillId="0" borderId="5" xfId="0" applyNumberFormat="1" applyFont="1" applyBorder="1" applyAlignment="1">
      <alignment horizontal="left" vertical="center" wrapText="1"/>
    </xf>
    <xf numFmtId="0" fontId="30" fillId="0" borderId="5" xfId="0" applyNumberFormat="1" applyFont="1" applyBorder="1" applyAlignment="1">
      <alignment vertical="top" wrapText="1"/>
    </xf>
    <xf numFmtId="167" fontId="60" fillId="0" borderId="5" xfId="0" applyFont="1" applyBorder="1" applyAlignment="1">
      <alignment vertical="top"/>
    </xf>
    <xf numFmtId="167" fontId="33" fillId="0" borderId="1" xfId="0" applyFont="1" applyBorder="1" applyAlignment="1">
      <alignment vertical="top" wrapText="1"/>
    </xf>
    <xf numFmtId="0" fontId="33" fillId="0" borderId="14" xfId="0" applyNumberFormat="1" applyFont="1" applyBorder="1" applyAlignment="1">
      <alignment vertical="top" wrapText="1"/>
    </xf>
    <xf numFmtId="0" fontId="59" fillId="0" borderId="5" xfId="0" applyNumberFormat="1" applyFont="1" applyBorder="1" applyAlignment="1">
      <alignment horizontal="center" vertical="top" wrapText="1"/>
    </xf>
    <xf numFmtId="167" fontId="59" fillId="2" borderId="5" xfId="0" applyFont="1" applyFill="1" applyBorder="1" applyAlignment="1">
      <alignment horizontal="center" vertical="top" wrapText="1"/>
    </xf>
    <xf numFmtId="168" fontId="59" fillId="2" borderId="5" xfId="0" applyNumberFormat="1" applyFont="1" applyFill="1" applyBorder="1" applyAlignment="1">
      <alignment horizontal="center" vertical="top" wrapText="1"/>
    </xf>
    <xf numFmtId="167" fontId="33" fillId="24" borderId="1" xfId="0" applyFont="1" applyFill="1" applyBorder="1" applyAlignment="1">
      <alignment horizontal="center" vertical="top" wrapText="1"/>
    </xf>
    <xf numFmtId="0" fontId="60" fillId="0" borderId="5" xfId="0" applyNumberFormat="1" applyFont="1" applyBorder="1" applyAlignment="1">
      <alignment horizontal="center" vertical="top" wrapText="1"/>
    </xf>
    <xf numFmtId="168" fontId="59" fillId="0" borderId="5" xfId="0" applyNumberFormat="1" applyFont="1" applyBorder="1" applyAlignment="1">
      <alignment horizontal="center" vertical="top" wrapText="1"/>
    </xf>
    <xf numFmtId="167" fontId="59" fillId="2" borderId="5" xfId="0" applyFont="1" applyFill="1" applyBorder="1" applyAlignment="1">
      <alignment horizontal="justify" vertical="top" wrapText="1"/>
    </xf>
    <xf numFmtId="167" fontId="60" fillId="0" borderId="5" xfId="0" applyFont="1" applyBorder="1" applyAlignment="1">
      <alignment horizontal="left" vertical="top"/>
    </xf>
    <xf numFmtId="0" fontId="56" fillId="0" borderId="39" xfId="0" applyNumberFormat="1" applyFont="1" applyBorder="1" applyAlignment="1">
      <alignment horizontal="justify" vertical="top" wrapText="1"/>
    </xf>
    <xf numFmtId="0" fontId="59" fillId="2" borderId="5" xfId="0" applyNumberFormat="1" applyFont="1" applyFill="1" applyBorder="1" applyAlignment="1">
      <alignment horizontal="center" vertical="top" wrapText="1"/>
    </xf>
    <xf numFmtId="176" fontId="59" fillId="2" borderId="5" xfId="0" applyNumberFormat="1" applyFont="1" applyFill="1" applyBorder="1" applyAlignment="1">
      <alignment horizontal="right" vertical="top" wrapText="1"/>
    </xf>
    <xf numFmtId="0" fontId="56" fillId="0" borderId="14" xfId="0" applyNumberFormat="1" applyFont="1" applyBorder="1" applyAlignment="1">
      <alignment horizontal="justify" vertical="top" wrapText="1"/>
    </xf>
    <xf numFmtId="0" fontId="33" fillId="0" borderId="13" xfId="0" applyNumberFormat="1" applyFont="1" applyBorder="1" applyAlignment="1">
      <alignment vertical="top" wrapText="1"/>
    </xf>
    <xf numFmtId="0" fontId="33" fillId="0" borderId="10" xfId="0" applyNumberFormat="1" applyFont="1" applyBorder="1" applyAlignment="1">
      <alignment vertical="top" wrapText="1"/>
    </xf>
    <xf numFmtId="167" fontId="33" fillId="0" borderId="1" xfId="0" applyFont="1" applyBorder="1" applyAlignment="1">
      <alignment horizontal="center" vertical="top" wrapText="1"/>
    </xf>
    <xf numFmtId="2" fontId="33" fillId="0" borderId="1" xfId="0" applyNumberFormat="1" applyFont="1" applyBorder="1" applyAlignment="1">
      <alignment horizontal="right" vertical="top" wrapText="1"/>
    </xf>
    <xf numFmtId="167" fontId="33" fillId="0" borderId="14" xfId="0" applyFont="1" applyBorder="1" applyAlignment="1">
      <alignment vertical="top" wrapText="1"/>
    </xf>
    <xf numFmtId="176" fontId="33" fillId="0" borderId="1" xfId="0" applyNumberFormat="1" applyFont="1" applyBorder="1" applyAlignment="1">
      <alignment horizontal="center" vertical="top" wrapText="1"/>
    </xf>
    <xf numFmtId="167" fontId="96" fillId="0" borderId="0" xfId="0" applyFont="1" applyAlignment="1">
      <alignment horizontal="justify" vertical="center"/>
    </xf>
    <xf numFmtId="0" fontId="33" fillId="0" borderId="5" xfId="0" applyNumberFormat="1" applyFont="1" applyBorder="1" applyAlignment="1">
      <alignment vertical="top"/>
    </xf>
    <xf numFmtId="0" fontId="33" fillId="0" borderId="1" xfId="0" applyNumberFormat="1" applyFont="1" applyBorder="1" applyAlignment="1">
      <alignment vertical="center" wrapText="1"/>
    </xf>
    <xf numFmtId="0" fontId="30" fillId="0" borderId="0" xfId="0" applyNumberFormat="1" applyFont="1" applyAlignment="1">
      <alignment horizontal="center" vertical="top" wrapText="1"/>
    </xf>
    <xf numFmtId="0" fontId="30" fillId="0" borderId="0" xfId="0" applyNumberFormat="1" applyFont="1" applyAlignment="1">
      <alignment vertical="center" wrapText="1"/>
    </xf>
    <xf numFmtId="2" fontId="30" fillId="0" borderId="0" xfId="0" applyNumberFormat="1" applyFont="1" applyAlignment="1">
      <alignment vertical="center" wrapText="1"/>
    </xf>
    <xf numFmtId="0" fontId="30" fillId="0" borderId="0" xfId="0" applyNumberFormat="1" applyFont="1" applyAlignment="1">
      <alignment vertical="top" wrapText="1"/>
    </xf>
    <xf numFmtId="0" fontId="33" fillId="0" borderId="0" xfId="0" applyNumberFormat="1" applyFont="1" applyAlignment="1">
      <alignment vertical="center" wrapText="1"/>
    </xf>
    <xf numFmtId="0" fontId="33" fillId="0" borderId="0" xfId="0" applyNumberFormat="1" applyFont="1" applyAlignment="1">
      <alignment vertical="top" wrapText="1"/>
    </xf>
    <xf numFmtId="0" fontId="33" fillId="0" borderId="0" xfId="0" applyNumberFormat="1" applyFont="1" applyAlignment="1">
      <alignment horizontal="center" vertical="top" wrapText="1"/>
    </xf>
    <xf numFmtId="0" fontId="30" fillId="0" borderId="0" xfId="0" applyNumberFormat="1" applyFont="1" applyAlignment="1">
      <alignment horizontal="left" vertical="center" wrapText="1"/>
    </xf>
    <xf numFmtId="167" fontId="30" fillId="0" borderId="0" xfId="0" applyFont="1" applyAlignment="1">
      <alignment vertical="top" wrapText="1"/>
    </xf>
    <xf numFmtId="0" fontId="28" fillId="0" borderId="0" xfId="0" applyNumberFormat="1" applyFont="1" applyAlignment="1">
      <alignment vertical="top" wrapText="1"/>
    </xf>
    <xf numFmtId="0" fontId="28" fillId="0" borderId="0" xfId="0" applyNumberFormat="1" applyFont="1" applyAlignment="1">
      <alignment horizontal="center" vertical="top" wrapText="1"/>
    </xf>
    <xf numFmtId="0" fontId="28" fillId="0" borderId="0" xfId="0" applyNumberFormat="1" applyFont="1" applyAlignment="1">
      <alignment horizontal="right" vertical="top" wrapText="1"/>
    </xf>
    <xf numFmtId="2" fontId="28" fillId="0" borderId="0" xfId="0" applyNumberFormat="1" applyFont="1" applyAlignment="1">
      <alignment horizontal="right" vertical="top" wrapText="1"/>
    </xf>
    <xf numFmtId="176" fontId="33" fillId="0" borderId="0" xfId="0" applyNumberFormat="1" applyFont="1" applyAlignment="1">
      <alignment horizontal="center" vertical="top" wrapText="1"/>
    </xf>
    <xf numFmtId="2" fontId="33" fillId="0" borderId="0" xfId="0" applyNumberFormat="1" applyFont="1" applyAlignment="1">
      <alignment horizontal="right" vertical="top" wrapText="1"/>
    </xf>
    <xf numFmtId="0" fontId="28" fillId="0" borderId="0" xfId="0" applyNumberFormat="1" applyFont="1" applyAlignment="1">
      <alignment horizontal="left" vertical="top" wrapText="1"/>
    </xf>
    <xf numFmtId="0" fontId="56" fillId="0" borderId="0" xfId="0" applyNumberFormat="1" applyFont="1" applyAlignment="1">
      <alignment horizontal="center" vertical="top" wrapText="1"/>
    </xf>
    <xf numFmtId="168" fontId="33" fillId="0" borderId="0" xfId="0" applyNumberFormat="1" applyFont="1" applyAlignment="1">
      <alignment vertical="top" wrapText="1"/>
    </xf>
    <xf numFmtId="2" fontId="56" fillId="0" borderId="0" xfId="0" applyNumberFormat="1" applyFont="1" applyAlignment="1">
      <alignment horizontal="right" vertical="top" wrapText="1"/>
    </xf>
    <xf numFmtId="0" fontId="56" fillId="0" borderId="0" xfId="0" applyNumberFormat="1" applyFont="1" applyAlignment="1">
      <alignment horizontal="justify" vertical="top" wrapText="1"/>
    </xf>
    <xf numFmtId="167" fontId="59" fillId="0" borderId="0" xfId="0" applyFont="1" applyAlignment="1">
      <alignment horizontal="center" vertical="top" wrapText="1"/>
    </xf>
    <xf numFmtId="0" fontId="33" fillId="0" borderId="6" xfId="0" applyNumberFormat="1" applyFont="1" applyBorder="1" applyAlignment="1">
      <alignment vertical="top" wrapText="1"/>
    </xf>
    <xf numFmtId="2" fontId="33" fillId="0" borderId="0" xfId="0" applyNumberFormat="1" applyFont="1" applyAlignment="1">
      <alignment vertical="top" wrapText="1"/>
    </xf>
    <xf numFmtId="0" fontId="33" fillId="0" borderId="0" xfId="0" applyNumberFormat="1" applyFont="1" applyAlignment="1">
      <alignment vertical="top"/>
    </xf>
    <xf numFmtId="0" fontId="33" fillId="0" borderId="13" xfId="0" applyNumberFormat="1" applyFont="1" applyBorder="1" applyAlignment="1">
      <alignment vertical="center" wrapText="1"/>
    </xf>
    <xf numFmtId="0" fontId="56" fillId="0" borderId="0" xfId="0" applyNumberFormat="1" applyFont="1" applyAlignment="1">
      <alignment vertical="top"/>
    </xf>
    <xf numFmtId="0" fontId="56" fillId="0" borderId="0" xfId="0" applyNumberFormat="1" applyFont="1" applyAlignment="1">
      <alignment horizontal="center" vertical="top"/>
    </xf>
    <xf numFmtId="0" fontId="60" fillId="0" borderId="0" xfId="0" applyNumberFormat="1" applyFont="1" applyAlignment="1">
      <alignment horizontal="left" vertical="top" wrapText="1"/>
    </xf>
    <xf numFmtId="0" fontId="60" fillId="0" borderId="0" xfId="0" applyNumberFormat="1" applyFont="1" applyAlignment="1">
      <alignment horizontal="center" vertical="top" wrapText="1"/>
    </xf>
    <xf numFmtId="167" fontId="60" fillId="0" borderId="0" xfId="0" applyFont="1" applyAlignment="1">
      <alignment horizontal="center" vertical="top" wrapText="1"/>
    </xf>
    <xf numFmtId="0" fontId="56" fillId="0" borderId="0" xfId="0" applyNumberFormat="1" applyFont="1" applyAlignment="1">
      <alignment horizontal="right" vertical="top" wrapText="1"/>
    </xf>
    <xf numFmtId="167" fontId="59" fillId="0" borderId="13" xfId="0" applyFont="1" applyBorder="1" applyAlignment="1">
      <alignment horizontal="center" vertical="top" wrapText="1"/>
    </xf>
    <xf numFmtId="167" fontId="59" fillId="0" borderId="5" xfId="0" applyFont="1" applyBorder="1" applyAlignment="1">
      <alignment horizontal="left" vertical="top" wrapText="1"/>
    </xf>
    <xf numFmtId="167" fontId="59" fillId="0" borderId="39" xfId="0" applyFont="1" applyBorder="1" applyAlignment="1">
      <alignment vertical="top" wrapText="1"/>
    </xf>
    <xf numFmtId="167" fontId="59" fillId="0" borderId="5" xfId="0" applyFont="1" applyBorder="1" applyAlignment="1">
      <alignment horizontal="right" vertical="top"/>
    </xf>
    <xf numFmtId="167" fontId="59" fillId="0" borderId="5" xfId="0" applyFont="1" applyBorder="1" applyAlignment="1">
      <alignment horizontal="justify" vertical="top" wrapText="1"/>
    </xf>
    <xf numFmtId="168" fontId="60" fillId="0" borderId="5" xfId="0" applyNumberFormat="1" applyFont="1" applyBorder="1" applyAlignment="1">
      <alignment horizontal="center" vertical="top" wrapText="1"/>
    </xf>
    <xf numFmtId="168" fontId="59" fillId="0" borderId="5" xfId="0" applyNumberFormat="1" applyFont="1" applyBorder="1" applyAlignment="1">
      <alignment horizontal="right" vertical="top" wrapText="1"/>
    </xf>
    <xf numFmtId="167" fontId="30" fillId="0" borderId="5" xfId="21" applyFont="1" applyBorder="1" applyAlignment="1">
      <alignment horizontal="center" vertical="top"/>
    </xf>
    <xf numFmtId="0" fontId="123" fillId="0" borderId="5" xfId="140" applyFont="1" applyBorder="1" applyAlignment="1">
      <alignment horizontal="left" vertical="center" wrapText="1"/>
    </xf>
    <xf numFmtId="0" fontId="28" fillId="0" borderId="5" xfId="0" applyNumberFormat="1" applyFont="1" applyBorder="1" applyAlignment="1">
      <alignment horizontal="center" vertical="top" wrapText="1"/>
    </xf>
    <xf numFmtId="0" fontId="124" fillId="0" borderId="5" xfId="140" applyFont="1" applyBorder="1" applyAlignment="1">
      <alignment horizontal="center" vertical="center" wrapText="1"/>
    </xf>
    <xf numFmtId="2" fontId="56" fillId="0" borderId="5" xfId="0" applyNumberFormat="1" applyFont="1" applyBorder="1" applyAlignment="1">
      <alignment horizontal="right" vertical="top" wrapText="1"/>
    </xf>
    <xf numFmtId="0" fontId="124" fillId="0" borderId="5" xfId="140" applyFont="1" applyBorder="1" applyAlignment="1">
      <alignment horizontal="center" vertical="center"/>
    </xf>
    <xf numFmtId="0" fontId="56" fillId="0" borderId="39" xfId="0" applyNumberFormat="1" applyFont="1" applyBorder="1" applyAlignment="1">
      <alignment horizontal="center" vertical="top" wrapText="1"/>
    </xf>
    <xf numFmtId="0" fontId="124" fillId="0" borderId="5" xfId="140" applyFont="1" applyBorder="1"/>
    <xf numFmtId="0" fontId="28" fillId="0" borderId="1" xfId="0" applyNumberFormat="1" applyFont="1" applyBorder="1" applyAlignment="1">
      <alignment horizontal="center" vertical="top" wrapText="1"/>
    </xf>
    <xf numFmtId="2" fontId="56" fillId="0" borderId="1" xfId="0" applyNumberFormat="1" applyFont="1" applyBorder="1" applyAlignment="1">
      <alignment horizontal="right" vertical="top" wrapText="1"/>
    </xf>
    <xf numFmtId="0" fontId="33" fillId="0" borderId="1" xfId="0" applyNumberFormat="1" applyFont="1" applyBorder="1" applyAlignment="1">
      <alignment vertical="top" wrapText="1"/>
    </xf>
    <xf numFmtId="0" fontId="124" fillId="0" borderId="5" xfId="140" applyFont="1" applyBorder="1" applyAlignment="1">
      <alignment vertical="top"/>
    </xf>
    <xf numFmtId="0" fontId="124" fillId="0" borderId="5" xfId="140" applyFont="1" applyBorder="1" applyAlignment="1">
      <alignment vertical="top" wrapText="1"/>
    </xf>
    <xf numFmtId="0" fontId="56" fillId="0" borderId="23" xfId="0" applyNumberFormat="1" applyFont="1" applyBorder="1" applyAlignment="1">
      <alignment horizontal="center" vertical="top" wrapText="1"/>
    </xf>
    <xf numFmtId="0" fontId="123" fillId="0" borderId="5" xfId="140" applyFont="1" applyBorder="1" applyAlignment="1">
      <alignment wrapText="1"/>
    </xf>
    <xf numFmtId="167" fontId="124" fillId="0" borderId="5" xfId="0" applyFont="1" applyBorder="1" applyAlignment="1">
      <alignment horizontal="center" vertical="center"/>
    </xf>
    <xf numFmtId="2" fontId="124" fillId="0" borderId="5" xfId="0" applyNumberFormat="1" applyFont="1" applyBorder="1" applyAlignment="1">
      <alignment horizontal="center" vertical="center"/>
    </xf>
    <xf numFmtId="167" fontId="124" fillId="0" borderId="5" xfId="0" applyFont="1" applyBorder="1" applyAlignment="1">
      <alignment vertical="top"/>
    </xf>
    <xf numFmtId="0" fontId="123" fillId="0" borderId="5" xfId="140" applyFont="1" applyBorder="1" applyAlignment="1">
      <alignment vertical="top" wrapText="1"/>
    </xf>
    <xf numFmtId="167" fontId="124" fillId="0" borderId="5" xfId="0" applyFont="1" applyBorder="1" applyAlignment="1">
      <alignment vertical="top" wrapText="1"/>
    </xf>
    <xf numFmtId="167" fontId="124" fillId="0" borderId="5" xfId="0" applyFont="1" applyBorder="1" applyAlignment="1">
      <alignment vertical="center"/>
    </xf>
    <xf numFmtId="0" fontId="28" fillId="0" borderId="5" xfId="25" applyBorder="1" applyAlignment="1">
      <alignment horizontal="center" vertical="center"/>
    </xf>
    <xf numFmtId="2" fontId="28" fillId="0" borderId="5" xfId="25" applyNumberFormat="1" applyBorder="1" applyAlignment="1">
      <alignment horizontal="center" vertical="center"/>
    </xf>
    <xf numFmtId="0" fontId="28" fillId="0" borderId="5" xfId="25" applyBorder="1" applyAlignment="1">
      <alignment horizontal="center" vertical="center" wrapText="1"/>
    </xf>
    <xf numFmtId="168" fontId="33" fillId="0" borderId="5" xfId="0" applyNumberFormat="1" applyFont="1" applyBorder="1" applyAlignment="1">
      <alignment vertical="top" wrapText="1"/>
    </xf>
    <xf numFmtId="0" fontId="28" fillId="0" borderId="5" xfId="0" applyNumberFormat="1" applyFont="1" applyBorder="1" applyAlignment="1">
      <alignment vertical="top" wrapText="1"/>
    </xf>
    <xf numFmtId="0" fontId="28" fillId="0" borderId="5" xfId="25" applyBorder="1" applyAlignment="1">
      <alignment horizontal="left" vertical="center" wrapText="1"/>
    </xf>
    <xf numFmtId="0" fontId="28" fillId="0" borderId="2" xfId="0" applyNumberFormat="1" applyFont="1" applyBorder="1" applyAlignment="1">
      <alignment vertical="top" wrapText="1"/>
    </xf>
    <xf numFmtId="0" fontId="56" fillId="0" borderId="5" xfId="0" applyNumberFormat="1" applyFont="1" applyBorder="1" applyAlignment="1">
      <alignment horizontal="center" vertical="top" wrapText="1"/>
    </xf>
    <xf numFmtId="0" fontId="28" fillId="0" borderId="5" xfId="25" quotePrefix="1" applyBorder="1" applyAlignment="1">
      <alignment horizontal="left" vertical="center" wrapText="1"/>
    </xf>
    <xf numFmtId="167" fontId="33" fillId="0" borderId="1" xfId="0" applyFont="1" applyBorder="1" applyAlignment="1">
      <alignment horizontal="right" vertical="top" wrapText="1"/>
    </xf>
    <xf numFmtId="0" fontId="30" fillId="0" borderId="14" xfId="0" applyNumberFormat="1" applyFont="1" applyBorder="1" applyAlignment="1">
      <alignment horizontal="right" vertical="center" wrapText="1"/>
    </xf>
    <xf numFmtId="0" fontId="30" fillId="0" borderId="8" xfId="0" applyNumberFormat="1" applyFont="1" applyBorder="1" applyAlignment="1">
      <alignment horizontal="right" vertical="center" wrapText="1"/>
    </xf>
    <xf numFmtId="0" fontId="30" fillId="0" borderId="13" xfId="0" applyNumberFormat="1" applyFont="1" applyBorder="1" applyAlignment="1">
      <alignment horizontal="right" vertical="center" wrapText="1"/>
    </xf>
    <xf numFmtId="0" fontId="33" fillId="26" borderId="5" xfId="0" applyNumberFormat="1" applyFont="1" applyFill="1" applyBorder="1" applyAlignment="1">
      <alignment horizontal="center" vertical="top" wrapText="1"/>
    </xf>
    <xf numFmtId="176" fontId="33" fillId="26" borderId="1" xfId="0" applyNumberFormat="1" applyFont="1" applyFill="1" applyBorder="1" applyAlignment="1">
      <alignment horizontal="center" vertical="top" wrapText="1"/>
    </xf>
    <xf numFmtId="2" fontId="33" fillId="26" borderId="1" xfId="0" applyNumberFormat="1" applyFont="1" applyFill="1" applyBorder="1" applyAlignment="1">
      <alignment horizontal="right" vertical="top" wrapText="1"/>
    </xf>
    <xf numFmtId="167" fontId="33" fillId="26" borderId="5" xfId="0" applyFont="1" applyFill="1" applyBorder="1" applyAlignment="1">
      <alignment vertical="top" wrapText="1"/>
    </xf>
    <xf numFmtId="167" fontId="36" fillId="26" borderId="1" xfId="0" applyFont="1" applyFill="1" applyBorder="1" applyAlignment="1">
      <alignment horizontal="center" vertical="center" wrapText="1"/>
    </xf>
    <xf numFmtId="167" fontId="127" fillId="0" borderId="5" xfId="142" applyFont="1" applyBorder="1" applyAlignment="1">
      <alignment horizontal="center" vertical="center"/>
    </xf>
    <xf numFmtId="0" fontId="127" fillId="0" borderId="5" xfId="143" applyFont="1" applyBorder="1" applyAlignment="1">
      <alignment horizontal="center" vertical="top"/>
    </xf>
    <xf numFmtId="0" fontId="127" fillId="0" borderId="5" xfId="143" applyFont="1" applyBorder="1" applyAlignment="1">
      <alignment vertical="top"/>
    </xf>
    <xf numFmtId="0" fontId="127" fillId="0" borderId="2" xfId="143" applyFont="1" applyBorder="1" applyAlignment="1">
      <alignment horizontal="center" vertical="top"/>
    </xf>
    <xf numFmtId="0" fontId="38" fillId="0" borderId="10" xfId="143" applyBorder="1"/>
    <xf numFmtId="167" fontId="130" fillId="0" borderId="0" xfId="0" applyFont="1" applyAlignment="1">
      <alignment horizontal="justify" vertical="center"/>
    </xf>
    <xf numFmtId="1" fontId="81" fillId="0" borderId="5" xfId="145" applyNumberFormat="1" applyFont="1" applyBorder="1" applyAlignment="1">
      <alignment horizontal="center" vertical="center"/>
    </xf>
    <xf numFmtId="186" fontId="33" fillId="0" borderId="5" xfId="0" applyNumberFormat="1" applyFont="1" applyBorder="1" applyAlignment="1">
      <alignment vertical="top" wrapText="1"/>
    </xf>
    <xf numFmtId="0" fontId="30" fillId="0" borderId="5" xfId="0" applyNumberFormat="1" applyFont="1" applyBorder="1" applyAlignment="1">
      <alignment vertical="center" wrapText="1"/>
    </xf>
    <xf numFmtId="2" fontId="30" fillId="0" borderId="5" xfId="0" applyNumberFormat="1" applyFont="1" applyBorder="1" applyAlignment="1">
      <alignment vertical="center" wrapText="1"/>
    </xf>
    <xf numFmtId="0" fontId="96" fillId="0" borderId="42" xfId="0" applyNumberFormat="1" applyFont="1" applyBorder="1" applyAlignment="1">
      <alignment vertical="top" wrapText="1"/>
    </xf>
    <xf numFmtId="0" fontId="133" fillId="0" borderId="1" xfId="0" applyNumberFormat="1" applyFont="1" applyBorder="1" applyAlignment="1">
      <alignment horizontal="center" vertical="top" wrapText="1"/>
    </xf>
    <xf numFmtId="0" fontId="56" fillId="0" borderId="42" xfId="0" applyNumberFormat="1" applyFont="1" applyBorder="1" applyAlignment="1">
      <alignment vertical="top" wrapText="1"/>
    </xf>
    <xf numFmtId="0" fontId="56" fillId="0" borderId="42" xfId="0" applyNumberFormat="1" applyFont="1" applyBorder="1" applyAlignment="1">
      <alignment vertical="top"/>
    </xf>
    <xf numFmtId="0" fontId="56" fillId="0" borderId="42" xfId="0" applyNumberFormat="1" applyFont="1" applyBorder="1" applyAlignment="1">
      <alignment horizontal="center" vertical="top" wrapText="1"/>
    </xf>
    <xf numFmtId="167" fontId="36" fillId="0" borderId="24" xfId="0" applyFont="1" applyBorder="1" applyAlignment="1">
      <alignment vertical="center" wrapText="1"/>
    </xf>
    <xf numFmtId="167" fontId="28" fillId="0" borderId="31" xfId="0" applyFont="1" applyBorder="1" applyAlignment="1">
      <alignment horizontal="center" vertical="center" wrapText="1"/>
    </xf>
    <xf numFmtId="167" fontId="30" fillId="0" borderId="25" xfId="0" applyFont="1" applyBorder="1" applyAlignment="1">
      <alignment horizontal="right" vertical="center" wrapText="1"/>
    </xf>
    <xf numFmtId="167" fontId="30" fillId="0" borderId="31" xfId="0" applyFont="1" applyBorder="1" applyAlignment="1">
      <alignment horizontal="center" vertical="center" wrapText="1"/>
    </xf>
    <xf numFmtId="167" fontId="28" fillId="0" borderId="27" xfId="0" applyFont="1" applyBorder="1" applyAlignment="1">
      <alignment vertical="center" wrapText="1"/>
    </xf>
    <xf numFmtId="167" fontId="59" fillId="0" borderId="25" xfId="0" applyFont="1" applyBorder="1" applyAlignment="1">
      <alignment horizontal="center" vertical="center" wrapText="1"/>
    </xf>
    <xf numFmtId="1" fontId="60" fillId="0" borderId="5" xfId="0" applyNumberFormat="1" applyFont="1" applyBorder="1" applyAlignment="1">
      <alignment horizontal="center" vertical="top" wrapText="1"/>
    </xf>
    <xf numFmtId="2" fontId="60" fillId="0" borderId="5" xfId="0" applyNumberFormat="1" applyFont="1" applyBorder="1" applyAlignment="1">
      <alignment vertical="top" wrapText="1"/>
    </xf>
    <xf numFmtId="2" fontId="59" fillId="0" borderId="5" xfId="0" applyNumberFormat="1" applyFont="1" applyBorder="1" applyAlignment="1">
      <alignment horizontal="center" vertical="top" wrapText="1"/>
    </xf>
    <xf numFmtId="168" fontId="59" fillId="0" borderId="5" xfId="0" applyNumberFormat="1" applyFont="1" applyBorder="1" applyAlignment="1">
      <alignment horizontal="center" vertical="top"/>
    </xf>
    <xf numFmtId="167" fontId="60" fillId="0" borderId="5" xfId="0" applyFont="1" applyBorder="1" applyAlignment="1">
      <alignment vertical="top" wrapText="1"/>
    </xf>
    <xf numFmtId="167" fontId="59" fillId="0" borderId="54" xfId="0" applyFont="1" applyBorder="1" applyAlignment="1">
      <alignment horizontal="center" vertical="top"/>
    </xf>
    <xf numFmtId="2" fontId="59" fillId="0" borderId="55" xfId="0" applyNumberFormat="1" applyFont="1" applyBorder="1" applyAlignment="1">
      <alignment horizontal="center" vertical="top" wrapText="1"/>
    </xf>
    <xf numFmtId="167" fontId="59" fillId="0" borderId="5" xfId="21" applyFont="1" applyBorder="1" applyAlignment="1">
      <alignment horizontal="justify" vertical="top" wrapText="1"/>
    </xf>
    <xf numFmtId="2" fontId="59" fillId="0" borderId="39" xfId="0" applyNumberFormat="1" applyFont="1" applyBorder="1" applyAlignment="1">
      <alignment horizontal="center" vertical="top" wrapText="1"/>
    </xf>
    <xf numFmtId="167" fontId="59" fillId="0" borderId="39" xfId="21" applyFont="1" applyBorder="1" applyAlignment="1">
      <alignment vertical="top" wrapText="1"/>
    </xf>
    <xf numFmtId="167" fontId="33" fillId="0" borderId="5" xfId="21" applyBorder="1" applyAlignment="1">
      <alignment vertical="top"/>
    </xf>
    <xf numFmtId="167" fontId="59" fillId="0" borderId="1" xfId="21" applyFont="1" applyBorder="1" applyAlignment="1">
      <alignment vertical="top" wrapText="1"/>
    </xf>
    <xf numFmtId="2" fontId="59" fillId="0" borderId="56" xfId="0" applyNumberFormat="1" applyFont="1" applyBorder="1" applyAlignment="1">
      <alignment horizontal="center" vertical="top" wrapText="1"/>
    </xf>
    <xf numFmtId="167" fontId="59" fillId="0" borderId="57" xfId="0" applyFont="1" applyBorder="1" applyAlignment="1">
      <alignment horizontal="center" vertical="top"/>
    </xf>
    <xf numFmtId="2" fontId="59" fillId="0" borderId="40" xfId="0" applyNumberFormat="1" applyFont="1" applyBorder="1" applyAlignment="1">
      <alignment horizontal="center" vertical="top" wrapText="1"/>
    </xf>
    <xf numFmtId="0" fontId="73" fillId="0" borderId="5" xfId="0" applyNumberFormat="1" applyFont="1" applyBorder="1" applyAlignment="1">
      <alignment horizontal="center" vertical="top"/>
    </xf>
    <xf numFmtId="167" fontId="33" fillId="0" borderId="5" xfId="0" applyFont="1" applyBorder="1" applyAlignment="1">
      <alignment horizontal="center" vertical="top"/>
    </xf>
    <xf numFmtId="167" fontId="30" fillId="0" borderId="5" xfId="0" applyFont="1" applyBorder="1" applyAlignment="1">
      <alignment vertical="top"/>
    </xf>
    <xf numFmtId="167" fontId="60" fillId="0" borderId="5" xfId="21" applyFont="1" applyBorder="1" applyAlignment="1">
      <alignment horizontal="center" vertical="top" wrapText="1"/>
    </xf>
    <xf numFmtId="1" fontId="59" fillId="0" borderId="5" xfId="21" applyNumberFormat="1" applyFont="1" applyBorder="1" applyAlignment="1">
      <alignment horizontal="center" vertical="top" wrapText="1"/>
    </xf>
    <xf numFmtId="0" fontId="30" fillId="0" borderId="0" xfId="0" applyNumberFormat="1" applyFont="1" applyAlignment="1">
      <alignment horizontal="left" vertical="top" wrapText="1"/>
    </xf>
    <xf numFmtId="167" fontId="30" fillId="26" borderId="1" xfId="0" applyFont="1" applyFill="1" applyBorder="1" applyAlignment="1">
      <alignment horizontal="center" vertical="center" wrapText="1"/>
    </xf>
    <xf numFmtId="166" fontId="33" fillId="0" borderId="5" xfId="0" applyNumberFormat="1" applyFont="1" applyBorder="1" applyAlignment="1">
      <alignment vertical="top" wrapText="1"/>
    </xf>
    <xf numFmtId="167" fontId="59" fillId="0" borderId="1" xfId="0" applyFont="1" applyBorder="1" applyAlignment="1">
      <alignment horizontal="center" vertical="top"/>
    </xf>
    <xf numFmtId="2" fontId="59" fillId="0" borderId="23" xfId="0" applyNumberFormat="1" applyFont="1" applyBorder="1" applyAlignment="1">
      <alignment horizontal="center" vertical="top" wrapText="1"/>
    </xf>
    <xf numFmtId="167" fontId="59" fillId="0" borderId="14" xfId="21" applyFont="1" applyBorder="1" applyAlignment="1">
      <alignment vertical="top" wrapText="1"/>
    </xf>
    <xf numFmtId="0" fontId="33" fillId="3" borderId="5" xfId="0" applyNumberFormat="1" applyFont="1" applyFill="1" applyBorder="1" applyAlignment="1">
      <alignment horizontal="center" vertical="top" wrapText="1"/>
    </xf>
    <xf numFmtId="167" fontId="36" fillId="3" borderId="1" xfId="0" applyFont="1" applyFill="1" applyBorder="1" applyAlignment="1">
      <alignment horizontal="center" vertical="center" wrapText="1"/>
    </xf>
    <xf numFmtId="176" fontId="33" fillId="3" borderId="1" xfId="0" applyNumberFormat="1" applyFont="1" applyFill="1" applyBorder="1" applyAlignment="1">
      <alignment horizontal="center" vertical="top" wrapText="1"/>
    </xf>
    <xf numFmtId="2" fontId="33" fillId="3" borderId="1" xfId="0" applyNumberFormat="1" applyFont="1" applyFill="1" applyBorder="1" applyAlignment="1">
      <alignment horizontal="right" vertical="top" wrapText="1"/>
    </xf>
    <xf numFmtId="167" fontId="33" fillId="3" borderId="5" xfId="0" applyFont="1" applyFill="1" applyBorder="1" applyAlignment="1">
      <alignment vertical="top" wrapText="1"/>
    </xf>
    <xf numFmtId="0" fontId="139" fillId="0" borderId="0" xfId="239"/>
    <xf numFmtId="0" fontId="30" fillId="0" borderId="0" xfId="239" applyFont="1" applyAlignment="1">
      <alignment horizontal="left"/>
    </xf>
    <xf numFmtId="0" fontId="139" fillId="0" borderId="0" xfId="239" applyAlignment="1">
      <alignment horizontal="center"/>
    </xf>
    <xf numFmtId="0" fontId="30" fillId="0" borderId="0" xfId="239" applyFont="1" applyAlignment="1">
      <alignment horizontal="center"/>
    </xf>
    <xf numFmtId="0" fontId="30" fillId="0" borderId="0" xfId="239" applyFont="1"/>
    <xf numFmtId="0" fontId="30" fillId="0" borderId="1" xfId="239" applyFont="1" applyBorder="1" applyAlignment="1">
      <alignment horizontal="center" vertical="top"/>
    </xf>
    <xf numFmtId="0" fontId="30" fillId="0" borderId="5" xfId="239" applyFont="1" applyBorder="1" applyAlignment="1">
      <alignment horizontal="center" vertical="center"/>
    </xf>
    <xf numFmtId="0" fontId="30" fillId="0" borderId="23" xfId="239" applyFont="1" applyBorder="1" applyAlignment="1">
      <alignment horizontal="center" vertical="center"/>
    </xf>
    <xf numFmtId="0" fontId="30" fillId="0" borderId="1" xfId="239" applyFont="1" applyBorder="1" applyAlignment="1">
      <alignment vertical="center"/>
    </xf>
    <xf numFmtId="0" fontId="30" fillId="0" borderId="1" xfId="239" applyFont="1" applyBorder="1" applyAlignment="1">
      <alignment horizontal="center" vertical="center"/>
    </xf>
    <xf numFmtId="0" fontId="30" fillId="0" borderId="7" xfId="239" applyFont="1" applyBorder="1" applyAlignment="1">
      <alignment horizontal="center" vertical="center"/>
    </xf>
    <xf numFmtId="168" fontId="33" fillId="0" borderId="9" xfId="239" applyNumberFormat="1" applyFont="1" applyBorder="1" applyAlignment="1">
      <alignment horizontal="center" vertical="center"/>
    </xf>
    <xf numFmtId="168" fontId="33" fillId="0" borderId="2" xfId="239" applyNumberFormat="1" applyFont="1" applyBorder="1" applyAlignment="1">
      <alignment vertical="center"/>
    </xf>
    <xf numFmtId="168" fontId="33" fillId="0" borderId="2" xfId="239" applyNumberFormat="1" applyFont="1" applyBorder="1" applyAlignment="1">
      <alignment horizontal="center" vertical="center"/>
    </xf>
    <xf numFmtId="168" fontId="33" fillId="0" borderId="3" xfId="239" applyNumberFormat="1" applyFont="1" applyBorder="1" applyAlignment="1">
      <alignment horizontal="right" vertical="center"/>
    </xf>
    <xf numFmtId="168" fontId="33" fillId="0" borderId="2" xfId="21" applyNumberFormat="1" applyBorder="1" applyAlignment="1">
      <alignment vertical="center"/>
    </xf>
    <xf numFmtId="168" fontId="33" fillId="0" borderId="3" xfId="239" applyNumberFormat="1" applyFont="1" applyBorder="1" applyAlignment="1">
      <alignment horizontal="center" vertical="center"/>
    </xf>
    <xf numFmtId="0" fontId="30" fillId="0" borderId="7" xfId="239" applyFont="1" applyBorder="1" applyAlignment="1">
      <alignment horizontal="left" vertical="center"/>
    </xf>
    <xf numFmtId="0" fontId="30" fillId="0" borderId="5" xfId="239" applyFont="1" applyBorder="1" applyAlignment="1">
      <alignment horizontal="center" vertical="top"/>
    </xf>
    <xf numFmtId="0" fontId="30" fillId="0" borderId="5" xfId="239" applyFont="1" applyBorder="1" applyAlignment="1">
      <alignment vertical="center"/>
    </xf>
    <xf numFmtId="168" fontId="33" fillId="0" borderId="1" xfId="21" applyNumberFormat="1" applyBorder="1" applyAlignment="1">
      <alignment vertical="center"/>
    </xf>
    <xf numFmtId="0" fontId="33" fillId="0" borderId="3" xfId="239" applyFont="1" applyBorder="1" applyAlignment="1">
      <alignment vertical="center"/>
    </xf>
    <xf numFmtId="0" fontId="33" fillId="0" borderId="3" xfId="239" applyFont="1" applyBorder="1" applyAlignment="1">
      <alignment horizontal="left" vertical="center"/>
    </xf>
    <xf numFmtId="0" fontId="33" fillId="0" borderId="0" xfId="239" applyFont="1" applyAlignment="1">
      <alignment horizontal="center" vertical="center"/>
    </xf>
    <xf numFmtId="170" fontId="33" fillId="0" borderId="2" xfId="239" applyNumberFormat="1" applyFont="1" applyBorder="1" applyAlignment="1">
      <alignment horizontal="right" vertical="center"/>
    </xf>
    <xf numFmtId="170" fontId="33" fillId="0" borderId="3" xfId="239" applyNumberFormat="1" applyFont="1" applyBorder="1" applyAlignment="1">
      <alignment horizontal="right" vertical="center"/>
    </xf>
    <xf numFmtId="2" fontId="33" fillId="0" borderId="3" xfId="239" applyNumberFormat="1" applyFont="1" applyBorder="1" applyAlignment="1">
      <alignment vertical="center"/>
    </xf>
    <xf numFmtId="168" fontId="33" fillId="0" borderId="2" xfId="239" applyNumberFormat="1" applyFont="1" applyBorder="1" applyAlignment="1">
      <alignment horizontal="right" vertical="center"/>
    </xf>
    <xf numFmtId="0" fontId="33" fillId="0" borderId="3" xfId="239" applyFont="1" applyBorder="1" applyAlignment="1">
      <alignment vertical="center" wrapText="1"/>
    </xf>
    <xf numFmtId="0" fontId="33" fillId="0" borderId="2" xfId="239" applyFont="1" applyBorder="1" applyAlignment="1">
      <alignment horizontal="right" vertical="center"/>
    </xf>
    <xf numFmtId="0" fontId="33" fillId="0" borderId="3" xfId="239" applyFont="1" applyBorder="1" applyAlignment="1">
      <alignment horizontal="right" vertical="center"/>
    </xf>
    <xf numFmtId="0" fontId="33" fillId="0" borderId="0" xfId="239" applyFont="1" applyAlignment="1">
      <alignment horizontal="center" vertical="center" wrapText="1"/>
    </xf>
    <xf numFmtId="168" fontId="139" fillId="0" borderId="0" xfId="239" applyNumberFormat="1"/>
    <xf numFmtId="168" fontId="139" fillId="0" borderId="0" xfId="239" applyNumberFormat="1" applyAlignment="1">
      <alignment horizontal="center"/>
    </xf>
    <xf numFmtId="0" fontId="87" fillId="0" borderId="0" xfId="239" applyFont="1" applyAlignment="1">
      <alignment wrapText="1"/>
    </xf>
    <xf numFmtId="0" fontId="87" fillId="0" borderId="0" xfId="239" applyFont="1" applyAlignment="1">
      <alignment horizontal="center"/>
    </xf>
    <xf numFmtId="0" fontId="87" fillId="0" borderId="0" xfId="239" applyFont="1" applyAlignment="1">
      <alignment vertical="top"/>
    </xf>
    <xf numFmtId="168" fontId="33" fillId="0" borderId="10" xfId="239" applyNumberFormat="1" applyFont="1" applyBorder="1" applyAlignment="1">
      <alignment horizontal="center" vertical="center"/>
    </xf>
    <xf numFmtId="0" fontId="33" fillId="0" borderId="6" xfId="239" applyFont="1" applyBorder="1" applyAlignment="1">
      <alignment vertical="center"/>
    </xf>
    <xf numFmtId="0" fontId="33" fillId="0" borderId="4" xfId="239" applyFont="1" applyBorder="1" applyAlignment="1">
      <alignment horizontal="center" vertical="center"/>
    </xf>
    <xf numFmtId="168" fontId="33" fillId="0" borderId="10" xfId="239" applyNumberFormat="1" applyFont="1" applyBorder="1" applyAlignment="1">
      <alignment horizontal="right" vertical="center"/>
    </xf>
    <xf numFmtId="168" fontId="33" fillId="0" borderId="6" xfId="239" applyNumberFormat="1" applyFont="1" applyBorder="1" applyAlignment="1">
      <alignment horizontal="right" vertical="center"/>
    </xf>
    <xf numFmtId="168" fontId="30" fillId="0" borderId="0" xfId="239" applyNumberFormat="1" applyFont="1" applyAlignment="1">
      <alignment horizontal="center"/>
    </xf>
    <xf numFmtId="0" fontId="30" fillId="0" borderId="4" xfId="239" applyFont="1" applyBorder="1" applyAlignment="1">
      <alignment horizontal="left"/>
    </xf>
    <xf numFmtId="0" fontId="139" fillId="0" borderId="23" xfId="239" applyBorder="1" applyAlignment="1">
      <alignment horizontal="center" vertical="top" wrapText="1"/>
    </xf>
    <xf numFmtId="0" fontId="139" fillId="0" borderId="1" xfId="239" applyBorder="1" applyAlignment="1">
      <alignment horizontal="center" vertical="top" wrapText="1"/>
    </xf>
    <xf numFmtId="0" fontId="33" fillId="0" borderId="1" xfId="239" applyFont="1" applyBorder="1" applyAlignment="1">
      <alignment horizontal="center" vertical="top" wrapText="1"/>
    </xf>
    <xf numFmtId="0" fontId="33" fillId="0" borderId="7" xfId="239" applyFont="1" applyBorder="1" applyAlignment="1">
      <alignment horizontal="center" vertical="top" wrapText="1"/>
    </xf>
    <xf numFmtId="0" fontId="139" fillId="0" borderId="9" xfId="239" applyBorder="1" applyAlignment="1">
      <alignment horizontal="center"/>
    </xf>
    <xf numFmtId="168" fontId="33" fillId="0" borderId="23" xfId="239" applyNumberFormat="1" applyFont="1" applyBorder="1" applyAlignment="1">
      <alignment horizontal="center" vertical="center"/>
    </xf>
    <xf numFmtId="0" fontId="33" fillId="0" borderId="1" xfId="239" applyFont="1" applyBorder="1" applyAlignment="1">
      <alignment horizontal="left" vertical="center"/>
    </xf>
    <xf numFmtId="0" fontId="33" fillId="0" borderId="1" xfId="239" applyFont="1" applyBorder="1" applyAlignment="1">
      <alignment horizontal="center" vertical="center" wrapText="1"/>
    </xf>
    <xf numFmtId="168" fontId="33" fillId="0" borderId="1" xfId="239" applyNumberFormat="1" applyFont="1" applyBorder="1" applyAlignment="1">
      <alignment horizontal="right" vertical="center" wrapText="1"/>
    </xf>
    <xf numFmtId="0" fontId="33" fillId="0" borderId="7" xfId="239" applyFont="1" applyBorder="1" applyAlignment="1">
      <alignment horizontal="right" vertical="center" wrapText="1"/>
    </xf>
    <xf numFmtId="0" fontId="139" fillId="0" borderId="0" xfId="239" applyAlignment="1">
      <alignment horizontal="right" vertical="top" wrapText="1"/>
    </xf>
    <xf numFmtId="0" fontId="33" fillId="0" borderId="2" xfId="239" applyFont="1" applyBorder="1" applyAlignment="1">
      <alignment horizontal="left" vertical="center"/>
    </xf>
    <xf numFmtId="0" fontId="33" fillId="0" borderId="2" xfId="239" applyFont="1" applyBorder="1" applyAlignment="1">
      <alignment horizontal="center" vertical="center" wrapText="1"/>
    </xf>
    <xf numFmtId="0" fontId="33" fillId="0" borderId="3" xfId="239" applyFont="1" applyBorder="1" applyAlignment="1">
      <alignment horizontal="right" vertical="center" wrapText="1"/>
    </xf>
    <xf numFmtId="0" fontId="30" fillId="0" borderId="2" xfId="239" applyFont="1" applyBorder="1" applyAlignment="1">
      <alignment horizontal="center"/>
    </xf>
    <xf numFmtId="0" fontId="30" fillId="0" borderId="2" xfId="239" applyFont="1" applyBorder="1" applyAlignment="1">
      <alignment horizontal="right"/>
    </xf>
    <xf numFmtId="0" fontId="30" fillId="0" borderId="3" xfId="239" applyFont="1" applyBorder="1" applyAlignment="1">
      <alignment horizontal="right"/>
    </xf>
    <xf numFmtId="168" fontId="30" fillId="0" borderId="2" xfId="239" applyNumberFormat="1" applyFont="1" applyBorder="1" applyAlignment="1">
      <alignment horizontal="right"/>
    </xf>
    <xf numFmtId="0" fontId="30" fillId="0" borderId="2" xfId="239" applyFont="1" applyBorder="1" applyAlignment="1">
      <alignment horizontal="right" vertical="top" wrapText="1"/>
    </xf>
    <xf numFmtId="0" fontId="30" fillId="0" borderId="23" xfId="239" applyFont="1" applyBorder="1" applyAlignment="1">
      <alignment horizontal="center"/>
    </xf>
    <xf numFmtId="0" fontId="30" fillId="0" borderId="1" xfId="239" applyFont="1" applyBorder="1" applyAlignment="1">
      <alignment horizontal="left"/>
    </xf>
    <xf numFmtId="0" fontId="34" fillId="0" borderId="1" xfId="239" applyFont="1" applyBorder="1" applyAlignment="1">
      <alignment horizontal="center"/>
    </xf>
    <xf numFmtId="0" fontId="34" fillId="0" borderId="1" xfId="239" applyFont="1" applyBorder="1" applyAlignment="1">
      <alignment horizontal="right"/>
    </xf>
    <xf numFmtId="0" fontId="34" fillId="0" borderId="7" xfId="239" applyFont="1" applyBorder="1" applyAlignment="1">
      <alignment horizontal="right"/>
    </xf>
    <xf numFmtId="0" fontId="33" fillId="0" borderId="1" xfId="239" applyFont="1" applyBorder="1" applyAlignment="1">
      <alignment vertical="center"/>
    </xf>
    <xf numFmtId="0" fontId="33" fillId="0" borderId="1" xfId="239" applyFont="1" applyBorder="1" applyAlignment="1">
      <alignment horizontal="center" vertical="center"/>
    </xf>
    <xf numFmtId="168" fontId="33" fillId="0" borderId="1" xfId="239" applyNumberFormat="1" applyFont="1" applyBorder="1" applyAlignment="1">
      <alignment horizontal="right" vertical="center"/>
    </xf>
    <xf numFmtId="168" fontId="33" fillId="0" borderId="1" xfId="239" applyNumberFormat="1" applyFont="1" applyBorder="1" applyAlignment="1">
      <alignment vertical="center"/>
    </xf>
    <xf numFmtId="168" fontId="33" fillId="0" borderId="12" xfId="239" applyNumberFormat="1" applyFont="1" applyBorder="1" applyAlignment="1">
      <alignment horizontal="center" vertical="center"/>
    </xf>
    <xf numFmtId="0" fontId="33" fillId="0" borderId="10" xfId="239" quotePrefix="1" applyFont="1" applyBorder="1" applyAlignment="1">
      <alignment horizontal="left" vertical="center"/>
    </xf>
    <xf numFmtId="0" fontId="33" fillId="0" borderId="10" xfId="239" applyFont="1" applyBorder="1" applyAlignment="1">
      <alignment horizontal="center" vertical="center"/>
    </xf>
    <xf numFmtId="0" fontId="139" fillId="0" borderId="0" xfId="239" applyAlignment="1">
      <alignment horizontal="right"/>
    </xf>
    <xf numFmtId="0" fontId="30" fillId="0" borderId="10" xfId="239" applyFont="1" applyBorder="1" applyAlignment="1">
      <alignment horizontal="center" vertical="center"/>
    </xf>
    <xf numFmtId="0" fontId="30" fillId="0" borderId="6" xfId="239" applyFont="1" applyBorder="1" applyAlignment="1">
      <alignment horizontal="right" vertical="center"/>
    </xf>
    <xf numFmtId="168" fontId="30" fillId="0" borderId="10" xfId="239" applyNumberFormat="1" applyFont="1" applyBorder="1" applyAlignment="1">
      <alignment horizontal="right" vertical="center"/>
    </xf>
    <xf numFmtId="0" fontId="30" fillId="0" borderId="0" xfId="239" applyFont="1" applyAlignment="1">
      <alignment horizontal="right"/>
    </xf>
    <xf numFmtId="0" fontId="30" fillId="0" borderId="10" xfId="239" applyFont="1" applyBorder="1" applyAlignment="1">
      <alignment horizontal="left" vertical="center"/>
    </xf>
    <xf numFmtId="168" fontId="30" fillId="0" borderId="10" xfId="239" applyNumberFormat="1" applyFont="1" applyBorder="1" applyAlignment="1">
      <alignment horizontal="center" vertical="center"/>
    </xf>
    <xf numFmtId="0" fontId="34" fillId="0" borderId="0" xfId="239" applyFont="1" applyAlignment="1">
      <alignment horizontal="right"/>
    </xf>
    <xf numFmtId="168" fontId="139" fillId="0" borderId="0" xfId="239" applyNumberFormat="1" applyAlignment="1">
      <alignment horizontal="right"/>
    </xf>
    <xf numFmtId="168" fontId="30" fillId="0" borderId="0" xfId="239" applyNumberFormat="1" applyFont="1"/>
    <xf numFmtId="0" fontId="30" fillId="0" borderId="23" xfId="239" applyFont="1" applyBorder="1"/>
    <xf numFmtId="0" fontId="92" fillId="0" borderId="11" xfId="239" applyFont="1" applyBorder="1"/>
    <xf numFmtId="0" fontId="139" fillId="0" borderId="5" xfId="239" applyBorder="1"/>
    <xf numFmtId="0" fontId="33" fillId="0" borderId="5" xfId="239" applyFont="1" applyBorder="1"/>
    <xf numFmtId="0" fontId="33" fillId="0" borderId="5" xfId="239" applyFont="1" applyBorder="1" applyAlignment="1">
      <alignment horizontal="center"/>
    </xf>
    <xf numFmtId="168" fontId="139" fillId="2" borderId="5" xfId="239" applyNumberFormat="1" applyFill="1" applyBorder="1"/>
    <xf numFmtId="168" fontId="93" fillId="0" borderId="5" xfId="239" applyNumberFormat="1" applyFont="1" applyBorder="1"/>
    <xf numFmtId="0" fontId="33" fillId="0" borderId="0" xfId="239" applyFont="1"/>
    <xf numFmtId="168" fontId="139" fillId="0" borderId="5" xfId="239" applyNumberFormat="1" applyBorder="1"/>
    <xf numFmtId="0" fontId="139" fillId="0" borderId="9" xfId="239" applyBorder="1"/>
    <xf numFmtId="0" fontId="139" fillId="0" borderId="3" xfId="239" applyBorder="1"/>
    <xf numFmtId="0" fontId="33" fillId="0" borderId="5" xfId="239" applyFont="1" applyBorder="1" applyAlignment="1">
      <alignment vertical="top"/>
    </xf>
    <xf numFmtId="0" fontId="33" fillId="0" borderId="5" xfId="239" applyFont="1" applyBorder="1" applyAlignment="1">
      <alignment vertical="top" wrapText="1"/>
    </xf>
    <xf numFmtId="10" fontId="0" fillId="0" borderId="5" xfId="240" applyNumberFormat="1" applyFont="1" applyBorder="1" applyAlignment="1">
      <alignment vertical="top"/>
    </xf>
    <xf numFmtId="10" fontId="0" fillId="0" borderId="0" xfId="240" applyNumberFormat="1" applyFont="1" applyBorder="1"/>
    <xf numFmtId="0" fontId="87" fillId="0" borderId="0" xfId="239" applyFont="1"/>
    <xf numFmtId="0" fontId="139" fillId="0" borderId="4" xfId="239" applyBorder="1"/>
    <xf numFmtId="0" fontId="139" fillId="0" borderId="6" xfId="239" applyBorder="1"/>
    <xf numFmtId="0" fontId="93" fillId="0" borderId="0" xfId="239" applyFont="1"/>
    <xf numFmtId="0" fontId="33" fillId="0" borderId="0" xfId="239" applyFont="1" applyAlignment="1">
      <alignment vertical="top"/>
    </xf>
    <xf numFmtId="10" fontId="0" fillId="0" borderId="0" xfId="240" applyNumberFormat="1" applyFont="1" applyBorder="1" applyAlignment="1">
      <alignment vertical="top"/>
    </xf>
    <xf numFmtId="167" fontId="35" fillId="0" borderId="0" xfId="241" quotePrefix="1" applyNumberFormat="1" applyFont="1" applyAlignment="1">
      <alignment horizontal="left" vertical="top"/>
    </xf>
    <xf numFmtId="167" fontId="12" fillId="0" borderId="0" xfId="241" applyNumberFormat="1" applyAlignment="1">
      <alignment vertical="top"/>
    </xf>
    <xf numFmtId="168" fontId="12" fillId="0" borderId="0" xfId="241" applyNumberFormat="1" applyAlignment="1">
      <alignment horizontal="right" vertical="top"/>
    </xf>
    <xf numFmtId="168" fontId="12" fillId="0" borderId="0" xfId="241" applyNumberFormat="1" applyAlignment="1">
      <alignment horizontal="center" vertical="top"/>
    </xf>
    <xf numFmtId="167" fontId="33" fillId="2" borderId="5" xfId="241" applyNumberFormat="1" applyFont="1" applyFill="1" applyBorder="1" applyAlignment="1">
      <alignment horizontal="left" vertical="top"/>
    </xf>
    <xf numFmtId="167" fontId="12" fillId="2" borderId="5" xfId="241" applyNumberFormat="1" applyFill="1" applyBorder="1" applyAlignment="1">
      <alignment horizontal="center" vertical="top"/>
    </xf>
    <xf numFmtId="168" fontId="12" fillId="2" borderId="5" xfId="241" applyNumberFormat="1" applyFill="1" applyBorder="1" applyAlignment="1">
      <alignment horizontal="right" vertical="top"/>
    </xf>
    <xf numFmtId="167" fontId="12" fillId="2" borderId="5" xfId="241" applyNumberFormat="1" applyFill="1" applyBorder="1" applyAlignment="1">
      <alignment vertical="top"/>
    </xf>
    <xf numFmtId="0" fontId="139" fillId="2" borderId="5" xfId="239" applyFill="1" applyBorder="1"/>
    <xf numFmtId="167" fontId="12" fillId="2" borderId="5" xfId="241" applyNumberFormat="1" applyFill="1" applyBorder="1" applyAlignment="1">
      <alignment horizontal="center" vertical="top" wrapText="1"/>
    </xf>
    <xf numFmtId="168" fontId="12" fillId="2" borderId="5" xfId="241" applyNumberFormat="1" applyFill="1" applyBorder="1" applyAlignment="1">
      <alignment horizontal="center" vertical="top"/>
    </xf>
    <xf numFmtId="10" fontId="28" fillId="2" borderId="5" xfId="240" applyNumberFormat="1" applyFont="1" applyFill="1" applyBorder="1" applyAlignment="1">
      <alignment vertical="top" wrapText="1"/>
    </xf>
    <xf numFmtId="168" fontId="12" fillId="2" borderId="5" xfId="241" applyNumberFormat="1" applyFill="1" applyBorder="1" applyAlignment="1">
      <alignment vertical="top"/>
    </xf>
    <xf numFmtId="0" fontId="139" fillId="2" borderId="5" xfId="239" applyFill="1" applyBorder="1" applyAlignment="1">
      <alignment vertical="center"/>
    </xf>
    <xf numFmtId="167" fontId="33" fillId="0" borderId="0" xfId="241" applyNumberFormat="1" applyFont="1" applyAlignment="1">
      <alignment horizontal="left" vertical="top" wrapText="1"/>
    </xf>
    <xf numFmtId="183" fontId="12" fillId="0" borderId="0" xfId="241" applyNumberFormat="1" applyAlignment="1">
      <alignment horizontal="center" vertical="top"/>
    </xf>
    <xf numFmtId="167" fontId="12" fillId="0" borderId="0" xfId="241" applyNumberFormat="1" applyAlignment="1">
      <alignment horizontal="center" vertical="top"/>
    </xf>
    <xf numFmtId="167" fontId="33" fillId="0" borderId="0" xfId="241" applyNumberFormat="1" applyFont="1" applyAlignment="1">
      <alignment vertical="top"/>
    </xf>
    <xf numFmtId="167" fontId="33" fillId="0" borderId="0" xfId="241" applyNumberFormat="1" applyFont="1" applyAlignment="1">
      <alignment horizontal="center" vertical="top"/>
    </xf>
    <xf numFmtId="0" fontId="139" fillId="0" borderId="0" xfId="239" applyAlignment="1">
      <alignment horizontal="center" vertical="center"/>
    </xf>
    <xf numFmtId="167" fontId="30" fillId="0" borderId="5" xfId="21" applyFont="1" applyBorder="1" applyAlignment="1">
      <alignment horizontal="center" vertical="center" wrapText="1"/>
    </xf>
    <xf numFmtId="167" fontId="33" fillId="0" borderId="5" xfId="21" applyBorder="1" applyAlignment="1">
      <alignment vertical="center"/>
    </xf>
    <xf numFmtId="10" fontId="28" fillId="2" borderId="5" xfId="240" applyNumberFormat="1" applyFont="1" applyFill="1" applyBorder="1" applyAlignment="1">
      <alignment horizontal="center" vertical="center"/>
    </xf>
    <xf numFmtId="167" fontId="33" fillId="0" borderId="1" xfId="21" applyBorder="1" applyAlignment="1">
      <alignment horizontal="center" vertical="center"/>
    </xf>
    <xf numFmtId="9" fontId="28" fillId="2" borderId="5" xfId="240" applyFont="1" applyFill="1" applyBorder="1" applyAlignment="1">
      <alignment horizontal="center" vertical="center"/>
    </xf>
    <xf numFmtId="167" fontId="33" fillId="2" borderId="5" xfId="21" applyFill="1" applyBorder="1" applyAlignment="1">
      <alignment horizontal="center" vertical="center"/>
    </xf>
    <xf numFmtId="167" fontId="33" fillId="0" borderId="2" xfId="21" applyBorder="1" applyAlignment="1">
      <alignment horizontal="center" vertical="center"/>
    </xf>
    <xf numFmtId="167" fontId="33" fillId="0" borderId="2" xfId="21" quotePrefix="1" applyBorder="1" applyAlignment="1">
      <alignment horizontal="center" vertical="center"/>
    </xf>
    <xf numFmtId="167" fontId="33" fillId="0" borderId="10" xfId="21" quotePrefix="1" applyBorder="1" applyAlignment="1">
      <alignment horizontal="center" vertical="center"/>
    </xf>
    <xf numFmtId="167" fontId="33" fillId="0" borderId="5" xfId="21" applyBorder="1" applyAlignment="1">
      <alignment horizontal="left" vertical="top"/>
    </xf>
    <xf numFmtId="167" fontId="141" fillId="5" borderId="5" xfId="21" applyFont="1" applyFill="1" applyBorder="1"/>
    <xf numFmtId="167" fontId="142" fillId="5" borderId="5" xfId="21" applyFont="1" applyFill="1" applyBorder="1" applyAlignment="1">
      <alignment horizontal="center" vertical="top" wrapText="1"/>
    </xf>
    <xf numFmtId="167" fontId="30" fillId="0" borderId="5" xfId="21" applyFont="1" applyBorder="1" applyAlignment="1">
      <alignment horizontal="center" vertical="center"/>
    </xf>
    <xf numFmtId="167" fontId="33" fillId="0" borderId="0" xfId="21" applyAlignment="1">
      <alignment horizontal="center" vertical="center"/>
    </xf>
    <xf numFmtId="167" fontId="81" fillId="26" borderId="5" xfId="21" applyFont="1" applyFill="1" applyBorder="1"/>
    <xf numFmtId="167" fontId="81" fillId="5" borderId="5" xfId="21" applyFont="1" applyFill="1" applyBorder="1" applyAlignment="1">
      <alignment horizontal="center"/>
    </xf>
    <xf numFmtId="167" fontId="126" fillId="0" borderId="9" xfId="21" applyFont="1" applyBorder="1" applyAlignment="1">
      <alignment vertical="center" wrapText="1"/>
    </xf>
    <xf numFmtId="168" fontId="33" fillId="0" borderId="5" xfId="239" applyNumberFormat="1" applyFont="1" applyBorder="1" applyAlignment="1">
      <alignment vertical="center"/>
    </xf>
    <xf numFmtId="0" fontId="70" fillId="0" borderId="58" xfId="239" applyFont="1" applyBorder="1"/>
    <xf numFmtId="0" fontId="70" fillId="0" borderId="61" xfId="239" applyFont="1" applyBorder="1"/>
    <xf numFmtId="0" fontId="144" fillId="0" borderId="62" xfId="239" applyFont="1" applyBorder="1" applyAlignment="1">
      <alignment vertical="center"/>
    </xf>
    <xf numFmtId="0" fontId="143" fillId="0" borderId="63" xfId="239" applyFont="1" applyBorder="1" applyAlignment="1">
      <alignment horizontal="center" vertical="center"/>
    </xf>
    <xf numFmtId="0" fontId="143" fillId="0" borderId="64" xfId="239" applyFont="1" applyBorder="1" applyAlignment="1">
      <alignment horizontal="center" vertical="center"/>
    </xf>
    <xf numFmtId="0" fontId="144" fillId="0" borderId="63" xfId="239" applyFont="1" applyBorder="1" applyAlignment="1">
      <alignment horizontal="center" vertical="center"/>
    </xf>
    <xf numFmtId="0" fontId="144" fillId="0" borderId="64" xfId="239" applyFont="1" applyBorder="1" applyAlignment="1">
      <alignment horizontal="center" vertical="center"/>
    </xf>
    <xf numFmtId="0" fontId="70" fillId="0" borderId="65" xfId="239" applyFont="1" applyBorder="1"/>
    <xf numFmtId="0" fontId="144" fillId="0" borderId="66" xfId="239" applyFont="1" applyBorder="1" applyAlignment="1">
      <alignment vertical="center"/>
    </xf>
    <xf numFmtId="0" fontId="144" fillId="0" borderId="67" xfId="239" applyFont="1" applyBorder="1" applyAlignment="1">
      <alignment horizontal="center" vertical="center"/>
    </xf>
    <xf numFmtId="0" fontId="144" fillId="0" borderId="68" xfId="239" applyFont="1" applyBorder="1" applyAlignment="1">
      <alignment horizontal="center" vertical="center"/>
    </xf>
    <xf numFmtId="0" fontId="139" fillId="2" borderId="0" xfId="239" applyFill="1"/>
    <xf numFmtId="167" fontId="30" fillId="26" borderId="5" xfId="0" applyFont="1" applyFill="1" applyBorder="1" applyAlignment="1">
      <alignment vertical="top" wrapText="1"/>
    </xf>
    <xf numFmtId="0" fontId="56" fillId="0" borderId="39" xfId="0" quotePrefix="1" applyNumberFormat="1" applyFont="1" applyBorder="1" applyAlignment="1">
      <alignment horizontal="justify" vertical="top" wrapText="1"/>
    </xf>
    <xf numFmtId="0" fontId="30" fillId="3" borderId="6" xfId="239" applyFont="1" applyFill="1" applyBorder="1" applyAlignment="1">
      <alignment horizontal="right" vertical="center"/>
    </xf>
    <xf numFmtId="0" fontId="34" fillId="0" borderId="0" xfId="239" applyFont="1"/>
    <xf numFmtId="0" fontId="28" fillId="0" borderId="0" xfId="239" applyFont="1"/>
    <xf numFmtId="9" fontId="139" fillId="0" borderId="0" xfId="239" applyNumberFormat="1" applyAlignment="1">
      <alignment horizontal="center"/>
    </xf>
    <xf numFmtId="169" fontId="139" fillId="0" borderId="0" xfId="239" applyNumberFormat="1" applyAlignment="1">
      <alignment horizontal="center"/>
    </xf>
    <xf numFmtId="0" fontId="28" fillId="0" borderId="0" xfId="239" applyFont="1" applyAlignment="1">
      <alignment wrapText="1"/>
    </xf>
    <xf numFmtId="0" fontId="38" fillId="0" borderId="0" xfId="239" applyFont="1" applyAlignment="1">
      <alignment vertical="center"/>
    </xf>
    <xf numFmtId="0" fontId="38" fillId="0" borderId="0" xfId="239" applyFont="1" applyAlignment="1">
      <alignment horizontal="center" vertical="center"/>
    </xf>
    <xf numFmtId="182" fontId="38" fillId="0" borderId="0" xfId="239" applyNumberFormat="1" applyFont="1" applyAlignment="1">
      <alignment horizontal="center" vertical="center"/>
    </xf>
    <xf numFmtId="1" fontId="38" fillId="0" borderId="0" xfId="239" applyNumberFormat="1" applyFont="1" applyAlignment="1">
      <alignment horizontal="center" vertical="center"/>
    </xf>
    <xf numFmtId="0" fontId="37" fillId="0" borderId="0" xfId="239" applyFont="1" applyAlignment="1">
      <alignment vertical="center"/>
    </xf>
    <xf numFmtId="180" fontId="38" fillId="0" borderId="0" xfId="239" applyNumberFormat="1" applyFont="1" applyAlignment="1">
      <alignment horizontal="center" vertical="center"/>
    </xf>
    <xf numFmtId="168" fontId="33" fillId="25" borderId="3" xfId="239" applyNumberFormat="1" applyFont="1" applyFill="1" applyBorder="1" applyAlignment="1">
      <alignment horizontal="right" vertical="center"/>
    </xf>
    <xf numFmtId="0" fontId="33" fillId="25" borderId="0" xfId="239" applyFont="1" applyFill="1"/>
    <xf numFmtId="0" fontId="28" fillId="25" borderId="0" xfId="239" applyFont="1" applyFill="1"/>
    <xf numFmtId="168" fontId="33" fillId="6" borderId="1" xfId="239" applyNumberFormat="1" applyFont="1" applyFill="1" applyBorder="1" applyAlignment="1">
      <alignment horizontal="right" vertical="center" wrapText="1"/>
    </xf>
    <xf numFmtId="168" fontId="33" fillId="6" borderId="2" xfId="239" applyNumberFormat="1" applyFont="1" applyFill="1" applyBorder="1" applyAlignment="1">
      <alignment horizontal="right" vertical="center" wrapText="1"/>
    </xf>
    <xf numFmtId="168" fontId="33" fillId="25" borderId="2" xfId="239" applyNumberFormat="1" applyFont="1" applyFill="1" applyBorder="1" applyAlignment="1">
      <alignment horizontal="right" vertical="center" wrapText="1"/>
    </xf>
    <xf numFmtId="0" fontId="33" fillId="25" borderId="6" xfId="239" applyFont="1" applyFill="1" applyBorder="1" applyAlignment="1">
      <alignment horizontal="right" vertical="center"/>
    </xf>
    <xf numFmtId="167" fontId="126" fillId="25" borderId="9" xfId="21" applyFont="1" applyFill="1" applyBorder="1" applyAlignment="1">
      <alignment vertical="center" wrapText="1"/>
    </xf>
    <xf numFmtId="167" fontId="33" fillId="6" borderId="5" xfId="21" applyFill="1" applyBorder="1" applyAlignment="1">
      <alignment horizontal="center" vertical="center"/>
    </xf>
    <xf numFmtId="2" fontId="139" fillId="6" borderId="0" xfId="239" applyNumberFormat="1" applyFill="1"/>
    <xf numFmtId="167" fontId="33" fillId="25" borderId="5" xfId="21" applyFill="1" applyBorder="1" applyAlignment="1">
      <alignment horizontal="center" vertical="center"/>
    </xf>
    <xf numFmtId="168" fontId="59" fillId="0" borderId="22" xfId="0" applyNumberFormat="1" applyFont="1" applyBorder="1" applyAlignment="1">
      <alignment horizontal="center" vertical="center" wrapText="1"/>
    </xf>
    <xf numFmtId="168" fontId="33" fillId="0" borderId="5" xfId="0" applyNumberFormat="1" applyFont="1" applyBorder="1" applyAlignment="1">
      <alignment vertical="center" wrapText="1"/>
    </xf>
    <xf numFmtId="168" fontId="59" fillId="0" borderId="42" xfId="139" applyNumberFormat="1" applyFont="1" applyFill="1" applyBorder="1" applyAlignment="1">
      <alignment vertical="top"/>
    </xf>
    <xf numFmtId="167" fontId="33" fillId="0" borderId="31" xfId="0" applyFont="1" applyBorder="1" applyAlignment="1">
      <alignment horizontal="center" vertical="center" wrapText="1"/>
    </xf>
    <xf numFmtId="167" fontId="33" fillId="0" borderId="31" xfId="0" applyFont="1" applyBorder="1" applyAlignment="1">
      <alignment horizontal="right" vertical="center" wrapText="1"/>
    </xf>
    <xf numFmtId="167" fontId="28" fillId="0" borderId="29" xfId="0" applyFont="1" applyBorder="1" applyAlignment="1">
      <alignment horizontal="justify" vertical="center" wrapText="1"/>
    </xf>
    <xf numFmtId="167" fontId="59" fillId="0" borderId="25" xfId="0" applyFont="1" applyBorder="1" applyAlignment="1">
      <alignment horizontal="right" vertical="center" wrapText="1"/>
    </xf>
    <xf numFmtId="167" fontId="59" fillId="0" borderId="25" xfId="0" applyFont="1" applyBorder="1" applyAlignment="1">
      <alignment vertical="center" wrapText="1"/>
    </xf>
    <xf numFmtId="167" fontId="28" fillId="6" borderId="19" xfId="0" applyFont="1" applyFill="1" applyBorder="1" applyAlignment="1">
      <alignment horizontal="justify" vertical="center" wrapText="1"/>
    </xf>
    <xf numFmtId="167" fontId="59" fillId="6" borderId="25" xfId="0" applyFont="1" applyFill="1" applyBorder="1" applyAlignment="1">
      <alignment vertical="center" wrapText="1"/>
    </xf>
    <xf numFmtId="168" fontId="33" fillId="6" borderId="5" xfId="0" applyNumberFormat="1" applyFont="1" applyFill="1" applyBorder="1" applyAlignment="1">
      <alignment vertical="top" wrapText="1"/>
    </xf>
    <xf numFmtId="169" fontId="33" fillId="26" borderId="5" xfId="2" applyNumberFormat="1" applyFont="1" applyFill="1" applyBorder="1" applyAlignment="1">
      <alignment vertical="top" wrapText="1"/>
    </xf>
    <xf numFmtId="0" fontId="33" fillId="6" borderId="5" xfId="0" applyNumberFormat="1" applyFont="1" applyFill="1" applyBorder="1" applyAlignment="1">
      <alignment vertical="top" wrapText="1"/>
    </xf>
    <xf numFmtId="168" fontId="59" fillId="6" borderId="42" xfId="139" applyNumberFormat="1" applyFont="1" applyFill="1" applyBorder="1" applyAlignment="1">
      <alignment vertical="top"/>
    </xf>
    <xf numFmtId="167" fontId="33" fillId="6" borderId="1" xfId="0" applyFont="1" applyFill="1" applyBorder="1" applyAlignment="1">
      <alignment horizontal="center" vertical="top" wrapText="1"/>
    </xf>
    <xf numFmtId="167" fontId="59" fillId="6" borderId="39" xfId="0" applyFont="1" applyFill="1" applyBorder="1" applyAlignment="1">
      <alignment vertical="top" wrapText="1"/>
    </xf>
    <xf numFmtId="168" fontId="33" fillId="0" borderId="5" xfId="0" applyNumberFormat="1" applyFont="1" applyBorder="1" applyAlignment="1">
      <alignment horizontal="center" vertical="center" wrapText="1"/>
    </xf>
    <xf numFmtId="167" fontId="36" fillId="6" borderId="1" xfId="0" applyFont="1" applyFill="1" applyBorder="1" applyAlignment="1">
      <alignment horizontal="center" vertical="center" wrapText="1"/>
    </xf>
    <xf numFmtId="2" fontId="33" fillId="6" borderId="1" xfId="0" applyNumberFormat="1" applyFont="1" applyFill="1" applyBorder="1" applyAlignment="1">
      <alignment horizontal="left" vertical="top" wrapText="1"/>
    </xf>
    <xf numFmtId="0" fontId="33" fillId="3" borderId="0" xfId="0" applyNumberFormat="1" applyFont="1" applyFill="1" applyAlignment="1">
      <alignment vertical="top" wrapText="1"/>
    </xf>
    <xf numFmtId="0" fontId="127" fillId="0" borderId="5" xfId="143" applyFont="1" applyBorder="1" applyAlignment="1">
      <alignment horizontal="center"/>
    </xf>
    <xf numFmtId="1" fontId="127" fillId="0" borderId="5" xfId="401" applyNumberFormat="1" applyFont="1" applyBorder="1" applyAlignment="1">
      <alignment horizontal="center" vertical="center"/>
    </xf>
    <xf numFmtId="2" fontId="127" fillId="0" borderId="5" xfId="143" applyNumberFormat="1" applyFont="1" applyBorder="1" applyAlignment="1">
      <alignment horizontal="center" vertical="top"/>
    </xf>
    <xf numFmtId="0" fontId="34" fillId="0" borderId="5" xfId="144" applyNumberFormat="1" applyFont="1" applyBorder="1" applyAlignment="1">
      <alignment horizontal="left" vertical="top" wrapText="1"/>
    </xf>
    <xf numFmtId="0" fontId="127" fillId="0" borderId="5" xfId="143" applyFont="1" applyBorder="1" applyAlignment="1">
      <alignment vertical="top" wrapText="1"/>
    </xf>
    <xf numFmtId="0" fontId="33" fillId="0" borderId="5" xfId="0" applyNumberFormat="1" applyFont="1" applyBorder="1" applyAlignment="1">
      <alignment horizontal="center" vertical="center" wrapText="1"/>
    </xf>
    <xf numFmtId="169" fontId="33" fillId="0" borderId="5" xfId="2" applyNumberFormat="1" applyFont="1" applyFill="1" applyBorder="1" applyAlignment="1">
      <alignment vertical="top" wrapText="1"/>
    </xf>
    <xf numFmtId="2" fontId="33" fillId="0" borderId="5" xfId="0" applyNumberFormat="1" applyFont="1" applyBorder="1" applyAlignment="1">
      <alignment vertical="top" wrapText="1"/>
    </xf>
    <xf numFmtId="0" fontId="28" fillId="2" borderId="5" xfId="0" applyNumberFormat="1" applyFont="1" applyFill="1" applyBorder="1" applyAlignment="1">
      <alignment vertical="top" wrapText="1"/>
    </xf>
    <xf numFmtId="0" fontId="28" fillId="2" borderId="1" xfId="0" applyNumberFormat="1" applyFont="1" applyFill="1" applyBorder="1" applyAlignment="1">
      <alignment horizontal="center" vertical="top" wrapText="1"/>
    </xf>
    <xf numFmtId="0" fontId="56" fillId="2" borderId="5" xfId="0" applyNumberFormat="1" applyFont="1" applyFill="1" applyBorder="1" applyAlignment="1">
      <alignment horizontal="center" vertical="top" wrapText="1"/>
    </xf>
    <xf numFmtId="168" fontId="33" fillId="2" borderId="5" xfId="0" applyNumberFormat="1" applyFont="1" applyFill="1" applyBorder="1" applyAlignment="1">
      <alignment vertical="top" wrapText="1"/>
    </xf>
    <xf numFmtId="167" fontId="33" fillId="2" borderId="1" xfId="0" applyFont="1" applyFill="1" applyBorder="1" applyAlignment="1">
      <alignment horizontal="center" vertical="top" wrapText="1"/>
    </xf>
    <xf numFmtId="167" fontId="33" fillId="2" borderId="1" xfId="0" applyFont="1" applyFill="1" applyBorder="1" applyAlignment="1">
      <alignment vertical="top" wrapText="1"/>
    </xf>
    <xf numFmtId="0" fontId="33" fillId="2" borderId="1" xfId="0" applyNumberFormat="1" applyFont="1" applyFill="1" applyBorder="1" applyAlignment="1">
      <alignment vertical="top" wrapText="1"/>
    </xf>
    <xf numFmtId="0" fontId="28" fillId="2" borderId="5" xfId="25" applyFill="1" applyBorder="1" applyAlignment="1">
      <alignment horizontal="left" vertical="center" wrapText="1"/>
    </xf>
    <xf numFmtId="0" fontId="33" fillId="2" borderId="5" xfId="0" applyNumberFormat="1" applyFont="1" applyFill="1" applyBorder="1" applyAlignment="1">
      <alignment vertical="top" wrapText="1"/>
    </xf>
    <xf numFmtId="167" fontId="59" fillId="0" borderId="39" xfId="0" quotePrefix="1" applyFont="1" applyBorder="1" applyAlignment="1">
      <alignment vertical="top" wrapText="1"/>
    </xf>
    <xf numFmtId="0" fontId="124" fillId="0" borderId="5" xfId="140" applyFont="1" applyBorder="1" applyAlignment="1">
      <alignment vertical="center" wrapText="1"/>
    </xf>
    <xf numFmtId="0" fontId="28" fillId="0" borderId="0" xfId="140" applyAlignment="1">
      <alignment vertical="top" wrapText="1"/>
    </xf>
    <xf numFmtId="0" fontId="125" fillId="0" borderId="5" xfId="414" applyFont="1" applyBorder="1" applyAlignment="1">
      <alignment horizontal="center" vertical="center"/>
    </xf>
    <xf numFmtId="0" fontId="125" fillId="0" borderId="10" xfId="414" applyFont="1" applyBorder="1" applyAlignment="1">
      <alignment horizontal="left" vertical="center" wrapText="1"/>
    </xf>
    <xf numFmtId="0" fontId="59" fillId="0" borderId="5" xfId="414" applyFont="1" applyBorder="1" applyAlignment="1">
      <alignment horizontal="center" vertical="top"/>
    </xf>
    <xf numFmtId="0" fontId="59" fillId="0" borderId="5" xfId="414" applyFont="1" applyBorder="1" applyAlignment="1">
      <alignment horizontal="right" vertical="center"/>
    </xf>
    <xf numFmtId="0" fontId="59" fillId="0" borderId="5" xfId="414" applyFont="1" applyBorder="1" applyAlignment="1">
      <alignment horizontal="right" vertical="top"/>
    </xf>
    <xf numFmtId="0" fontId="126" fillId="0" borderId="5" xfId="414" applyFont="1" applyBorder="1" applyAlignment="1">
      <alignment horizontal="center" vertical="top" wrapText="1"/>
    </xf>
    <xf numFmtId="0" fontId="127" fillId="0" borderId="5" xfId="414" applyFont="1" applyBorder="1" applyAlignment="1">
      <alignment horizontal="center" vertical="center"/>
    </xf>
    <xf numFmtId="0" fontId="9" fillId="0" borderId="10" xfId="414" applyBorder="1" applyAlignment="1">
      <alignment horizontal="left" vertical="center" wrapText="1"/>
    </xf>
    <xf numFmtId="1" fontId="127" fillId="0" borderId="5" xfId="414" applyNumberFormat="1" applyFont="1" applyBorder="1" applyAlignment="1">
      <alignment horizontal="center" vertical="center"/>
    </xf>
    <xf numFmtId="0" fontId="9" fillId="0" borderId="5" xfId="414" applyBorder="1" applyAlignment="1">
      <alignment vertical="top" wrapText="1"/>
    </xf>
    <xf numFmtId="0" fontId="127" fillId="0" borderId="5" xfId="414" applyFont="1" applyBorder="1" applyAlignment="1">
      <alignment horizontal="left" vertical="top" wrapText="1"/>
    </xf>
    <xf numFmtId="0" fontId="128" fillId="0" borderId="10" xfId="414" applyFont="1" applyBorder="1" applyAlignment="1">
      <alignment horizontal="left" vertical="center" wrapText="1"/>
    </xf>
    <xf numFmtId="168" fontId="127" fillId="0" borderId="5" xfId="414" applyNumberFormat="1" applyFont="1" applyBorder="1" applyAlignment="1">
      <alignment horizontal="center" vertical="center"/>
    </xf>
    <xf numFmtId="0" fontId="128" fillId="0" borderId="5" xfId="414" applyFont="1" applyBorder="1" applyAlignment="1">
      <alignment wrapText="1"/>
    </xf>
    <xf numFmtId="0" fontId="60" fillId="0" borderId="10" xfId="414" applyFont="1" applyBorder="1" applyAlignment="1">
      <alignment horizontal="left" vertical="center" wrapText="1"/>
    </xf>
    <xf numFmtId="0" fontId="60" fillId="0" borderId="5" xfId="414" applyFont="1" applyBorder="1" applyAlignment="1">
      <alignment horizontal="center" vertical="center"/>
    </xf>
    <xf numFmtId="0" fontId="59" fillId="0" borderId="5" xfId="415" applyFont="1" applyBorder="1" applyAlignment="1">
      <alignment horizontal="center" vertical="center"/>
    </xf>
    <xf numFmtId="0" fontId="9" fillId="0" borderId="5" xfId="415" applyBorder="1"/>
    <xf numFmtId="0" fontId="128" fillId="0" borderId="5" xfId="415" applyFont="1" applyBorder="1" applyAlignment="1">
      <alignment vertical="top"/>
    </xf>
    <xf numFmtId="0" fontId="60" fillId="0" borderId="5" xfId="415" applyFont="1" applyBorder="1" applyAlignment="1">
      <alignment horizontal="center" vertical="center"/>
    </xf>
    <xf numFmtId="0" fontId="125" fillId="0" borderId="10" xfId="415" applyFont="1" applyBorder="1" applyAlignment="1">
      <alignment horizontal="left" vertical="center" wrapText="1"/>
    </xf>
    <xf numFmtId="0" fontId="127" fillId="0" borderId="10" xfId="415" applyFont="1" applyBorder="1" applyAlignment="1">
      <alignment horizontal="center" vertical="center"/>
    </xf>
    <xf numFmtId="0" fontId="129" fillId="0" borderId="10" xfId="415" applyFont="1" applyBorder="1" applyAlignment="1">
      <alignment horizontal="center" vertical="top" wrapText="1"/>
    </xf>
    <xf numFmtId="0" fontId="127" fillId="0" borderId="5" xfId="415" applyFont="1" applyBorder="1" applyAlignment="1">
      <alignment horizontal="center" vertical="center"/>
    </xf>
    <xf numFmtId="1" fontId="125" fillId="0" borderId="5" xfId="415" applyNumberFormat="1" applyFont="1" applyBorder="1" applyAlignment="1">
      <alignment horizontal="center" vertical="center"/>
    </xf>
    <xf numFmtId="0" fontId="128" fillId="0" borderId="5" xfId="415" applyFont="1" applyBorder="1" applyAlignment="1">
      <alignment horizontal="center" vertical="center"/>
    </xf>
    <xf numFmtId="0" fontId="129" fillId="0" borderId="5" xfId="415" applyFont="1" applyBorder="1" applyAlignment="1">
      <alignment horizontal="center" vertical="top" wrapText="1"/>
    </xf>
    <xf numFmtId="1" fontId="127" fillId="0" borderId="5" xfId="415" applyNumberFormat="1" applyFont="1" applyBorder="1" applyAlignment="1">
      <alignment horizontal="center" vertical="center"/>
    </xf>
    <xf numFmtId="167" fontId="128" fillId="0" borderId="5" xfId="415" applyNumberFormat="1" applyFont="1" applyBorder="1" applyAlignment="1">
      <alignment horizontal="center" vertical="center"/>
    </xf>
    <xf numFmtId="0" fontId="127" fillId="0" borderId="5" xfId="415" applyFont="1" applyBorder="1" applyAlignment="1">
      <alignment horizontal="center" vertical="top" wrapText="1"/>
    </xf>
    <xf numFmtId="49" fontId="102" fillId="0" borderId="5" xfId="415" applyNumberFormat="1" applyFont="1" applyBorder="1" applyAlignment="1">
      <alignment horizontal="center" vertical="center" wrapText="1"/>
    </xf>
    <xf numFmtId="0" fontId="102" fillId="0" borderId="5" xfId="415" applyFont="1" applyBorder="1" applyAlignment="1">
      <alignment horizontal="center" vertical="center" wrapText="1"/>
    </xf>
    <xf numFmtId="2" fontId="135" fillId="0" borderId="5" xfId="415" applyNumberFormat="1" applyFont="1" applyBorder="1" applyAlignment="1">
      <alignment horizontal="center" vertical="center" wrapText="1"/>
    </xf>
    <xf numFmtId="2" fontId="135" fillId="0" borderId="14" xfId="415" applyNumberFormat="1" applyFont="1" applyBorder="1" applyAlignment="1">
      <alignment horizontal="center" vertical="center" wrapText="1"/>
    </xf>
    <xf numFmtId="2" fontId="135" fillId="24" borderId="5" xfId="415" applyNumberFormat="1" applyFont="1" applyFill="1" applyBorder="1" applyAlignment="1">
      <alignment horizontal="center" vertical="center" wrapText="1"/>
    </xf>
    <xf numFmtId="2" fontId="135" fillId="6" borderId="5" xfId="415" applyNumberFormat="1" applyFont="1" applyFill="1" applyBorder="1" applyAlignment="1">
      <alignment horizontal="left" vertical="center" wrapText="1"/>
    </xf>
    <xf numFmtId="0" fontId="9" fillId="0" borderId="0" xfId="415"/>
    <xf numFmtId="0" fontId="128" fillId="0" borderId="5" xfId="415" applyFont="1" applyBorder="1"/>
    <xf numFmtId="0" fontId="125" fillId="0" borderId="5" xfId="415" applyFont="1" applyBorder="1" applyAlignment="1">
      <alignment horizontal="center" vertical="center"/>
    </xf>
    <xf numFmtId="168" fontId="125" fillId="0" borderId="5" xfId="415" applyNumberFormat="1" applyFont="1" applyBorder="1" applyAlignment="1">
      <alignment horizontal="center" vertical="center"/>
    </xf>
    <xf numFmtId="167" fontId="96" fillId="0" borderId="0" xfId="0" applyFont="1"/>
    <xf numFmtId="167" fontId="96" fillId="0" borderId="0" xfId="0" applyFont="1" applyAlignment="1">
      <alignment vertical="center"/>
    </xf>
    <xf numFmtId="178" fontId="154" fillId="4" borderId="5" xfId="63" applyNumberFormat="1" applyFont="1" applyFill="1" applyBorder="1" applyAlignment="1">
      <alignment horizontal="left" vertical="top"/>
    </xf>
    <xf numFmtId="178" fontId="153" fillId="4" borderId="5" xfId="63" applyNumberFormat="1" applyFont="1" applyFill="1" applyBorder="1" applyAlignment="1">
      <alignment horizontal="left" vertical="top"/>
    </xf>
    <xf numFmtId="178" fontId="153" fillId="4" borderId="57" xfId="63" applyNumberFormat="1" applyFont="1" applyFill="1" applyBorder="1" applyAlignment="1">
      <alignment horizontal="left" vertical="top"/>
    </xf>
    <xf numFmtId="167" fontId="96" fillId="0" borderId="0" xfId="0" applyFont="1" applyAlignment="1">
      <alignment horizontal="center" vertical="center"/>
    </xf>
    <xf numFmtId="168" fontId="96" fillId="0" borderId="70" xfId="0" applyNumberFormat="1" applyFont="1" applyBorder="1" applyAlignment="1">
      <alignment horizontal="center" vertical="center"/>
    </xf>
    <xf numFmtId="167" fontId="96" fillId="0" borderId="54" xfId="0" applyFont="1" applyBorder="1" applyAlignment="1">
      <alignment wrapText="1"/>
    </xf>
    <xf numFmtId="188" fontId="96" fillId="0" borderId="2" xfId="0" applyNumberFormat="1" applyFont="1" applyBorder="1" applyAlignment="1">
      <alignment horizontal="center" vertical="center"/>
    </xf>
    <xf numFmtId="188" fontId="96" fillId="0" borderId="54" xfId="0" applyNumberFormat="1" applyFont="1" applyBorder="1" applyAlignment="1">
      <alignment horizontal="center" vertical="center"/>
    </xf>
    <xf numFmtId="178" fontId="153" fillId="4" borderId="57" xfId="63" applyNumberFormat="1" applyFont="1" applyFill="1" applyBorder="1" applyAlignment="1">
      <alignment horizontal="center" vertical="center"/>
    </xf>
    <xf numFmtId="167" fontId="96" fillId="0" borderId="2" xfId="0" applyFont="1" applyBorder="1" applyAlignment="1">
      <alignment horizontal="left" vertical="top" wrapText="1"/>
    </xf>
    <xf numFmtId="3" fontId="154" fillId="4" borderId="42" xfId="63" applyNumberFormat="1" applyFont="1" applyFill="1" applyBorder="1" applyAlignment="1">
      <alignment horizontal="center" vertical="center"/>
    </xf>
    <xf numFmtId="3" fontId="154" fillId="4" borderId="43" xfId="63" applyNumberFormat="1" applyFont="1" applyFill="1" applyBorder="1" applyAlignment="1">
      <alignment horizontal="center" vertical="center"/>
    </xf>
    <xf numFmtId="167" fontId="96" fillId="0" borderId="9" xfId="0" applyFont="1" applyBorder="1" applyAlignment="1">
      <alignment horizontal="left" vertical="top" wrapText="1"/>
    </xf>
    <xf numFmtId="167" fontId="96" fillId="0" borderId="2" xfId="0" applyFont="1" applyBorder="1" applyAlignment="1">
      <alignment wrapText="1"/>
    </xf>
    <xf numFmtId="188" fontId="96" fillId="0" borderId="71" xfId="0" applyNumberFormat="1" applyFont="1" applyBorder="1" applyAlignment="1">
      <alignment horizontal="right" vertical="center"/>
    </xf>
    <xf numFmtId="188" fontId="96" fillId="0" borderId="2" xfId="0" applyNumberFormat="1" applyFont="1" applyBorder="1" applyAlignment="1">
      <alignment horizontal="right" vertical="center"/>
    </xf>
    <xf numFmtId="188" fontId="96" fillId="0" borderId="9" xfId="0" applyNumberFormat="1" applyFont="1" applyBorder="1" applyAlignment="1">
      <alignment horizontal="right" vertical="center"/>
    </xf>
    <xf numFmtId="168" fontId="96" fillId="0" borderId="41" xfId="0" applyNumberFormat="1" applyFont="1" applyBorder="1" applyAlignment="1">
      <alignment horizontal="center" vertical="center"/>
    </xf>
    <xf numFmtId="167" fontId="155" fillId="0" borderId="0" xfId="0" applyFont="1"/>
    <xf numFmtId="167" fontId="157" fillId="0" borderId="0" xfId="0" applyFont="1"/>
    <xf numFmtId="167" fontId="158" fillId="0" borderId="0" xfId="0" applyFont="1" applyAlignment="1">
      <alignment horizontal="right"/>
    </xf>
    <xf numFmtId="165" fontId="158" fillId="0" borderId="0" xfId="2732" applyFont="1" applyAlignment="1">
      <alignment horizontal="right"/>
    </xf>
    <xf numFmtId="3" fontId="159" fillId="4" borderId="36" xfId="63" applyNumberFormat="1" applyFont="1" applyFill="1" applyBorder="1" applyAlignment="1">
      <alignment horizontal="center" vertical="center"/>
    </xf>
    <xf numFmtId="178" fontId="159" fillId="4" borderId="33" xfId="63" applyNumberFormat="1" applyFont="1" applyFill="1" applyBorder="1" applyAlignment="1">
      <alignment horizontal="center" vertical="center"/>
    </xf>
    <xf numFmtId="178" fontId="159" fillId="4" borderId="33" xfId="63" applyNumberFormat="1" applyFont="1" applyFill="1" applyBorder="1" applyAlignment="1">
      <alignment horizontal="center" vertical="center" wrapText="1"/>
    </xf>
    <xf numFmtId="178" fontId="159" fillId="4" borderId="37" xfId="63" applyNumberFormat="1" applyFont="1" applyFill="1" applyBorder="1" applyAlignment="1">
      <alignment horizontal="center" vertical="center" wrapText="1"/>
    </xf>
    <xf numFmtId="178" fontId="159" fillId="4" borderId="38" xfId="63" applyNumberFormat="1" applyFont="1" applyFill="1" applyBorder="1" applyAlignment="1">
      <alignment horizontal="center" vertical="center" wrapText="1"/>
    </xf>
    <xf numFmtId="188" fontId="160" fillId="4" borderId="5" xfId="63" applyNumberFormat="1" applyFont="1" applyFill="1" applyBorder="1" applyAlignment="1">
      <alignment horizontal="center" vertical="center" wrapText="1"/>
    </xf>
    <xf numFmtId="188" fontId="160" fillId="4" borderId="39" xfId="22" applyNumberFormat="1" applyFont="1" applyFill="1" applyBorder="1" applyAlignment="1">
      <alignment horizontal="center" vertical="center" wrapText="1"/>
    </xf>
    <xf numFmtId="10" fontId="160" fillId="4" borderId="5" xfId="2" applyNumberFormat="1" applyFont="1" applyFill="1" applyBorder="1" applyAlignment="1">
      <alignment horizontal="center" vertical="center" wrapText="1"/>
    </xf>
    <xf numFmtId="10" fontId="160" fillId="4" borderId="39" xfId="2" applyNumberFormat="1" applyFont="1" applyFill="1" applyBorder="1" applyAlignment="1">
      <alignment horizontal="center" vertical="center" wrapText="1"/>
    </xf>
    <xf numFmtId="10" fontId="156" fillId="4" borderId="69" xfId="2" applyNumberFormat="1" applyFont="1" applyFill="1" applyBorder="1" applyAlignment="1">
      <alignment horizontal="center" vertical="top"/>
    </xf>
    <xf numFmtId="10" fontId="156" fillId="4" borderId="57" xfId="2" applyNumberFormat="1" applyFont="1" applyFill="1" applyBorder="1" applyAlignment="1">
      <alignment horizontal="center" vertical="top" wrapText="1"/>
    </xf>
    <xf numFmtId="10" fontId="156" fillId="4" borderId="40" xfId="2" applyNumberFormat="1" applyFont="1" applyFill="1" applyBorder="1" applyAlignment="1">
      <alignment horizontal="center" vertical="top" wrapText="1"/>
    </xf>
    <xf numFmtId="188" fontId="161" fillId="0" borderId="2" xfId="0" applyNumberFormat="1" applyFont="1" applyBorder="1" applyAlignment="1">
      <alignment horizontal="center" vertical="center"/>
    </xf>
    <xf numFmtId="188" fontId="96" fillId="0" borderId="34" xfId="0" applyNumberFormat="1" applyFont="1" applyBorder="1" applyAlignment="1">
      <alignment horizontal="center" vertical="center"/>
    </xf>
    <xf numFmtId="188" fontId="96" fillId="0" borderId="55" xfId="0" applyNumberFormat="1" applyFont="1" applyBorder="1" applyAlignment="1">
      <alignment horizontal="center" vertical="center"/>
    </xf>
    <xf numFmtId="188" fontId="96" fillId="0" borderId="14" xfId="0" applyNumberFormat="1" applyFont="1" applyBorder="1" applyAlignment="1">
      <alignment horizontal="center" vertical="center"/>
    </xf>
    <xf numFmtId="10" fontId="96" fillId="0" borderId="14" xfId="2" applyNumberFormat="1" applyFont="1" applyBorder="1" applyAlignment="1">
      <alignment horizontal="center" vertical="center"/>
    </xf>
    <xf numFmtId="167" fontId="162" fillId="0" borderId="0" xfId="0" applyFont="1" applyAlignment="1">
      <alignment horizontal="right"/>
    </xf>
    <xf numFmtId="170" fontId="96" fillId="0" borderId="0" xfId="0" applyNumberFormat="1" applyFont="1"/>
    <xf numFmtId="0" fontId="30" fillId="26" borderId="14" xfId="0" applyNumberFormat="1" applyFont="1" applyFill="1" applyBorder="1" applyAlignment="1">
      <alignment horizontal="right" vertical="center" wrapText="1"/>
    </xf>
    <xf numFmtId="0" fontId="30" fillId="26" borderId="8" xfId="0" applyNumberFormat="1" applyFont="1" applyFill="1" applyBorder="1" applyAlignment="1">
      <alignment horizontal="right" vertical="center" wrapText="1"/>
    </xf>
    <xf numFmtId="0" fontId="30" fillId="26" borderId="13" xfId="0" applyNumberFormat="1" applyFont="1" applyFill="1" applyBorder="1" applyAlignment="1">
      <alignment horizontal="right" vertical="center" wrapText="1"/>
    </xf>
    <xf numFmtId="167" fontId="35" fillId="0" borderId="4" xfId="0" applyFont="1" applyBorder="1" applyAlignment="1">
      <alignment horizontal="center" vertical="top" wrapText="1"/>
    </xf>
    <xf numFmtId="0" fontId="33" fillId="2" borderId="14" xfId="0" applyNumberFormat="1" applyFont="1" applyFill="1" applyBorder="1" applyAlignment="1">
      <alignment wrapText="1"/>
    </xf>
    <xf numFmtId="0" fontId="33" fillId="2" borderId="8" xfId="0" applyNumberFormat="1" applyFont="1" applyFill="1" applyBorder="1" applyAlignment="1">
      <alignment wrapText="1"/>
    </xf>
    <xf numFmtId="0" fontId="33" fillId="2" borderId="13" xfId="0" applyNumberFormat="1" applyFont="1" applyFill="1" applyBorder="1" applyAlignment="1">
      <alignment wrapText="1"/>
    </xf>
    <xf numFmtId="167" fontId="30" fillId="0" borderId="14" xfId="0" applyFont="1" applyBorder="1" applyAlignment="1">
      <alignment horizontal="center" vertical="top" wrapText="1"/>
    </xf>
    <xf numFmtId="167" fontId="30" fillId="0" borderId="13" xfId="0" applyFont="1" applyBorder="1" applyAlignment="1">
      <alignment horizontal="center" vertical="top" wrapText="1"/>
    </xf>
    <xf numFmtId="0" fontId="128" fillId="0" borderId="1" xfId="414" applyFont="1" applyBorder="1" applyAlignment="1">
      <alignment horizontal="left" vertical="top" wrapText="1"/>
    </xf>
    <xf numFmtId="0" fontId="128" fillId="0" borderId="2" xfId="414" applyFont="1" applyBorder="1" applyAlignment="1">
      <alignment horizontal="left" vertical="top" wrapText="1"/>
    </xf>
    <xf numFmtId="0" fontId="128" fillId="0" borderId="10" xfId="414" applyFont="1" applyBorder="1" applyAlignment="1">
      <alignment horizontal="left" vertical="top" wrapText="1"/>
    </xf>
    <xf numFmtId="0" fontId="127" fillId="0" borderId="1" xfId="414" applyFont="1" applyBorder="1" applyAlignment="1">
      <alignment horizontal="left" vertical="top" wrapText="1"/>
    </xf>
    <xf numFmtId="0" fontId="127" fillId="0" borderId="2" xfId="414" applyFont="1" applyBorder="1" applyAlignment="1">
      <alignment horizontal="left" vertical="top" wrapText="1"/>
    </xf>
    <xf numFmtId="0" fontId="127" fillId="0" borderId="10" xfId="414" applyFont="1" applyBorder="1" applyAlignment="1">
      <alignment horizontal="left" vertical="top" wrapText="1"/>
    </xf>
    <xf numFmtId="0" fontId="127" fillId="0" borderId="1" xfId="415" applyFont="1" applyBorder="1" applyAlignment="1">
      <alignment horizontal="left" vertical="top" wrapText="1"/>
    </xf>
    <xf numFmtId="0" fontId="127" fillId="0" borderId="2" xfId="415" applyFont="1" applyBorder="1" applyAlignment="1">
      <alignment horizontal="left" vertical="top" wrapText="1"/>
    </xf>
    <xf numFmtId="0" fontId="127" fillId="0" borderId="10" xfId="415" applyFont="1" applyBorder="1" applyAlignment="1">
      <alignment horizontal="left" vertical="top" wrapText="1"/>
    </xf>
    <xf numFmtId="0" fontId="33" fillId="25" borderId="0" xfId="0" applyNumberFormat="1" applyFont="1" applyFill="1" applyAlignment="1">
      <alignment horizontal="center" vertical="top" wrapText="1"/>
    </xf>
    <xf numFmtId="0" fontId="30" fillId="3" borderId="14" xfId="0" applyNumberFormat="1" applyFont="1" applyFill="1" applyBorder="1" applyAlignment="1">
      <alignment horizontal="right" vertical="center" wrapText="1"/>
    </xf>
    <xf numFmtId="0" fontId="30" fillId="3" borderId="8" xfId="0" applyNumberFormat="1" applyFont="1" applyFill="1" applyBorder="1" applyAlignment="1">
      <alignment horizontal="right" vertical="center" wrapText="1"/>
    </xf>
    <xf numFmtId="0" fontId="30" fillId="3" borderId="13" xfId="0" applyNumberFormat="1" applyFont="1" applyFill="1" applyBorder="1" applyAlignment="1">
      <alignment horizontal="right" vertical="center" wrapText="1"/>
    </xf>
    <xf numFmtId="167" fontId="0" fillId="0" borderId="0" xfId="0" applyAlignment="1">
      <alignment horizontal="center"/>
    </xf>
    <xf numFmtId="167" fontId="30" fillId="0" borderId="0" xfId="0" applyFont="1" applyAlignment="1">
      <alignment horizontal="center"/>
    </xf>
    <xf numFmtId="167" fontId="84" fillId="0" borderId="0" xfId="0" applyFont="1" applyAlignment="1">
      <alignment horizontal="center"/>
    </xf>
    <xf numFmtId="167" fontId="37" fillId="0" borderId="0" xfId="0" applyFont="1" applyAlignment="1">
      <alignment horizontal="center"/>
    </xf>
    <xf numFmtId="167" fontId="33" fillId="0" borderId="11" xfId="0" applyFont="1" applyBorder="1" applyAlignment="1">
      <alignment horizontal="justify" vertical="top" wrapText="1"/>
    </xf>
    <xf numFmtId="167" fontId="0" fillId="0" borderId="11" xfId="0" applyBorder="1" applyAlignment="1">
      <alignment horizontal="justify" vertical="top" wrapText="1"/>
    </xf>
    <xf numFmtId="167" fontId="30" fillId="0" borderId="0" xfId="0" applyFont="1" applyAlignment="1">
      <alignment horizontal="center" vertical="top" wrapText="1"/>
    </xf>
    <xf numFmtId="0" fontId="33" fillId="0" borderId="0" xfId="239" applyFont="1" applyAlignment="1">
      <alignment horizontal="center"/>
    </xf>
    <xf numFmtId="167" fontId="59" fillId="2" borderId="1" xfId="21" applyFont="1" applyFill="1" applyBorder="1" applyAlignment="1">
      <alignment horizontal="left" vertical="top" wrapText="1"/>
    </xf>
    <xf numFmtId="167" fontId="59" fillId="2" borderId="2" xfId="21" applyFont="1" applyFill="1" applyBorder="1" applyAlignment="1">
      <alignment horizontal="left" vertical="top" wrapText="1"/>
    </xf>
    <xf numFmtId="167" fontId="59" fillId="2" borderId="10" xfId="21" applyFont="1" applyFill="1" applyBorder="1" applyAlignment="1">
      <alignment horizontal="left" vertical="top" wrapText="1"/>
    </xf>
    <xf numFmtId="0" fontId="143" fillId="0" borderId="59" xfId="239" applyFont="1" applyBorder="1" applyAlignment="1">
      <alignment horizontal="center" vertical="center"/>
    </xf>
    <xf numFmtId="0" fontId="143" fillId="0" borderId="60" xfId="239" applyFont="1" applyBorder="1" applyAlignment="1">
      <alignment horizontal="center" vertical="center"/>
    </xf>
    <xf numFmtId="0" fontId="139" fillId="0" borderId="0" xfId="239" applyAlignment="1">
      <alignment horizontal="center"/>
    </xf>
    <xf numFmtId="0" fontId="30" fillId="0" borderId="0" xfId="239" applyFont="1" applyAlignment="1">
      <alignment horizontal="center"/>
    </xf>
    <xf numFmtId="0" fontId="33" fillId="0" borderId="8" xfId="239" applyFont="1" applyBorder="1" applyAlignment="1">
      <alignment horizontal="center"/>
    </xf>
    <xf numFmtId="0" fontId="33" fillId="0" borderId="13" xfId="239" applyFont="1" applyBorder="1" applyAlignment="1">
      <alignment horizontal="center"/>
    </xf>
    <xf numFmtId="167" fontId="33" fillId="0" borderId="0" xfId="21" applyAlignment="1">
      <alignment horizontal="center"/>
    </xf>
    <xf numFmtId="0" fontId="37" fillId="0" borderId="1" xfId="5" applyFont="1" applyBorder="1" applyAlignment="1">
      <alignment horizontal="center" vertical="top" wrapText="1"/>
    </xf>
    <xf numFmtId="0" fontId="37" fillId="0" borderId="2" xfId="5" applyFont="1" applyBorder="1" applyAlignment="1">
      <alignment horizontal="center" vertical="top" wrapText="1"/>
    </xf>
    <xf numFmtId="0" fontId="37" fillId="0" borderId="10" xfId="5" applyFont="1" applyBorder="1" applyAlignment="1">
      <alignment horizontal="center" vertical="top" wrapText="1"/>
    </xf>
    <xf numFmtId="0" fontId="49" fillId="0" borderId="0" xfId="5" applyFont="1" applyAlignment="1">
      <alignment horizontal="right" vertical="top"/>
    </xf>
    <xf numFmtId="0" fontId="49" fillId="0" borderId="0" xfId="5" applyFont="1" applyAlignment="1">
      <alignment vertical="center" wrapText="1"/>
    </xf>
    <xf numFmtId="0" fontId="54" fillId="0" borderId="23" xfId="5" applyFont="1" applyBorder="1" applyAlignment="1">
      <alignment horizontal="center" vertical="top" wrapText="1"/>
    </xf>
    <xf numFmtId="0" fontId="54" fillId="0" borderId="7" xfId="5" applyFont="1" applyBorder="1" applyAlignment="1">
      <alignment horizontal="center" vertical="top" wrapText="1"/>
    </xf>
    <xf numFmtId="0" fontId="54" fillId="0" borderId="12" xfId="5" applyFont="1" applyBorder="1" applyAlignment="1">
      <alignment horizontal="center" vertical="top" wrapText="1"/>
    </xf>
    <xf numFmtId="0" fontId="54" fillId="0" borderId="6" xfId="5" applyFont="1" applyBorder="1" applyAlignment="1">
      <alignment horizontal="center" vertical="top" wrapText="1"/>
    </xf>
    <xf numFmtId="0" fontId="51" fillId="0" borderId="14" xfId="5" applyFont="1" applyBorder="1" applyAlignment="1">
      <alignment horizontal="center" vertical="top"/>
    </xf>
    <xf numFmtId="0" fontId="51" fillId="0" borderId="8" xfId="5" applyFont="1" applyBorder="1" applyAlignment="1">
      <alignment horizontal="center" vertical="top"/>
    </xf>
    <xf numFmtId="0" fontId="51" fillId="0" borderId="13" xfId="5" applyFont="1" applyBorder="1" applyAlignment="1">
      <alignment horizontal="center" vertical="top"/>
    </xf>
    <xf numFmtId="0" fontId="49" fillId="0" borderId="0" xfId="5" applyFont="1" applyAlignment="1">
      <alignment horizontal="left" vertical="center" wrapText="1"/>
    </xf>
    <xf numFmtId="0" fontId="51" fillId="0" borderId="26" xfId="5" applyFont="1" applyBorder="1" applyAlignment="1">
      <alignment horizontal="center" vertical="top" wrapText="1"/>
    </xf>
    <xf numFmtId="0" fontId="51" fillId="0" borderId="25" xfId="5" applyFont="1" applyBorder="1" applyAlignment="1">
      <alignment horizontal="center" vertical="top" wrapText="1"/>
    </xf>
    <xf numFmtId="2" fontId="51" fillId="0" borderId="26" xfId="5" applyNumberFormat="1" applyFont="1" applyBorder="1" applyAlignment="1">
      <alignment horizontal="center" vertical="top" wrapText="1"/>
    </xf>
    <xf numFmtId="2" fontId="51" fillId="0" borderId="25" xfId="5" applyNumberFormat="1" applyFont="1" applyBorder="1" applyAlignment="1">
      <alignment horizontal="center" vertical="top" wrapText="1"/>
    </xf>
    <xf numFmtId="0" fontId="49" fillId="0" borderId="26" xfId="5" applyFont="1" applyBorder="1" applyAlignment="1">
      <alignment horizontal="left" vertical="center" wrapText="1"/>
    </xf>
    <xf numFmtId="0" fontId="49" fillId="0" borderId="25" xfId="5" applyFont="1" applyBorder="1" applyAlignment="1">
      <alignment horizontal="left" vertical="center" wrapText="1"/>
    </xf>
    <xf numFmtId="0" fontId="51" fillId="0" borderId="30" xfId="5" applyFont="1" applyBorder="1" applyAlignment="1">
      <alignment horizontal="center" vertical="center" wrapText="1"/>
    </xf>
    <xf numFmtId="0" fontId="51" fillId="0" borderId="31" xfId="5" applyFont="1" applyBorder="1" applyAlignment="1">
      <alignment horizontal="center" vertical="center" wrapText="1"/>
    </xf>
    <xf numFmtId="0" fontId="51" fillId="0" borderId="21" xfId="5" applyFont="1" applyBorder="1" applyAlignment="1">
      <alignment horizontal="center" vertical="center" wrapText="1"/>
    </xf>
    <xf numFmtId="0" fontId="51" fillId="0" borderId="22" xfId="5" applyFont="1" applyBorder="1" applyAlignment="1">
      <alignment horizontal="center" vertical="center" wrapText="1"/>
    </xf>
    <xf numFmtId="0" fontId="49" fillId="0" borderId="26" xfId="5" applyFont="1" applyBorder="1" applyAlignment="1">
      <alignment horizontal="center" vertical="top" wrapText="1"/>
    </xf>
    <xf numFmtId="0" fontId="49" fillId="0" borderId="25" xfId="5" applyFont="1" applyBorder="1" applyAlignment="1">
      <alignment horizontal="center" vertical="top" wrapText="1"/>
    </xf>
    <xf numFmtId="0" fontId="49" fillId="0" borderId="0" xfId="5" applyFont="1" applyAlignment="1">
      <alignment horizontal="left" vertical="top" wrapText="1"/>
    </xf>
    <xf numFmtId="0" fontId="49" fillId="0" borderId="0" xfId="5" applyFont="1" applyAlignment="1">
      <alignment vertical="center"/>
    </xf>
    <xf numFmtId="0" fontId="55" fillId="0" borderId="0" xfId="5" applyFont="1" applyAlignment="1">
      <alignment horizontal="left" vertical="center"/>
    </xf>
    <xf numFmtId="0" fontId="51" fillId="0" borderId="28" xfId="5" applyFont="1" applyBorder="1" applyAlignment="1">
      <alignment horizontal="center" vertical="center" wrapText="1"/>
    </xf>
    <xf numFmtId="0" fontId="51" fillId="0" borderId="27" xfId="5" applyFont="1" applyBorder="1" applyAlignment="1">
      <alignment horizontal="center" vertical="center" wrapText="1"/>
    </xf>
    <xf numFmtId="171" fontId="51" fillId="0" borderId="0" xfId="5" applyNumberFormat="1" applyFont="1" applyAlignment="1">
      <alignment horizontal="left" vertical="center"/>
    </xf>
    <xf numFmtId="171" fontId="49" fillId="0" borderId="0" xfId="5" applyNumberFormat="1" applyFont="1" applyAlignment="1">
      <alignment horizontal="left" vertical="center"/>
    </xf>
    <xf numFmtId="0" fontId="52" fillId="0" borderId="5" xfId="5" applyFont="1" applyBorder="1" applyAlignment="1">
      <alignment horizontal="center" vertical="top" wrapText="1"/>
    </xf>
    <xf numFmtId="0" fontId="52" fillId="0" borderId="14" xfId="5" applyFont="1" applyBorder="1" applyAlignment="1">
      <alignment horizontal="center" vertical="top" wrapText="1"/>
    </xf>
    <xf numFmtId="0" fontId="52" fillId="0" borderId="4" xfId="5" applyFont="1" applyBorder="1" applyAlignment="1">
      <alignment horizontal="center" vertical="top" wrapText="1"/>
    </xf>
    <xf numFmtId="0" fontId="52" fillId="0" borderId="8" xfId="5" applyFont="1" applyBorder="1" applyAlignment="1">
      <alignment horizontal="center" vertical="top" wrapText="1"/>
    </xf>
    <xf numFmtId="0" fontId="52" fillId="0" borderId="13" xfId="5" applyFont="1" applyBorder="1" applyAlignment="1">
      <alignment horizontal="center" vertical="top" wrapText="1"/>
    </xf>
    <xf numFmtId="0" fontId="52" fillId="0" borderId="0" xfId="5" applyFont="1" applyAlignment="1">
      <alignment horizontal="left" vertical="top" wrapText="1"/>
    </xf>
    <xf numFmtId="0" fontId="58" fillId="0" borderId="0" xfId="5" applyFont="1" applyAlignment="1">
      <alignment horizontal="left" vertical="top" wrapText="1"/>
    </xf>
    <xf numFmtId="0" fontId="51" fillId="0" borderId="12" xfId="5" applyFont="1" applyBorder="1" applyAlignment="1">
      <alignment horizontal="left" vertical="center"/>
    </xf>
    <xf numFmtId="0" fontId="51" fillId="0" borderId="4" xfId="5" applyFont="1" applyBorder="1" applyAlignment="1">
      <alignment horizontal="left" vertical="center"/>
    </xf>
    <xf numFmtId="0" fontId="51" fillId="0" borderId="6" xfId="5" applyFont="1" applyBorder="1" applyAlignment="1">
      <alignment horizontal="left" vertical="center"/>
    </xf>
    <xf numFmtId="0" fontId="51" fillId="0" borderId="29" xfId="5" applyFont="1" applyBorder="1" applyAlignment="1">
      <alignment horizontal="center" vertical="top" wrapText="1"/>
    </xf>
    <xf numFmtId="2" fontId="55" fillId="0" borderId="0" xfId="5" applyNumberFormat="1" applyFont="1" applyAlignment="1">
      <alignment horizontal="right" vertical="top"/>
    </xf>
    <xf numFmtId="2" fontId="55" fillId="0" borderId="32" xfId="5" applyNumberFormat="1" applyFont="1" applyBorder="1" applyAlignment="1">
      <alignment horizontal="right" vertical="top"/>
    </xf>
    <xf numFmtId="0" fontId="49" fillId="0" borderId="5" xfId="5" applyFont="1" applyBorder="1" applyAlignment="1">
      <alignment horizontal="center"/>
    </xf>
    <xf numFmtId="0" fontId="55" fillId="0" borderId="0" xfId="5" applyFont="1" applyAlignment="1">
      <alignment horizontal="left" vertical="center" wrapText="1"/>
    </xf>
    <xf numFmtId="0" fontId="49" fillId="0" borderId="0" xfId="5" applyFont="1" applyAlignment="1">
      <alignment horizontal="right" vertical="center" wrapText="1"/>
    </xf>
    <xf numFmtId="0" fontId="49" fillId="0" borderId="32" xfId="5" applyFont="1" applyBorder="1" applyAlignment="1">
      <alignment horizontal="right" vertical="center" wrapText="1"/>
    </xf>
    <xf numFmtId="175" fontId="51" fillId="0" borderId="26" xfId="5" applyNumberFormat="1" applyFont="1" applyBorder="1" applyAlignment="1">
      <alignment horizontal="left" vertical="top"/>
    </xf>
    <xf numFmtId="175" fontId="51" fillId="0" borderId="25" xfId="5" applyNumberFormat="1" applyFont="1" applyBorder="1" applyAlignment="1">
      <alignment horizontal="left" vertical="top"/>
    </xf>
    <xf numFmtId="0" fontId="49" fillId="0" borderId="5" xfId="5" applyFont="1" applyBorder="1" applyAlignment="1">
      <alignment horizontal="center" vertical="top" wrapText="1"/>
    </xf>
    <xf numFmtId="0" fontId="49" fillId="0" borderId="5" xfId="5" applyFont="1" applyBorder="1" applyAlignment="1">
      <alignment horizontal="center" vertical="center" wrapText="1"/>
    </xf>
    <xf numFmtId="2" fontId="51" fillId="0" borderId="30" xfId="5" applyNumberFormat="1" applyFont="1" applyBorder="1" applyAlignment="1">
      <alignment horizontal="center" vertical="top" wrapText="1"/>
    </xf>
    <xf numFmtId="2" fontId="51" fillId="0" borderId="31" xfId="5" applyNumberFormat="1" applyFont="1" applyBorder="1" applyAlignment="1">
      <alignment horizontal="center" vertical="top" wrapText="1"/>
    </xf>
    <xf numFmtId="0" fontId="49" fillId="0" borderId="26" xfId="5" applyFont="1" applyBorder="1" applyAlignment="1">
      <alignment horizontal="left" vertical="top" wrapText="1"/>
    </xf>
    <xf numFmtId="0" fontId="49" fillId="0" borderId="25" xfId="5" applyFont="1" applyBorder="1" applyAlignment="1">
      <alignment horizontal="left" vertical="top" wrapText="1"/>
    </xf>
    <xf numFmtId="0" fontId="51" fillId="0" borderId="5" xfId="5" applyFont="1" applyBorder="1" applyAlignment="1">
      <alignment horizontal="center" vertical="center" wrapText="1"/>
    </xf>
    <xf numFmtId="2" fontId="49" fillId="0" borderId="26" xfId="5" applyNumberFormat="1" applyFont="1" applyBorder="1" applyAlignment="1">
      <alignment horizontal="center" vertical="top" wrapText="1"/>
    </xf>
    <xf numFmtId="2" fontId="49" fillId="0" borderId="25" xfId="5" applyNumberFormat="1" applyFont="1" applyBorder="1" applyAlignment="1">
      <alignment horizontal="center" vertical="top" wrapText="1"/>
    </xf>
    <xf numFmtId="2" fontId="51" fillId="0" borderId="21" xfId="5" applyNumberFormat="1" applyFont="1" applyBorder="1" applyAlignment="1">
      <alignment horizontal="center" vertical="top" wrapText="1"/>
    </xf>
    <xf numFmtId="2" fontId="51" fillId="0" borderId="22" xfId="5" applyNumberFormat="1" applyFont="1" applyBorder="1" applyAlignment="1">
      <alignment horizontal="center" vertical="top" wrapText="1"/>
    </xf>
    <xf numFmtId="0" fontId="49" fillId="0" borderId="14" xfId="5" applyFont="1" applyBorder="1" applyAlignment="1">
      <alignment horizontal="center" vertical="top" wrapText="1"/>
    </xf>
    <xf numFmtId="0" fontId="49" fillId="0" borderId="8" xfId="5" applyFont="1" applyBorder="1" applyAlignment="1">
      <alignment horizontal="center" vertical="top" wrapText="1"/>
    </xf>
    <xf numFmtId="0" fontId="49" fillId="0" borderId="13" xfId="5" applyFont="1" applyBorder="1" applyAlignment="1">
      <alignment horizontal="center" vertical="top" wrapText="1"/>
    </xf>
    <xf numFmtId="2" fontId="51" fillId="0" borderId="26" xfId="5" applyNumberFormat="1" applyFont="1" applyBorder="1" applyAlignment="1">
      <alignment horizontal="center" vertical="center"/>
    </xf>
    <xf numFmtId="2" fontId="51" fillId="0" borderId="25" xfId="5" applyNumberFormat="1" applyFont="1" applyBorder="1" applyAlignment="1">
      <alignment horizontal="center" vertical="center"/>
    </xf>
    <xf numFmtId="9" fontId="49" fillId="0" borderId="26" xfId="5" applyNumberFormat="1" applyFont="1" applyBorder="1" applyAlignment="1">
      <alignment horizontal="center"/>
    </xf>
    <xf numFmtId="9" fontId="49" fillId="0" borderId="25" xfId="5" applyNumberFormat="1" applyFont="1" applyBorder="1" applyAlignment="1">
      <alignment horizontal="center"/>
    </xf>
    <xf numFmtId="0" fontId="55" fillId="0" borderId="0" xfId="5" applyFont="1" applyAlignment="1">
      <alignment horizontal="right" vertical="top" wrapText="1"/>
    </xf>
    <xf numFmtId="0" fontId="55" fillId="0" borderId="32" xfId="5" applyFont="1" applyBorder="1" applyAlignment="1">
      <alignment horizontal="right" vertical="top" wrapText="1"/>
    </xf>
    <xf numFmtId="9" fontId="49" fillId="0" borderId="30" xfId="5" quotePrefix="1" applyNumberFormat="1" applyFont="1" applyBorder="1" applyAlignment="1">
      <alignment horizontal="center" vertical="top" wrapText="1"/>
    </xf>
    <xf numFmtId="0" fontId="49" fillId="0" borderId="31" xfId="5" applyFont="1" applyBorder="1" applyAlignment="1">
      <alignment horizontal="center" vertical="top" wrapText="1"/>
    </xf>
    <xf numFmtId="167" fontId="26" fillId="0" borderId="5" xfId="15" applyNumberFormat="1" applyBorder="1" applyAlignment="1">
      <alignment horizontal="center"/>
    </xf>
    <xf numFmtId="167" fontId="28" fillId="0" borderId="5" xfId="15" applyNumberFormat="1" applyFont="1" applyBorder="1" applyAlignment="1">
      <alignment horizontal="center"/>
    </xf>
    <xf numFmtId="167" fontId="36" fillId="0" borderId="0" xfId="22" applyNumberFormat="1" applyFont="1" applyAlignment="1">
      <alignment horizontal="center"/>
    </xf>
    <xf numFmtId="167" fontId="36" fillId="2" borderId="0" xfId="22" applyNumberFormat="1" applyFont="1" applyFill="1" applyAlignment="1">
      <alignment horizontal="center"/>
    </xf>
    <xf numFmtId="167" fontId="36" fillId="2" borderId="0" xfId="22" applyNumberFormat="1" applyFont="1" applyFill="1" applyAlignment="1">
      <alignment horizontal="center" vertical="center" wrapText="1"/>
    </xf>
    <xf numFmtId="167" fontId="30" fillId="0" borderId="0" xfId="22" applyNumberFormat="1" applyFont="1" applyAlignment="1">
      <alignment horizontal="center"/>
    </xf>
    <xf numFmtId="167" fontId="30" fillId="2" borderId="0" xfId="22" applyNumberFormat="1" applyFont="1" applyFill="1" applyAlignment="1">
      <alignment horizontal="center"/>
    </xf>
    <xf numFmtId="2" fontId="33" fillId="0" borderId="12" xfId="22" applyNumberFormat="1" applyBorder="1" applyAlignment="1">
      <alignment horizontal="center" vertical="top"/>
    </xf>
    <xf numFmtId="2" fontId="33" fillId="0" borderId="4" xfId="22" applyNumberFormat="1" applyBorder="1" applyAlignment="1">
      <alignment horizontal="center" vertical="top"/>
    </xf>
    <xf numFmtId="2" fontId="33" fillId="0" borderId="6" xfId="22" applyNumberFormat="1" applyBorder="1" applyAlignment="1">
      <alignment horizontal="center" vertical="top"/>
    </xf>
    <xf numFmtId="167" fontId="30" fillId="0" borderId="14" xfId="0" applyFont="1" applyBorder="1" applyAlignment="1">
      <alignment horizontal="right" vertical="center"/>
    </xf>
    <xf numFmtId="167" fontId="30" fillId="0" borderId="8" xfId="0" applyFont="1" applyBorder="1" applyAlignment="1">
      <alignment horizontal="right" vertical="center"/>
    </xf>
    <xf numFmtId="167" fontId="30" fillId="0" borderId="13" xfId="0" applyFont="1" applyBorder="1" applyAlignment="1">
      <alignment horizontal="right" vertical="center"/>
    </xf>
    <xf numFmtId="167" fontId="84" fillId="0" borderId="0" xfId="0" applyFont="1" applyAlignment="1">
      <alignment horizontal="right" vertical="center"/>
    </xf>
    <xf numFmtId="167" fontId="36" fillId="0" borderId="14" xfId="0" applyFont="1" applyBorder="1" applyAlignment="1">
      <alignment horizontal="right" vertical="center"/>
    </xf>
    <xf numFmtId="167" fontId="36" fillId="0" borderId="8" xfId="0" applyFont="1" applyBorder="1" applyAlignment="1">
      <alignment horizontal="right" vertical="center"/>
    </xf>
    <xf numFmtId="167" fontId="36" fillId="0" borderId="13" xfId="0" applyFont="1" applyBorder="1" applyAlignment="1">
      <alignment horizontal="right" vertical="center"/>
    </xf>
    <xf numFmtId="167" fontId="120" fillId="0" borderId="0" xfId="0" applyFont="1" applyAlignment="1">
      <alignment vertical="center"/>
    </xf>
    <xf numFmtId="167" fontId="99" fillId="0" borderId="5" xfId="0" applyFont="1" applyBorder="1" applyAlignment="1">
      <alignment horizontal="center" vertical="center"/>
    </xf>
    <xf numFmtId="168" fontId="96" fillId="0" borderId="41" xfId="0" applyNumberFormat="1" applyFont="1" applyBorder="1" applyAlignment="1">
      <alignment horizontal="center" vertical="center"/>
    </xf>
    <xf numFmtId="167" fontId="152" fillId="0" borderId="20" xfId="22" applyNumberFormat="1" applyFont="1" applyBorder="1" applyAlignment="1">
      <alignment horizontal="left" vertical="top" wrapText="1"/>
    </xf>
    <xf numFmtId="167" fontId="158" fillId="0" borderId="0" xfId="0" applyFont="1" applyAlignment="1">
      <alignment horizontal="center"/>
    </xf>
  </cellXfs>
  <cellStyles count="2762">
    <cellStyle name="20% - Accent1 2" xfId="97" xr:uid="{00000000-0005-0000-0000-000000000000}"/>
    <cellStyle name="20% - Accent2 2" xfId="98" xr:uid="{00000000-0005-0000-0000-000001000000}"/>
    <cellStyle name="20% - Accent3 2" xfId="99" xr:uid="{00000000-0005-0000-0000-000002000000}"/>
    <cellStyle name="20% - Accent4 2" xfId="100" xr:uid="{00000000-0005-0000-0000-000003000000}"/>
    <cellStyle name="20% - Accent5 2" xfId="101" xr:uid="{00000000-0005-0000-0000-000004000000}"/>
    <cellStyle name="20% - Accent6 2" xfId="102" xr:uid="{00000000-0005-0000-0000-000005000000}"/>
    <cellStyle name="40% - Accent1 2" xfId="103" xr:uid="{00000000-0005-0000-0000-000006000000}"/>
    <cellStyle name="40% - Accent2 2" xfId="104" xr:uid="{00000000-0005-0000-0000-000007000000}"/>
    <cellStyle name="40% - Accent3 2" xfId="105" xr:uid="{00000000-0005-0000-0000-000008000000}"/>
    <cellStyle name="40% - Accent4 2" xfId="106" xr:uid="{00000000-0005-0000-0000-000009000000}"/>
    <cellStyle name="40% - Accent5 2" xfId="107" xr:uid="{00000000-0005-0000-0000-00000A000000}"/>
    <cellStyle name="40% - Accent6 2" xfId="108" xr:uid="{00000000-0005-0000-0000-00000B000000}"/>
    <cellStyle name="60% - Accent1 2" xfId="109" xr:uid="{00000000-0005-0000-0000-00000C000000}"/>
    <cellStyle name="60% - Accent2 2" xfId="110" xr:uid="{00000000-0005-0000-0000-00000D000000}"/>
    <cellStyle name="60% - Accent3 2" xfId="111" xr:uid="{00000000-0005-0000-0000-00000E000000}"/>
    <cellStyle name="60% - Accent4 2" xfId="112" xr:uid="{00000000-0005-0000-0000-00000F000000}"/>
    <cellStyle name="60% - Accent5 2" xfId="113" xr:uid="{00000000-0005-0000-0000-000010000000}"/>
    <cellStyle name="60% - Accent6 2" xfId="114" xr:uid="{00000000-0005-0000-0000-000011000000}"/>
    <cellStyle name="Accent1 2" xfId="115" xr:uid="{00000000-0005-0000-0000-000012000000}"/>
    <cellStyle name="Accent2 2" xfId="116" xr:uid="{00000000-0005-0000-0000-000013000000}"/>
    <cellStyle name="Accent3 2" xfId="117" xr:uid="{00000000-0005-0000-0000-000014000000}"/>
    <cellStyle name="Accent4 2" xfId="118" xr:uid="{00000000-0005-0000-0000-000015000000}"/>
    <cellStyle name="Accent5 2" xfId="119" xr:uid="{00000000-0005-0000-0000-000016000000}"/>
    <cellStyle name="Accent6 2" xfId="120" xr:uid="{00000000-0005-0000-0000-000017000000}"/>
    <cellStyle name="Bad 2" xfId="121" xr:uid="{00000000-0005-0000-0000-000018000000}"/>
    <cellStyle name="Calculation 2" xfId="122" xr:uid="{00000000-0005-0000-0000-000019000000}"/>
    <cellStyle name="Calculation 2 2" xfId="791" xr:uid="{00000000-0005-0000-0000-00001A000000}"/>
    <cellStyle name="Check Cell 2" xfId="123" xr:uid="{00000000-0005-0000-0000-00001B000000}"/>
    <cellStyle name="Comma 2" xfId="95" xr:uid="{00000000-0005-0000-0000-00001C000000}"/>
    <cellStyle name="Comma 2 2" xfId="146" xr:uid="{00000000-0005-0000-0000-00001D000000}"/>
    <cellStyle name="Comma 2 2 2" xfId="729" xr:uid="{00000000-0005-0000-0000-00001E000000}"/>
    <cellStyle name="Comma 2 2 3" xfId="730" xr:uid="{00000000-0005-0000-0000-00001F000000}"/>
    <cellStyle name="Comma 2 2 4" xfId="731" xr:uid="{00000000-0005-0000-0000-000020000000}"/>
    <cellStyle name="Comma 2 3" xfId="139" xr:uid="{00000000-0005-0000-0000-000021000000}"/>
    <cellStyle name="Comma 2 4" xfId="245" xr:uid="{00000000-0005-0000-0000-000022000000}"/>
    <cellStyle name="Comma 2 5" xfId="732" xr:uid="{00000000-0005-0000-0000-000023000000}"/>
    <cellStyle name="Comma 2 6" xfId="733" xr:uid="{00000000-0005-0000-0000-000024000000}"/>
    <cellStyle name="Comma 2 7" xfId="734" xr:uid="{00000000-0005-0000-0000-000025000000}"/>
    <cellStyle name="Comma 3" xfId="28" xr:uid="{00000000-0005-0000-0000-000026000000}"/>
    <cellStyle name="Comma 4" xfId="147" xr:uid="{00000000-0005-0000-0000-000027000000}"/>
    <cellStyle name="Comma 4 2" xfId="751" xr:uid="{00000000-0005-0000-0000-000028000000}"/>
    <cellStyle name="Comma 5" xfId="735" xr:uid="{00000000-0005-0000-0000-000029000000}"/>
    <cellStyle name="Currency" xfId="2732" builtinId="4"/>
    <cellStyle name="Currency 2" xfId="736" xr:uid="{00000000-0005-0000-0000-00002B000000}"/>
    <cellStyle name="Currency 3" xfId="752" xr:uid="{00000000-0005-0000-0000-00002C000000}"/>
    <cellStyle name="Excel Built-in Normal" xfId="148" xr:uid="{00000000-0005-0000-0000-00002D000000}"/>
    <cellStyle name="Explanatory Text 2" xfId="124" xr:uid="{00000000-0005-0000-0000-00002E000000}"/>
    <cellStyle name="Good 2" xfId="125" xr:uid="{00000000-0005-0000-0000-00002F000000}"/>
    <cellStyle name="Heading 1 2" xfId="126" xr:uid="{00000000-0005-0000-0000-000030000000}"/>
    <cellStyle name="Heading 2 2" xfId="127" xr:uid="{00000000-0005-0000-0000-000031000000}"/>
    <cellStyle name="Heading 3 2" xfId="128" xr:uid="{00000000-0005-0000-0000-000032000000}"/>
    <cellStyle name="Heading 4 2" xfId="129" xr:uid="{00000000-0005-0000-0000-000033000000}"/>
    <cellStyle name="Hyperlink 2" xfId="149" xr:uid="{00000000-0005-0000-0000-000035000000}"/>
    <cellStyle name="Hyperlink 2 2" xfId="150" xr:uid="{00000000-0005-0000-0000-000036000000}"/>
    <cellStyle name="Hyperlink 3" xfId="246" xr:uid="{00000000-0005-0000-0000-000037000000}"/>
    <cellStyle name="Input 2" xfId="130" xr:uid="{00000000-0005-0000-0000-000038000000}"/>
    <cellStyle name="Input 2 2" xfId="792" xr:uid="{00000000-0005-0000-0000-000039000000}"/>
    <cellStyle name="Linked Cell 2" xfId="131" xr:uid="{00000000-0005-0000-0000-00003A000000}"/>
    <cellStyle name="Neutral 2" xfId="132" xr:uid="{00000000-0005-0000-0000-00003B000000}"/>
    <cellStyle name="Normal" xfId="0" builtinId="0"/>
    <cellStyle name="Normal 10" xfId="8" xr:uid="{00000000-0005-0000-0000-00003D000000}"/>
    <cellStyle name="Normal 10 10" xfId="421" xr:uid="{00000000-0005-0000-0000-00003E000000}"/>
    <cellStyle name="Normal 10 10 2" xfId="793" xr:uid="{00000000-0005-0000-0000-00003F000000}"/>
    <cellStyle name="Normal 10 10 3" xfId="794" xr:uid="{00000000-0005-0000-0000-000040000000}"/>
    <cellStyle name="Normal 10 10 4" xfId="795" xr:uid="{00000000-0005-0000-0000-000041000000}"/>
    <cellStyle name="Normal 10 11" xfId="785" xr:uid="{00000000-0005-0000-0000-000042000000}"/>
    <cellStyle name="Normal 10 11 2" xfId="796" xr:uid="{00000000-0005-0000-0000-000043000000}"/>
    <cellStyle name="Normal 10 12" xfId="786" xr:uid="{00000000-0005-0000-0000-000044000000}"/>
    <cellStyle name="Normal 10 13" xfId="789" xr:uid="{00000000-0005-0000-0000-000045000000}"/>
    <cellStyle name="Normal 10 14" xfId="797" xr:uid="{00000000-0005-0000-0000-000046000000}"/>
    <cellStyle name="Normal 10 15" xfId="798" xr:uid="{00000000-0005-0000-0000-000047000000}"/>
    <cellStyle name="Normal 10 16" xfId="799" xr:uid="{00000000-0005-0000-0000-000048000000}"/>
    <cellStyle name="Normal 10 2" xfId="37" xr:uid="{00000000-0005-0000-0000-000049000000}"/>
    <cellStyle name="Normal 10 2 2" xfId="76" xr:uid="{00000000-0005-0000-0000-00004A000000}"/>
    <cellStyle name="Normal 10 2 2 2" xfId="151" xr:uid="{00000000-0005-0000-0000-00004B000000}"/>
    <cellStyle name="Normal 10 2 2 2 2" xfId="247" xr:uid="{00000000-0005-0000-0000-00004C000000}"/>
    <cellStyle name="Normal 10 2 2 2 2 2" xfId="577" xr:uid="{00000000-0005-0000-0000-00004D000000}"/>
    <cellStyle name="Normal 10 2 2 2 2 2 2" xfId="800" xr:uid="{00000000-0005-0000-0000-00004E000000}"/>
    <cellStyle name="Normal 10 2 2 2 2 2 3" xfId="801" xr:uid="{00000000-0005-0000-0000-00004F000000}"/>
    <cellStyle name="Normal 10 2 2 2 2 2 4" xfId="802" xr:uid="{00000000-0005-0000-0000-000050000000}"/>
    <cellStyle name="Normal 10 2 2 2 2 3" xfId="803" xr:uid="{00000000-0005-0000-0000-000051000000}"/>
    <cellStyle name="Normal 10 2 2 2 2 4" xfId="804" xr:uid="{00000000-0005-0000-0000-000052000000}"/>
    <cellStyle name="Normal 10 2 2 2 2 5" xfId="805" xr:uid="{00000000-0005-0000-0000-000053000000}"/>
    <cellStyle name="Normal 10 2 2 2 3" xfId="496" xr:uid="{00000000-0005-0000-0000-000054000000}"/>
    <cellStyle name="Normal 10 2 2 2 3 2" xfId="806" xr:uid="{00000000-0005-0000-0000-000055000000}"/>
    <cellStyle name="Normal 10 2 2 2 3 3" xfId="807" xr:uid="{00000000-0005-0000-0000-000056000000}"/>
    <cellStyle name="Normal 10 2 2 2 3 4" xfId="808" xr:uid="{00000000-0005-0000-0000-000057000000}"/>
    <cellStyle name="Normal 10 2 2 2 4" xfId="809" xr:uid="{00000000-0005-0000-0000-000058000000}"/>
    <cellStyle name="Normal 10 2 2 2 5" xfId="810" xr:uid="{00000000-0005-0000-0000-000059000000}"/>
    <cellStyle name="Normal 10 2 2 2 6" xfId="811" xr:uid="{00000000-0005-0000-0000-00005A000000}"/>
    <cellStyle name="Normal 10 2 2 3" xfId="248" xr:uid="{00000000-0005-0000-0000-00005B000000}"/>
    <cellStyle name="Normal 10 2 2 3 2" xfId="578" xr:uid="{00000000-0005-0000-0000-00005C000000}"/>
    <cellStyle name="Normal 10 2 2 3 2 2" xfId="812" xr:uid="{00000000-0005-0000-0000-00005D000000}"/>
    <cellStyle name="Normal 10 2 2 3 2 3" xfId="813" xr:uid="{00000000-0005-0000-0000-00005E000000}"/>
    <cellStyle name="Normal 10 2 2 3 2 4" xfId="814" xr:uid="{00000000-0005-0000-0000-00005F000000}"/>
    <cellStyle name="Normal 10 2 2 3 3" xfId="815" xr:uid="{00000000-0005-0000-0000-000060000000}"/>
    <cellStyle name="Normal 10 2 2 3 4" xfId="816" xr:uid="{00000000-0005-0000-0000-000061000000}"/>
    <cellStyle name="Normal 10 2 2 3 5" xfId="817" xr:uid="{00000000-0005-0000-0000-000062000000}"/>
    <cellStyle name="Normal 10 2 2 4" xfId="476" xr:uid="{00000000-0005-0000-0000-000063000000}"/>
    <cellStyle name="Normal 10 2 2 4 2" xfId="818" xr:uid="{00000000-0005-0000-0000-000064000000}"/>
    <cellStyle name="Normal 10 2 2 4 3" xfId="819" xr:uid="{00000000-0005-0000-0000-000065000000}"/>
    <cellStyle name="Normal 10 2 2 4 4" xfId="820" xr:uid="{00000000-0005-0000-0000-000066000000}"/>
    <cellStyle name="Normal 10 2 2 5" xfId="821" xr:uid="{00000000-0005-0000-0000-000067000000}"/>
    <cellStyle name="Normal 10 2 2 6" xfId="822" xr:uid="{00000000-0005-0000-0000-000068000000}"/>
    <cellStyle name="Normal 10 2 2 7" xfId="823" xr:uid="{00000000-0005-0000-0000-000069000000}"/>
    <cellStyle name="Normal 10 2 3" xfId="152" xr:uid="{00000000-0005-0000-0000-00006A000000}"/>
    <cellStyle name="Normal 10 2 3 2" xfId="249" xr:uid="{00000000-0005-0000-0000-00006B000000}"/>
    <cellStyle name="Normal 10 2 3 2 2" xfId="579" xr:uid="{00000000-0005-0000-0000-00006C000000}"/>
    <cellStyle name="Normal 10 2 3 2 2 2" xfId="824" xr:uid="{00000000-0005-0000-0000-00006D000000}"/>
    <cellStyle name="Normal 10 2 3 2 2 3" xfId="825" xr:uid="{00000000-0005-0000-0000-00006E000000}"/>
    <cellStyle name="Normal 10 2 3 2 2 4" xfId="826" xr:uid="{00000000-0005-0000-0000-00006F000000}"/>
    <cellStyle name="Normal 10 2 3 2 3" xfId="827" xr:uid="{00000000-0005-0000-0000-000070000000}"/>
    <cellStyle name="Normal 10 2 3 2 4" xfId="828" xr:uid="{00000000-0005-0000-0000-000071000000}"/>
    <cellStyle name="Normal 10 2 3 2 5" xfId="829" xr:uid="{00000000-0005-0000-0000-000072000000}"/>
    <cellStyle name="Normal 10 2 3 3" xfId="497" xr:uid="{00000000-0005-0000-0000-000073000000}"/>
    <cellStyle name="Normal 10 2 3 3 2" xfId="830" xr:uid="{00000000-0005-0000-0000-000074000000}"/>
    <cellStyle name="Normal 10 2 3 3 3" xfId="831" xr:uid="{00000000-0005-0000-0000-000075000000}"/>
    <cellStyle name="Normal 10 2 3 3 4" xfId="832" xr:uid="{00000000-0005-0000-0000-000076000000}"/>
    <cellStyle name="Normal 10 2 3 4" xfId="833" xr:uid="{00000000-0005-0000-0000-000077000000}"/>
    <cellStyle name="Normal 10 2 3 5" xfId="834" xr:uid="{00000000-0005-0000-0000-000078000000}"/>
    <cellStyle name="Normal 10 2 3 6" xfId="835" xr:uid="{00000000-0005-0000-0000-000079000000}"/>
    <cellStyle name="Normal 10 2 4" xfId="250" xr:uid="{00000000-0005-0000-0000-00007A000000}"/>
    <cellStyle name="Normal 10 2 4 2" xfId="580" xr:uid="{00000000-0005-0000-0000-00007B000000}"/>
    <cellStyle name="Normal 10 2 4 2 2" xfId="836" xr:uid="{00000000-0005-0000-0000-00007C000000}"/>
    <cellStyle name="Normal 10 2 4 2 3" xfId="837" xr:uid="{00000000-0005-0000-0000-00007D000000}"/>
    <cellStyle name="Normal 10 2 4 2 4" xfId="838" xr:uid="{00000000-0005-0000-0000-00007E000000}"/>
    <cellStyle name="Normal 10 2 4 3" xfId="839" xr:uid="{00000000-0005-0000-0000-00007F000000}"/>
    <cellStyle name="Normal 10 2 4 4" xfId="840" xr:uid="{00000000-0005-0000-0000-000080000000}"/>
    <cellStyle name="Normal 10 2 4 5" xfId="841" xr:uid="{00000000-0005-0000-0000-000081000000}"/>
    <cellStyle name="Normal 10 2 5" xfId="439" xr:uid="{00000000-0005-0000-0000-000082000000}"/>
    <cellStyle name="Normal 10 2 5 2" xfId="842" xr:uid="{00000000-0005-0000-0000-000083000000}"/>
    <cellStyle name="Normal 10 2 5 3" xfId="843" xr:uid="{00000000-0005-0000-0000-000084000000}"/>
    <cellStyle name="Normal 10 2 5 4" xfId="844" xr:uid="{00000000-0005-0000-0000-000085000000}"/>
    <cellStyle name="Normal 10 2 6" xfId="845" xr:uid="{00000000-0005-0000-0000-000086000000}"/>
    <cellStyle name="Normal 10 2 7" xfId="846" xr:uid="{00000000-0005-0000-0000-000087000000}"/>
    <cellStyle name="Normal 10 2 8" xfId="847" xr:uid="{00000000-0005-0000-0000-000088000000}"/>
    <cellStyle name="Normal 10 3" xfId="58" xr:uid="{00000000-0005-0000-0000-000089000000}"/>
    <cellStyle name="Normal 10 3 2" xfId="153" xr:uid="{00000000-0005-0000-0000-00008A000000}"/>
    <cellStyle name="Normal 10 3 2 2" xfId="251" xr:uid="{00000000-0005-0000-0000-00008B000000}"/>
    <cellStyle name="Normal 10 3 2 2 2" xfId="581" xr:uid="{00000000-0005-0000-0000-00008C000000}"/>
    <cellStyle name="Normal 10 3 2 2 2 2" xfId="848" xr:uid="{00000000-0005-0000-0000-00008D000000}"/>
    <cellStyle name="Normal 10 3 2 2 2 3" xfId="849" xr:uid="{00000000-0005-0000-0000-00008E000000}"/>
    <cellStyle name="Normal 10 3 2 2 2 4" xfId="850" xr:uid="{00000000-0005-0000-0000-00008F000000}"/>
    <cellStyle name="Normal 10 3 2 2 3" xfId="851" xr:uid="{00000000-0005-0000-0000-000090000000}"/>
    <cellStyle name="Normal 10 3 2 2 4" xfId="852" xr:uid="{00000000-0005-0000-0000-000091000000}"/>
    <cellStyle name="Normal 10 3 2 2 5" xfId="853" xr:uid="{00000000-0005-0000-0000-000092000000}"/>
    <cellStyle name="Normal 10 3 2 3" xfId="498" xr:uid="{00000000-0005-0000-0000-000093000000}"/>
    <cellStyle name="Normal 10 3 2 3 2" xfId="854" xr:uid="{00000000-0005-0000-0000-000094000000}"/>
    <cellStyle name="Normal 10 3 2 3 3" xfId="855" xr:uid="{00000000-0005-0000-0000-000095000000}"/>
    <cellStyle name="Normal 10 3 2 3 4" xfId="856" xr:uid="{00000000-0005-0000-0000-000096000000}"/>
    <cellStyle name="Normal 10 3 2 4" xfId="857" xr:uid="{00000000-0005-0000-0000-000097000000}"/>
    <cellStyle name="Normal 10 3 2 5" xfId="858" xr:uid="{00000000-0005-0000-0000-000098000000}"/>
    <cellStyle name="Normal 10 3 2 6" xfId="859" xr:uid="{00000000-0005-0000-0000-000099000000}"/>
    <cellStyle name="Normal 10 3 3" xfId="252" xr:uid="{00000000-0005-0000-0000-00009A000000}"/>
    <cellStyle name="Normal 10 3 3 2" xfId="582" xr:uid="{00000000-0005-0000-0000-00009B000000}"/>
    <cellStyle name="Normal 10 3 3 2 2" xfId="860" xr:uid="{00000000-0005-0000-0000-00009C000000}"/>
    <cellStyle name="Normal 10 3 3 2 3" xfId="861" xr:uid="{00000000-0005-0000-0000-00009D000000}"/>
    <cellStyle name="Normal 10 3 3 2 4" xfId="862" xr:uid="{00000000-0005-0000-0000-00009E000000}"/>
    <cellStyle name="Normal 10 3 3 3" xfId="863" xr:uid="{00000000-0005-0000-0000-00009F000000}"/>
    <cellStyle name="Normal 10 3 3 4" xfId="864" xr:uid="{00000000-0005-0000-0000-0000A0000000}"/>
    <cellStyle name="Normal 10 3 3 5" xfId="865" xr:uid="{00000000-0005-0000-0000-0000A1000000}"/>
    <cellStyle name="Normal 10 3 4" xfId="458" xr:uid="{00000000-0005-0000-0000-0000A2000000}"/>
    <cellStyle name="Normal 10 3 4 2" xfId="866" xr:uid="{00000000-0005-0000-0000-0000A3000000}"/>
    <cellStyle name="Normal 10 3 4 3" xfId="867" xr:uid="{00000000-0005-0000-0000-0000A4000000}"/>
    <cellStyle name="Normal 10 3 4 4" xfId="868" xr:uid="{00000000-0005-0000-0000-0000A5000000}"/>
    <cellStyle name="Normal 10 3 5" xfId="869" xr:uid="{00000000-0005-0000-0000-0000A6000000}"/>
    <cellStyle name="Normal 10 3 6" xfId="870" xr:uid="{00000000-0005-0000-0000-0000A7000000}"/>
    <cellStyle name="Normal 10 3 7" xfId="871" xr:uid="{00000000-0005-0000-0000-0000A8000000}"/>
    <cellStyle name="Normal 10 4" xfId="89" xr:uid="{00000000-0005-0000-0000-0000A9000000}"/>
    <cellStyle name="Normal 10 4 2" xfId="253" xr:uid="{00000000-0005-0000-0000-0000AA000000}"/>
    <cellStyle name="Normal 10 4 2 2" xfId="583" xr:uid="{00000000-0005-0000-0000-0000AB000000}"/>
    <cellStyle name="Normal 10 4 2 2 2" xfId="872" xr:uid="{00000000-0005-0000-0000-0000AC000000}"/>
    <cellStyle name="Normal 10 4 2 2 3" xfId="873" xr:uid="{00000000-0005-0000-0000-0000AD000000}"/>
    <cellStyle name="Normal 10 4 2 2 4" xfId="874" xr:uid="{00000000-0005-0000-0000-0000AE000000}"/>
    <cellStyle name="Normal 10 4 2 3" xfId="875" xr:uid="{00000000-0005-0000-0000-0000AF000000}"/>
    <cellStyle name="Normal 10 4 2 4" xfId="876" xr:uid="{00000000-0005-0000-0000-0000B0000000}"/>
    <cellStyle name="Normal 10 4 2 5" xfId="877" xr:uid="{00000000-0005-0000-0000-0000B1000000}"/>
    <cellStyle name="Normal 10 4 3" xfId="489" xr:uid="{00000000-0005-0000-0000-0000B2000000}"/>
    <cellStyle name="Normal 10 4 3 2" xfId="878" xr:uid="{00000000-0005-0000-0000-0000B3000000}"/>
    <cellStyle name="Normal 10 4 3 3" xfId="879" xr:uid="{00000000-0005-0000-0000-0000B4000000}"/>
    <cellStyle name="Normal 10 4 3 4" xfId="880" xr:uid="{00000000-0005-0000-0000-0000B5000000}"/>
    <cellStyle name="Normal 10 4 4" xfId="881" xr:uid="{00000000-0005-0000-0000-0000B6000000}"/>
    <cellStyle name="Normal 10 4 5" xfId="882" xr:uid="{00000000-0005-0000-0000-0000B7000000}"/>
    <cellStyle name="Normal 10 4 6" xfId="883" xr:uid="{00000000-0005-0000-0000-0000B8000000}"/>
    <cellStyle name="Normal 10 5" xfId="141" xr:uid="{00000000-0005-0000-0000-0000B9000000}"/>
    <cellStyle name="Normal 10 5 2" xfId="495" xr:uid="{00000000-0005-0000-0000-0000BA000000}"/>
    <cellStyle name="Normal 10 5 2 2" xfId="884" xr:uid="{00000000-0005-0000-0000-0000BB000000}"/>
    <cellStyle name="Normal 10 5 2 3" xfId="885" xr:uid="{00000000-0005-0000-0000-0000BC000000}"/>
    <cellStyle name="Normal 10 5 2 4" xfId="886" xr:uid="{00000000-0005-0000-0000-0000BD000000}"/>
    <cellStyle name="Normal 10 5 3" xfId="887" xr:uid="{00000000-0005-0000-0000-0000BE000000}"/>
    <cellStyle name="Normal 10 5 4" xfId="888" xr:uid="{00000000-0005-0000-0000-0000BF000000}"/>
    <cellStyle name="Normal 10 5 5" xfId="889" xr:uid="{00000000-0005-0000-0000-0000C0000000}"/>
    <cellStyle name="Normal 10 6" xfId="238" xr:uid="{00000000-0005-0000-0000-0000C1000000}"/>
    <cellStyle name="Normal 10 6 2" xfId="415" xr:uid="{00000000-0005-0000-0000-0000C2000000}"/>
    <cellStyle name="Normal 10 6 2 2" xfId="890" xr:uid="{00000000-0005-0000-0000-0000C3000000}"/>
    <cellStyle name="Normal 10 6 2 3" xfId="891" xr:uid="{00000000-0005-0000-0000-0000C4000000}"/>
    <cellStyle name="Normal 10 6 2 4" xfId="892" xr:uid="{00000000-0005-0000-0000-0000C5000000}"/>
    <cellStyle name="Normal 10 6 3" xfId="574" xr:uid="{00000000-0005-0000-0000-0000C6000000}"/>
    <cellStyle name="Normal 10 6 3 2" xfId="893" xr:uid="{00000000-0005-0000-0000-0000C7000000}"/>
    <cellStyle name="Normal 10 6 3 3" xfId="894" xr:uid="{00000000-0005-0000-0000-0000C8000000}"/>
    <cellStyle name="Normal 10 6 3 4" xfId="895" xr:uid="{00000000-0005-0000-0000-0000C9000000}"/>
    <cellStyle name="Normal 10 6 4" xfId="790" xr:uid="{00000000-0005-0000-0000-0000CA000000}"/>
    <cellStyle name="Normal 10 6 5" xfId="896" xr:uid="{00000000-0005-0000-0000-0000CB000000}"/>
    <cellStyle name="Normal 10 6 6" xfId="897" xr:uid="{00000000-0005-0000-0000-0000CC000000}"/>
    <cellStyle name="Normal 10 7" xfId="254" xr:uid="{00000000-0005-0000-0000-0000CD000000}"/>
    <cellStyle name="Normal 10 7 2" xfId="584" xr:uid="{00000000-0005-0000-0000-0000CE000000}"/>
    <cellStyle name="Normal 10 7 2 2" xfId="898" xr:uid="{00000000-0005-0000-0000-0000CF000000}"/>
    <cellStyle name="Normal 10 7 2 3" xfId="899" xr:uid="{00000000-0005-0000-0000-0000D0000000}"/>
    <cellStyle name="Normal 10 7 2 4" xfId="900" xr:uid="{00000000-0005-0000-0000-0000D1000000}"/>
    <cellStyle name="Normal 10 7 3" xfId="901" xr:uid="{00000000-0005-0000-0000-0000D2000000}"/>
    <cellStyle name="Normal 10 7 4" xfId="902" xr:uid="{00000000-0005-0000-0000-0000D3000000}"/>
    <cellStyle name="Normal 10 7 5" xfId="903" xr:uid="{00000000-0005-0000-0000-0000D4000000}"/>
    <cellStyle name="Normal 10 8" xfId="407" xr:uid="{00000000-0005-0000-0000-0000D5000000}"/>
    <cellStyle name="Normal 10 8 2" xfId="904" xr:uid="{00000000-0005-0000-0000-0000D6000000}"/>
    <cellStyle name="Normal 10 8 3" xfId="905" xr:uid="{00000000-0005-0000-0000-0000D7000000}"/>
    <cellStyle name="Normal 10 8 4" xfId="906" xr:uid="{00000000-0005-0000-0000-0000D8000000}"/>
    <cellStyle name="Normal 10 9" xfId="414" xr:uid="{00000000-0005-0000-0000-0000D9000000}"/>
    <cellStyle name="Normal 10 9 2" xfId="787" xr:uid="{00000000-0005-0000-0000-0000DA000000}"/>
    <cellStyle name="Normal 10 9 3" xfId="907" xr:uid="{00000000-0005-0000-0000-0000DB000000}"/>
    <cellStyle name="Normal 10 9 4" xfId="908" xr:uid="{00000000-0005-0000-0000-0000DC000000}"/>
    <cellStyle name="Normal 11" xfId="10" xr:uid="{00000000-0005-0000-0000-0000DD000000}"/>
    <cellStyle name="Normal 11 10" xfId="909" xr:uid="{00000000-0005-0000-0000-0000DE000000}"/>
    <cellStyle name="Normal 11 11" xfId="910" xr:uid="{00000000-0005-0000-0000-0000DF000000}"/>
    <cellStyle name="Normal 11 12" xfId="911" xr:uid="{00000000-0005-0000-0000-0000E0000000}"/>
    <cellStyle name="Normal 11 13" xfId="912" xr:uid="{00000000-0005-0000-0000-0000E1000000}"/>
    <cellStyle name="Normal 11 2" xfId="39" xr:uid="{00000000-0005-0000-0000-0000E2000000}"/>
    <cellStyle name="Normal 11 2 2" xfId="78" xr:uid="{00000000-0005-0000-0000-0000E3000000}"/>
    <cellStyle name="Normal 11 2 2 2" xfId="154" xr:uid="{00000000-0005-0000-0000-0000E4000000}"/>
    <cellStyle name="Normal 11 2 2 2 2" xfId="255" xr:uid="{00000000-0005-0000-0000-0000E5000000}"/>
    <cellStyle name="Normal 11 2 2 2 2 2" xfId="585" xr:uid="{00000000-0005-0000-0000-0000E6000000}"/>
    <cellStyle name="Normal 11 2 2 2 2 2 2" xfId="913" xr:uid="{00000000-0005-0000-0000-0000E7000000}"/>
    <cellStyle name="Normal 11 2 2 2 2 2 3" xfId="914" xr:uid="{00000000-0005-0000-0000-0000E8000000}"/>
    <cellStyle name="Normal 11 2 2 2 2 2 4" xfId="915" xr:uid="{00000000-0005-0000-0000-0000E9000000}"/>
    <cellStyle name="Normal 11 2 2 2 2 3" xfId="916" xr:uid="{00000000-0005-0000-0000-0000EA000000}"/>
    <cellStyle name="Normal 11 2 2 2 2 4" xfId="917" xr:uid="{00000000-0005-0000-0000-0000EB000000}"/>
    <cellStyle name="Normal 11 2 2 2 2 5" xfId="918" xr:uid="{00000000-0005-0000-0000-0000EC000000}"/>
    <cellStyle name="Normal 11 2 2 2 3" xfId="499" xr:uid="{00000000-0005-0000-0000-0000ED000000}"/>
    <cellStyle name="Normal 11 2 2 2 3 2" xfId="919" xr:uid="{00000000-0005-0000-0000-0000EE000000}"/>
    <cellStyle name="Normal 11 2 2 2 3 3" xfId="920" xr:uid="{00000000-0005-0000-0000-0000EF000000}"/>
    <cellStyle name="Normal 11 2 2 2 3 4" xfId="921" xr:uid="{00000000-0005-0000-0000-0000F0000000}"/>
    <cellStyle name="Normal 11 2 2 2 4" xfId="922" xr:uid="{00000000-0005-0000-0000-0000F1000000}"/>
    <cellStyle name="Normal 11 2 2 2 5" xfId="923" xr:uid="{00000000-0005-0000-0000-0000F2000000}"/>
    <cellStyle name="Normal 11 2 2 2 6" xfId="924" xr:uid="{00000000-0005-0000-0000-0000F3000000}"/>
    <cellStyle name="Normal 11 2 2 3" xfId="256" xr:uid="{00000000-0005-0000-0000-0000F4000000}"/>
    <cellStyle name="Normal 11 2 2 3 2" xfId="586" xr:uid="{00000000-0005-0000-0000-0000F5000000}"/>
    <cellStyle name="Normal 11 2 2 3 2 2" xfId="925" xr:uid="{00000000-0005-0000-0000-0000F6000000}"/>
    <cellStyle name="Normal 11 2 2 3 2 3" xfId="926" xr:uid="{00000000-0005-0000-0000-0000F7000000}"/>
    <cellStyle name="Normal 11 2 2 3 2 4" xfId="927" xr:uid="{00000000-0005-0000-0000-0000F8000000}"/>
    <cellStyle name="Normal 11 2 2 3 3" xfId="928" xr:uid="{00000000-0005-0000-0000-0000F9000000}"/>
    <cellStyle name="Normal 11 2 2 3 4" xfId="929" xr:uid="{00000000-0005-0000-0000-0000FA000000}"/>
    <cellStyle name="Normal 11 2 2 3 5" xfId="930" xr:uid="{00000000-0005-0000-0000-0000FB000000}"/>
    <cellStyle name="Normal 11 2 2 4" xfId="478" xr:uid="{00000000-0005-0000-0000-0000FC000000}"/>
    <cellStyle name="Normal 11 2 2 4 2" xfId="931" xr:uid="{00000000-0005-0000-0000-0000FD000000}"/>
    <cellStyle name="Normal 11 2 2 4 3" xfId="932" xr:uid="{00000000-0005-0000-0000-0000FE000000}"/>
    <cellStyle name="Normal 11 2 2 4 4" xfId="933" xr:uid="{00000000-0005-0000-0000-0000FF000000}"/>
    <cellStyle name="Normal 11 2 2 5" xfId="934" xr:uid="{00000000-0005-0000-0000-000000010000}"/>
    <cellStyle name="Normal 11 2 2 6" xfId="935" xr:uid="{00000000-0005-0000-0000-000001010000}"/>
    <cellStyle name="Normal 11 2 2 7" xfId="936" xr:uid="{00000000-0005-0000-0000-000002010000}"/>
    <cellStyle name="Normal 11 2 3" xfId="155" xr:uid="{00000000-0005-0000-0000-000003010000}"/>
    <cellStyle name="Normal 11 2 3 2" xfId="257" xr:uid="{00000000-0005-0000-0000-000004010000}"/>
    <cellStyle name="Normal 11 2 3 2 2" xfId="587" xr:uid="{00000000-0005-0000-0000-000005010000}"/>
    <cellStyle name="Normal 11 2 3 2 2 2" xfId="937" xr:uid="{00000000-0005-0000-0000-000006010000}"/>
    <cellStyle name="Normal 11 2 3 2 2 3" xfId="938" xr:uid="{00000000-0005-0000-0000-000007010000}"/>
    <cellStyle name="Normal 11 2 3 2 2 4" xfId="939" xr:uid="{00000000-0005-0000-0000-000008010000}"/>
    <cellStyle name="Normal 11 2 3 2 3" xfId="940" xr:uid="{00000000-0005-0000-0000-000009010000}"/>
    <cellStyle name="Normal 11 2 3 2 4" xfId="941" xr:uid="{00000000-0005-0000-0000-00000A010000}"/>
    <cellStyle name="Normal 11 2 3 2 5" xfId="942" xr:uid="{00000000-0005-0000-0000-00000B010000}"/>
    <cellStyle name="Normal 11 2 3 3" xfId="500" xr:uid="{00000000-0005-0000-0000-00000C010000}"/>
    <cellStyle name="Normal 11 2 3 3 2" xfId="943" xr:uid="{00000000-0005-0000-0000-00000D010000}"/>
    <cellStyle name="Normal 11 2 3 3 3" xfId="944" xr:uid="{00000000-0005-0000-0000-00000E010000}"/>
    <cellStyle name="Normal 11 2 3 3 4" xfId="945" xr:uid="{00000000-0005-0000-0000-00000F010000}"/>
    <cellStyle name="Normal 11 2 3 4" xfId="946" xr:uid="{00000000-0005-0000-0000-000010010000}"/>
    <cellStyle name="Normal 11 2 3 5" xfId="947" xr:uid="{00000000-0005-0000-0000-000011010000}"/>
    <cellStyle name="Normal 11 2 3 6" xfId="948" xr:uid="{00000000-0005-0000-0000-000012010000}"/>
    <cellStyle name="Normal 11 2 4" xfId="258" xr:uid="{00000000-0005-0000-0000-000013010000}"/>
    <cellStyle name="Normal 11 2 4 2" xfId="588" xr:uid="{00000000-0005-0000-0000-000014010000}"/>
    <cellStyle name="Normal 11 2 4 2 2" xfId="949" xr:uid="{00000000-0005-0000-0000-000015010000}"/>
    <cellStyle name="Normal 11 2 4 2 3" xfId="950" xr:uid="{00000000-0005-0000-0000-000016010000}"/>
    <cellStyle name="Normal 11 2 4 2 4" xfId="951" xr:uid="{00000000-0005-0000-0000-000017010000}"/>
    <cellStyle name="Normal 11 2 4 3" xfId="952" xr:uid="{00000000-0005-0000-0000-000018010000}"/>
    <cellStyle name="Normal 11 2 4 4" xfId="953" xr:uid="{00000000-0005-0000-0000-000019010000}"/>
    <cellStyle name="Normal 11 2 4 5" xfId="954" xr:uid="{00000000-0005-0000-0000-00001A010000}"/>
    <cellStyle name="Normal 11 2 5" xfId="441" xr:uid="{00000000-0005-0000-0000-00001B010000}"/>
    <cellStyle name="Normal 11 2 5 2" xfId="955" xr:uid="{00000000-0005-0000-0000-00001C010000}"/>
    <cellStyle name="Normal 11 2 5 3" xfId="956" xr:uid="{00000000-0005-0000-0000-00001D010000}"/>
    <cellStyle name="Normal 11 2 5 4" xfId="957" xr:uid="{00000000-0005-0000-0000-00001E010000}"/>
    <cellStyle name="Normal 11 2 6" xfId="958" xr:uid="{00000000-0005-0000-0000-00001F010000}"/>
    <cellStyle name="Normal 11 2 7" xfId="959" xr:uid="{00000000-0005-0000-0000-000020010000}"/>
    <cellStyle name="Normal 11 2 8" xfId="960" xr:uid="{00000000-0005-0000-0000-000021010000}"/>
    <cellStyle name="Normal 11 3" xfId="60" xr:uid="{00000000-0005-0000-0000-000022010000}"/>
    <cellStyle name="Normal 11 3 2" xfId="156" xr:uid="{00000000-0005-0000-0000-000023010000}"/>
    <cellStyle name="Normal 11 3 2 2" xfId="259" xr:uid="{00000000-0005-0000-0000-000024010000}"/>
    <cellStyle name="Normal 11 3 2 2 2" xfId="589" xr:uid="{00000000-0005-0000-0000-000025010000}"/>
    <cellStyle name="Normal 11 3 2 2 2 2" xfId="961" xr:uid="{00000000-0005-0000-0000-000026010000}"/>
    <cellStyle name="Normal 11 3 2 2 2 3" xfId="962" xr:uid="{00000000-0005-0000-0000-000027010000}"/>
    <cellStyle name="Normal 11 3 2 2 2 4" xfId="963" xr:uid="{00000000-0005-0000-0000-000028010000}"/>
    <cellStyle name="Normal 11 3 2 2 3" xfId="964" xr:uid="{00000000-0005-0000-0000-000029010000}"/>
    <cellStyle name="Normal 11 3 2 2 4" xfId="965" xr:uid="{00000000-0005-0000-0000-00002A010000}"/>
    <cellStyle name="Normal 11 3 2 2 5" xfId="966" xr:uid="{00000000-0005-0000-0000-00002B010000}"/>
    <cellStyle name="Normal 11 3 2 3" xfId="501" xr:uid="{00000000-0005-0000-0000-00002C010000}"/>
    <cellStyle name="Normal 11 3 2 3 2" xfId="967" xr:uid="{00000000-0005-0000-0000-00002D010000}"/>
    <cellStyle name="Normal 11 3 2 3 3" xfId="968" xr:uid="{00000000-0005-0000-0000-00002E010000}"/>
    <cellStyle name="Normal 11 3 2 3 4" xfId="969" xr:uid="{00000000-0005-0000-0000-00002F010000}"/>
    <cellStyle name="Normal 11 3 2 4" xfId="970" xr:uid="{00000000-0005-0000-0000-000030010000}"/>
    <cellStyle name="Normal 11 3 2 5" xfId="971" xr:uid="{00000000-0005-0000-0000-000031010000}"/>
    <cellStyle name="Normal 11 3 2 6" xfId="972" xr:uid="{00000000-0005-0000-0000-000032010000}"/>
    <cellStyle name="Normal 11 3 3" xfId="260" xr:uid="{00000000-0005-0000-0000-000033010000}"/>
    <cellStyle name="Normal 11 3 3 2" xfId="590" xr:uid="{00000000-0005-0000-0000-000034010000}"/>
    <cellStyle name="Normal 11 3 3 2 2" xfId="973" xr:uid="{00000000-0005-0000-0000-000035010000}"/>
    <cellStyle name="Normal 11 3 3 2 3" xfId="974" xr:uid="{00000000-0005-0000-0000-000036010000}"/>
    <cellStyle name="Normal 11 3 3 2 4" xfId="975" xr:uid="{00000000-0005-0000-0000-000037010000}"/>
    <cellStyle name="Normal 11 3 3 3" xfId="976" xr:uid="{00000000-0005-0000-0000-000038010000}"/>
    <cellStyle name="Normal 11 3 3 4" xfId="977" xr:uid="{00000000-0005-0000-0000-000039010000}"/>
    <cellStyle name="Normal 11 3 3 5" xfId="978" xr:uid="{00000000-0005-0000-0000-00003A010000}"/>
    <cellStyle name="Normal 11 3 4" xfId="460" xr:uid="{00000000-0005-0000-0000-00003B010000}"/>
    <cellStyle name="Normal 11 3 4 2" xfId="979" xr:uid="{00000000-0005-0000-0000-00003C010000}"/>
    <cellStyle name="Normal 11 3 4 3" xfId="980" xr:uid="{00000000-0005-0000-0000-00003D010000}"/>
    <cellStyle name="Normal 11 3 4 4" xfId="981" xr:uid="{00000000-0005-0000-0000-00003E010000}"/>
    <cellStyle name="Normal 11 3 5" xfId="982" xr:uid="{00000000-0005-0000-0000-00003F010000}"/>
    <cellStyle name="Normal 11 3 6" xfId="983" xr:uid="{00000000-0005-0000-0000-000040010000}"/>
    <cellStyle name="Normal 11 3 7" xfId="984" xr:uid="{00000000-0005-0000-0000-000041010000}"/>
    <cellStyle name="Normal 11 4" xfId="157" xr:uid="{00000000-0005-0000-0000-000042010000}"/>
    <cellStyle name="Normal 11 4 2" xfId="261" xr:uid="{00000000-0005-0000-0000-000043010000}"/>
    <cellStyle name="Normal 11 4 2 2" xfId="591" xr:uid="{00000000-0005-0000-0000-000044010000}"/>
    <cellStyle name="Normal 11 4 2 2 2" xfId="985" xr:uid="{00000000-0005-0000-0000-000045010000}"/>
    <cellStyle name="Normal 11 4 2 2 3" xfId="986" xr:uid="{00000000-0005-0000-0000-000046010000}"/>
    <cellStyle name="Normal 11 4 2 2 4" xfId="987" xr:uid="{00000000-0005-0000-0000-000047010000}"/>
    <cellStyle name="Normal 11 4 2 3" xfId="988" xr:uid="{00000000-0005-0000-0000-000048010000}"/>
    <cellStyle name="Normal 11 4 2 4" xfId="989" xr:uid="{00000000-0005-0000-0000-000049010000}"/>
    <cellStyle name="Normal 11 4 2 5" xfId="990" xr:uid="{00000000-0005-0000-0000-00004A010000}"/>
    <cellStyle name="Normal 11 4 3" xfId="502" xr:uid="{00000000-0005-0000-0000-00004B010000}"/>
    <cellStyle name="Normal 11 4 3 2" xfId="991" xr:uid="{00000000-0005-0000-0000-00004C010000}"/>
    <cellStyle name="Normal 11 4 3 3" xfId="992" xr:uid="{00000000-0005-0000-0000-00004D010000}"/>
    <cellStyle name="Normal 11 4 3 4" xfId="993" xr:uid="{00000000-0005-0000-0000-00004E010000}"/>
    <cellStyle name="Normal 11 4 4" xfId="994" xr:uid="{00000000-0005-0000-0000-00004F010000}"/>
    <cellStyle name="Normal 11 4 5" xfId="995" xr:uid="{00000000-0005-0000-0000-000050010000}"/>
    <cellStyle name="Normal 11 4 6" xfId="996" xr:uid="{00000000-0005-0000-0000-000051010000}"/>
    <cellStyle name="Normal 11 5" xfId="262" xr:uid="{00000000-0005-0000-0000-000052010000}"/>
    <cellStyle name="Normal 11 5 2" xfId="592" xr:uid="{00000000-0005-0000-0000-000053010000}"/>
    <cellStyle name="Normal 11 5 2 2" xfId="997" xr:uid="{00000000-0005-0000-0000-000054010000}"/>
    <cellStyle name="Normal 11 5 2 3" xfId="998" xr:uid="{00000000-0005-0000-0000-000055010000}"/>
    <cellStyle name="Normal 11 5 2 4" xfId="999" xr:uid="{00000000-0005-0000-0000-000056010000}"/>
    <cellStyle name="Normal 11 5 3" xfId="1000" xr:uid="{00000000-0005-0000-0000-000057010000}"/>
    <cellStyle name="Normal 11 5 4" xfId="1001" xr:uid="{00000000-0005-0000-0000-000058010000}"/>
    <cellStyle name="Normal 11 5 5" xfId="1002" xr:uid="{00000000-0005-0000-0000-000059010000}"/>
    <cellStyle name="Normal 11 6" xfId="409" xr:uid="{00000000-0005-0000-0000-00005A010000}"/>
    <cellStyle name="Normal 11 6 2" xfId="1003" xr:uid="{00000000-0005-0000-0000-00005B010000}"/>
    <cellStyle name="Normal 11 6 3" xfId="1004" xr:uid="{00000000-0005-0000-0000-00005C010000}"/>
    <cellStyle name="Normal 11 6 4" xfId="1005" xr:uid="{00000000-0005-0000-0000-00005D010000}"/>
    <cellStyle name="Normal 11 7" xfId="423" xr:uid="{00000000-0005-0000-0000-00005E010000}"/>
    <cellStyle name="Normal 11 7 2" xfId="1006" xr:uid="{00000000-0005-0000-0000-00005F010000}"/>
    <cellStyle name="Normal 11 7 3" xfId="1007" xr:uid="{00000000-0005-0000-0000-000060010000}"/>
    <cellStyle name="Normal 11 7 4" xfId="1008" xr:uid="{00000000-0005-0000-0000-000061010000}"/>
    <cellStyle name="Normal 11 8" xfId="1009" xr:uid="{00000000-0005-0000-0000-000062010000}"/>
    <cellStyle name="Normal 11 9" xfId="1010" xr:uid="{00000000-0005-0000-0000-000063010000}"/>
    <cellStyle name="Normal 12" xfId="9" xr:uid="{00000000-0005-0000-0000-000064010000}"/>
    <cellStyle name="Normal 12 10" xfId="1011" xr:uid="{00000000-0005-0000-0000-000065010000}"/>
    <cellStyle name="Normal 12 11" xfId="1012" xr:uid="{00000000-0005-0000-0000-000066010000}"/>
    <cellStyle name="Normal 12 12" xfId="1013" xr:uid="{00000000-0005-0000-0000-000067010000}"/>
    <cellStyle name="Normal 12 13" xfId="1014" xr:uid="{00000000-0005-0000-0000-000068010000}"/>
    <cellStyle name="Normal 12 14" xfId="1015" xr:uid="{00000000-0005-0000-0000-000069010000}"/>
    <cellStyle name="Normal 12 2" xfId="30" xr:uid="{00000000-0005-0000-0000-00006A010000}"/>
    <cellStyle name="Normal 12 2 2" xfId="48" xr:uid="{00000000-0005-0000-0000-00006B010000}"/>
    <cellStyle name="Normal 12 2 2 2" xfId="87" xr:uid="{00000000-0005-0000-0000-00006C010000}"/>
    <cellStyle name="Normal 12 2 2 2 2" xfId="158" xr:uid="{00000000-0005-0000-0000-00006D010000}"/>
    <cellStyle name="Normal 12 2 2 2 2 2" xfId="263" xr:uid="{00000000-0005-0000-0000-00006E010000}"/>
    <cellStyle name="Normal 12 2 2 2 2 2 2" xfId="593" xr:uid="{00000000-0005-0000-0000-00006F010000}"/>
    <cellStyle name="Normal 12 2 2 2 2 2 2 2" xfId="1016" xr:uid="{00000000-0005-0000-0000-000070010000}"/>
    <cellStyle name="Normal 12 2 2 2 2 2 2 3" xfId="1017" xr:uid="{00000000-0005-0000-0000-000071010000}"/>
    <cellStyle name="Normal 12 2 2 2 2 2 2 4" xfId="1018" xr:uid="{00000000-0005-0000-0000-000072010000}"/>
    <cellStyle name="Normal 12 2 2 2 2 2 3" xfId="1019" xr:uid="{00000000-0005-0000-0000-000073010000}"/>
    <cellStyle name="Normal 12 2 2 2 2 2 4" xfId="1020" xr:uid="{00000000-0005-0000-0000-000074010000}"/>
    <cellStyle name="Normal 12 2 2 2 2 2 5" xfId="1021" xr:uid="{00000000-0005-0000-0000-000075010000}"/>
    <cellStyle name="Normal 12 2 2 2 2 3" xfId="503" xr:uid="{00000000-0005-0000-0000-000076010000}"/>
    <cellStyle name="Normal 12 2 2 2 2 3 2" xfId="1022" xr:uid="{00000000-0005-0000-0000-000077010000}"/>
    <cellStyle name="Normal 12 2 2 2 2 3 3" xfId="1023" xr:uid="{00000000-0005-0000-0000-000078010000}"/>
    <cellStyle name="Normal 12 2 2 2 2 3 4" xfId="1024" xr:uid="{00000000-0005-0000-0000-000079010000}"/>
    <cellStyle name="Normal 12 2 2 2 2 4" xfId="1025" xr:uid="{00000000-0005-0000-0000-00007A010000}"/>
    <cellStyle name="Normal 12 2 2 2 2 5" xfId="1026" xr:uid="{00000000-0005-0000-0000-00007B010000}"/>
    <cellStyle name="Normal 12 2 2 2 2 6" xfId="1027" xr:uid="{00000000-0005-0000-0000-00007C010000}"/>
    <cellStyle name="Normal 12 2 2 2 3" xfId="264" xr:uid="{00000000-0005-0000-0000-00007D010000}"/>
    <cellStyle name="Normal 12 2 2 2 3 2" xfId="594" xr:uid="{00000000-0005-0000-0000-00007E010000}"/>
    <cellStyle name="Normal 12 2 2 2 3 2 2" xfId="1028" xr:uid="{00000000-0005-0000-0000-00007F010000}"/>
    <cellStyle name="Normal 12 2 2 2 3 2 3" xfId="1029" xr:uid="{00000000-0005-0000-0000-000080010000}"/>
    <cellStyle name="Normal 12 2 2 2 3 2 4" xfId="1030" xr:uid="{00000000-0005-0000-0000-000081010000}"/>
    <cellStyle name="Normal 12 2 2 2 3 3" xfId="1031" xr:uid="{00000000-0005-0000-0000-000082010000}"/>
    <cellStyle name="Normal 12 2 2 2 3 4" xfId="1032" xr:uid="{00000000-0005-0000-0000-000083010000}"/>
    <cellStyle name="Normal 12 2 2 2 3 5" xfId="1033" xr:uid="{00000000-0005-0000-0000-000084010000}"/>
    <cellStyle name="Normal 12 2 2 2 4" xfId="487" xr:uid="{00000000-0005-0000-0000-000085010000}"/>
    <cellStyle name="Normal 12 2 2 2 4 2" xfId="1034" xr:uid="{00000000-0005-0000-0000-000086010000}"/>
    <cellStyle name="Normal 12 2 2 2 4 3" xfId="1035" xr:uid="{00000000-0005-0000-0000-000087010000}"/>
    <cellStyle name="Normal 12 2 2 2 4 4" xfId="1036" xr:uid="{00000000-0005-0000-0000-000088010000}"/>
    <cellStyle name="Normal 12 2 2 2 5" xfId="1037" xr:uid="{00000000-0005-0000-0000-000089010000}"/>
    <cellStyle name="Normal 12 2 2 2 6" xfId="1038" xr:uid="{00000000-0005-0000-0000-00008A010000}"/>
    <cellStyle name="Normal 12 2 2 2 7" xfId="1039" xr:uid="{00000000-0005-0000-0000-00008B010000}"/>
    <cellStyle name="Normal 12 2 2 3" xfId="159" xr:uid="{00000000-0005-0000-0000-00008C010000}"/>
    <cellStyle name="Normal 12 2 2 3 2" xfId="265" xr:uid="{00000000-0005-0000-0000-00008D010000}"/>
    <cellStyle name="Normal 12 2 2 3 2 2" xfId="595" xr:uid="{00000000-0005-0000-0000-00008E010000}"/>
    <cellStyle name="Normal 12 2 2 3 2 2 2" xfId="1040" xr:uid="{00000000-0005-0000-0000-00008F010000}"/>
    <cellStyle name="Normal 12 2 2 3 2 2 3" xfId="1041" xr:uid="{00000000-0005-0000-0000-000090010000}"/>
    <cellStyle name="Normal 12 2 2 3 2 2 4" xfId="1042" xr:uid="{00000000-0005-0000-0000-000091010000}"/>
    <cellStyle name="Normal 12 2 2 3 2 3" xfId="1043" xr:uid="{00000000-0005-0000-0000-000092010000}"/>
    <cellStyle name="Normal 12 2 2 3 2 4" xfId="1044" xr:uid="{00000000-0005-0000-0000-000093010000}"/>
    <cellStyle name="Normal 12 2 2 3 2 5" xfId="1045" xr:uid="{00000000-0005-0000-0000-000094010000}"/>
    <cellStyle name="Normal 12 2 2 3 3" xfId="504" xr:uid="{00000000-0005-0000-0000-000095010000}"/>
    <cellStyle name="Normal 12 2 2 3 3 2" xfId="1046" xr:uid="{00000000-0005-0000-0000-000096010000}"/>
    <cellStyle name="Normal 12 2 2 3 3 3" xfId="1047" xr:uid="{00000000-0005-0000-0000-000097010000}"/>
    <cellStyle name="Normal 12 2 2 3 3 4" xfId="1048" xr:uid="{00000000-0005-0000-0000-000098010000}"/>
    <cellStyle name="Normal 12 2 2 3 4" xfId="1049" xr:uid="{00000000-0005-0000-0000-000099010000}"/>
    <cellStyle name="Normal 12 2 2 3 5" xfId="1050" xr:uid="{00000000-0005-0000-0000-00009A010000}"/>
    <cellStyle name="Normal 12 2 2 3 6" xfId="1051" xr:uid="{00000000-0005-0000-0000-00009B010000}"/>
    <cellStyle name="Normal 12 2 2 4" xfId="266" xr:uid="{00000000-0005-0000-0000-00009C010000}"/>
    <cellStyle name="Normal 12 2 2 4 2" xfId="596" xr:uid="{00000000-0005-0000-0000-00009D010000}"/>
    <cellStyle name="Normal 12 2 2 4 2 2" xfId="1052" xr:uid="{00000000-0005-0000-0000-00009E010000}"/>
    <cellStyle name="Normal 12 2 2 4 2 3" xfId="1053" xr:uid="{00000000-0005-0000-0000-00009F010000}"/>
    <cellStyle name="Normal 12 2 2 4 2 4" xfId="1054" xr:uid="{00000000-0005-0000-0000-0000A0010000}"/>
    <cellStyle name="Normal 12 2 2 4 3" xfId="1055" xr:uid="{00000000-0005-0000-0000-0000A1010000}"/>
    <cellStyle name="Normal 12 2 2 4 4" xfId="1056" xr:uid="{00000000-0005-0000-0000-0000A2010000}"/>
    <cellStyle name="Normal 12 2 2 4 5" xfId="1057" xr:uid="{00000000-0005-0000-0000-0000A3010000}"/>
    <cellStyle name="Normal 12 2 2 5" xfId="450" xr:uid="{00000000-0005-0000-0000-0000A4010000}"/>
    <cellStyle name="Normal 12 2 2 5 2" xfId="1058" xr:uid="{00000000-0005-0000-0000-0000A5010000}"/>
    <cellStyle name="Normal 12 2 2 5 3" xfId="1059" xr:uid="{00000000-0005-0000-0000-0000A6010000}"/>
    <cellStyle name="Normal 12 2 2 5 4" xfId="1060" xr:uid="{00000000-0005-0000-0000-0000A7010000}"/>
    <cellStyle name="Normal 12 2 2 6" xfId="1061" xr:uid="{00000000-0005-0000-0000-0000A8010000}"/>
    <cellStyle name="Normal 12 2 2 7" xfId="1062" xr:uid="{00000000-0005-0000-0000-0000A9010000}"/>
    <cellStyle name="Normal 12 2 2 8" xfId="1063" xr:uid="{00000000-0005-0000-0000-0000AA010000}"/>
    <cellStyle name="Normal 12 2 3" xfId="69" xr:uid="{00000000-0005-0000-0000-0000AB010000}"/>
    <cellStyle name="Normal 12 2 3 2" xfId="160" xr:uid="{00000000-0005-0000-0000-0000AC010000}"/>
    <cellStyle name="Normal 12 2 3 2 2" xfId="267" xr:uid="{00000000-0005-0000-0000-0000AD010000}"/>
    <cellStyle name="Normal 12 2 3 2 2 2" xfId="597" xr:uid="{00000000-0005-0000-0000-0000AE010000}"/>
    <cellStyle name="Normal 12 2 3 2 2 2 2" xfId="1064" xr:uid="{00000000-0005-0000-0000-0000AF010000}"/>
    <cellStyle name="Normal 12 2 3 2 2 2 3" xfId="1065" xr:uid="{00000000-0005-0000-0000-0000B0010000}"/>
    <cellStyle name="Normal 12 2 3 2 2 2 4" xfId="1066" xr:uid="{00000000-0005-0000-0000-0000B1010000}"/>
    <cellStyle name="Normal 12 2 3 2 2 3" xfId="1067" xr:uid="{00000000-0005-0000-0000-0000B2010000}"/>
    <cellStyle name="Normal 12 2 3 2 2 4" xfId="1068" xr:uid="{00000000-0005-0000-0000-0000B3010000}"/>
    <cellStyle name="Normal 12 2 3 2 2 5" xfId="1069" xr:uid="{00000000-0005-0000-0000-0000B4010000}"/>
    <cellStyle name="Normal 12 2 3 2 3" xfId="505" xr:uid="{00000000-0005-0000-0000-0000B5010000}"/>
    <cellStyle name="Normal 12 2 3 2 3 2" xfId="1070" xr:uid="{00000000-0005-0000-0000-0000B6010000}"/>
    <cellStyle name="Normal 12 2 3 2 3 3" xfId="1071" xr:uid="{00000000-0005-0000-0000-0000B7010000}"/>
    <cellStyle name="Normal 12 2 3 2 3 4" xfId="1072" xr:uid="{00000000-0005-0000-0000-0000B8010000}"/>
    <cellStyle name="Normal 12 2 3 2 4" xfId="1073" xr:uid="{00000000-0005-0000-0000-0000B9010000}"/>
    <cellStyle name="Normal 12 2 3 2 5" xfId="1074" xr:uid="{00000000-0005-0000-0000-0000BA010000}"/>
    <cellStyle name="Normal 12 2 3 2 6" xfId="1075" xr:uid="{00000000-0005-0000-0000-0000BB010000}"/>
    <cellStyle name="Normal 12 2 3 3" xfId="268" xr:uid="{00000000-0005-0000-0000-0000BC010000}"/>
    <cellStyle name="Normal 12 2 3 3 2" xfId="598" xr:uid="{00000000-0005-0000-0000-0000BD010000}"/>
    <cellStyle name="Normal 12 2 3 3 2 2" xfId="1076" xr:uid="{00000000-0005-0000-0000-0000BE010000}"/>
    <cellStyle name="Normal 12 2 3 3 2 3" xfId="1077" xr:uid="{00000000-0005-0000-0000-0000BF010000}"/>
    <cellStyle name="Normal 12 2 3 3 2 4" xfId="1078" xr:uid="{00000000-0005-0000-0000-0000C0010000}"/>
    <cellStyle name="Normal 12 2 3 3 3" xfId="1079" xr:uid="{00000000-0005-0000-0000-0000C1010000}"/>
    <cellStyle name="Normal 12 2 3 3 4" xfId="1080" xr:uid="{00000000-0005-0000-0000-0000C2010000}"/>
    <cellStyle name="Normal 12 2 3 3 5" xfId="1081" xr:uid="{00000000-0005-0000-0000-0000C3010000}"/>
    <cellStyle name="Normal 12 2 3 4" xfId="469" xr:uid="{00000000-0005-0000-0000-0000C4010000}"/>
    <cellStyle name="Normal 12 2 3 4 2" xfId="1082" xr:uid="{00000000-0005-0000-0000-0000C5010000}"/>
    <cellStyle name="Normal 12 2 3 4 3" xfId="1083" xr:uid="{00000000-0005-0000-0000-0000C6010000}"/>
    <cellStyle name="Normal 12 2 3 4 4" xfId="1084" xr:uid="{00000000-0005-0000-0000-0000C7010000}"/>
    <cellStyle name="Normal 12 2 3 5" xfId="1085" xr:uid="{00000000-0005-0000-0000-0000C8010000}"/>
    <cellStyle name="Normal 12 2 3 6" xfId="1086" xr:uid="{00000000-0005-0000-0000-0000C9010000}"/>
    <cellStyle name="Normal 12 2 3 7" xfId="1087" xr:uid="{00000000-0005-0000-0000-0000CA010000}"/>
    <cellStyle name="Normal 12 2 4" xfId="161" xr:uid="{00000000-0005-0000-0000-0000CB010000}"/>
    <cellStyle name="Normal 12 2 4 2" xfId="269" xr:uid="{00000000-0005-0000-0000-0000CC010000}"/>
    <cellStyle name="Normal 12 2 4 2 2" xfId="599" xr:uid="{00000000-0005-0000-0000-0000CD010000}"/>
    <cellStyle name="Normal 12 2 4 2 2 2" xfId="1088" xr:uid="{00000000-0005-0000-0000-0000CE010000}"/>
    <cellStyle name="Normal 12 2 4 2 2 3" xfId="1089" xr:uid="{00000000-0005-0000-0000-0000CF010000}"/>
    <cellStyle name="Normal 12 2 4 2 2 4" xfId="1090" xr:uid="{00000000-0005-0000-0000-0000D0010000}"/>
    <cellStyle name="Normal 12 2 4 2 3" xfId="1091" xr:uid="{00000000-0005-0000-0000-0000D1010000}"/>
    <cellStyle name="Normal 12 2 4 2 4" xfId="1092" xr:uid="{00000000-0005-0000-0000-0000D2010000}"/>
    <cellStyle name="Normal 12 2 4 2 5" xfId="1093" xr:uid="{00000000-0005-0000-0000-0000D3010000}"/>
    <cellStyle name="Normal 12 2 4 3" xfId="506" xr:uid="{00000000-0005-0000-0000-0000D4010000}"/>
    <cellStyle name="Normal 12 2 4 3 2" xfId="1094" xr:uid="{00000000-0005-0000-0000-0000D5010000}"/>
    <cellStyle name="Normal 12 2 4 3 3" xfId="1095" xr:uid="{00000000-0005-0000-0000-0000D6010000}"/>
    <cellStyle name="Normal 12 2 4 3 4" xfId="1096" xr:uid="{00000000-0005-0000-0000-0000D7010000}"/>
    <cellStyle name="Normal 12 2 4 4" xfId="1097" xr:uid="{00000000-0005-0000-0000-0000D8010000}"/>
    <cellStyle name="Normal 12 2 4 5" xfId="1098" xr:uid="{00000000-0005-0000-0000-0000D9010000}"/>
    <cellStyle name="Normal 12 2 4 6" xfId="1099" xr:uid="{00000000-0005-0000-0000-0000DA010000}"/>
    <cellStyle name="Normal 12 2 5" xfId="270" xr:uid="{00000000-0005-0000-0000-0000DB010000}"/>
    <cellStyle name="Normal 12 2 5 2" xfId="600" xr:uid="{00000000-0005-0000-0000-0000DC010000}"/>
    <cellStyle name="Normal 12 2 5 2 2" xfId="1100" xr:uid="{00000000-0005-0000-0000-0000DD010000}"/>
    <cellStyle name="Normal 12 2 5 2 3" xfId="1101" xr:uid="{00000000-0005-0000-0000-0000DE010000}"/>
    <cellStyle name="Normal 12 2 5 2 4" xfId="1102" xr:uid="{00000000-0005-0000-0000-0000DF010000}"/>
    <cellStyle name="Normal 12 2 5 3" xfId="1103" xr:uid="{00000000-0005-0000-0000-0000E0010000}"/>
    <cellStyle name="Normal 12 2 5 4" xfId="1104" xr:uid="{00000000-0005-0000-0000-0000E1010000}"/>
    <cellStyle name="Normal 12 2 5 5" xfId="1105" xr:uid="{00000000-0005-0000-0000-0000E2010000}"/>
    <cellStyle name="Normal 12 2 6" xfId="432" xr:uid="{00000000-0005-0000-0000-0000E3010000}"/>
    <cellStyle name="Normal 12 2 6 2" xfId="1106" xr:uid="{00000000-0005-0000-0000-0000E4010000}"/>
    <cellStyle name="Normal 12 2 6 3" xfId="1107" xr:uid="{00000000-0005-0000-0000-0000E5010000}"/>
    <cellStyle name="Normal 12 2 6 4" xfId="1108" xr:uid="{00000000-0005-0000-0000-0000E6010000}"/>
    <cellStyle name="Normal 12 2 7" xfId="1109" xr:uid="{00000000-0005-0000-0000-0000E7010000}"/>
    <cellStyle name="Normal 12 2 8" xfId="1110" xr:uid="{00000000-0005-0000-0000-0000E8010000}"/>
    <cellStyle name="Normal 12 2 9" xfId="1111" xr:uid="{00000000-0005-0000-0000-0000E9010000}"/>
    <cellStyle name="Normal 12 3" xfId="38" xr:uid="{00000000-0005-0000-0000-0000EA010000}"/>
    <cellStyle name="Normal 12 3 2" xfId="77" xr:uid="{00000000-0005-0000-0000-0000EB010000}"/>
    <cellStyle name="Normal 12 3 2 2" xfId="162" xr:uid="{00000000-0005-0000-0000-0000EC010000}"/>
    <cellStyle name="Normal 12 3 2 2 2" xfId="271" xr:uid="{00000000-0005-0000-0000-0000ED010000}"/>
    <cellStyle name="Normal 12 3 2 2 2 2" xfId="601" xr:uid="{00000000-0005-0000-0000-0000EE010000}"/>
    <cellStyle name="Normal 12 3 2 2 2 2 2" xfId="1112" xr:uid="{00000000-0005-0000-0000-0000EF010000}"/>
    <cellStyle name="Normal 12 3 2 2 2 2 3" xfId="1113" xr:uid="{00000000-0005-0000-0000-0000F0010000}"/>
    <cellStyle name="Normal 12 3 2 2 2 2 4" xfId="1114" xr:uid="{00000000-0005-0000-0000-0000F1010000}"/>
    <cellStyle name="Normal 12 3 2 2 2 3" xfId="1115" xr:uid="{00000000-0005-0000-0000-0000F2010000}"/>
    <cellStyle name="Normal 12 3 2 2 2 4" xfId="1116" xr:uid="{00000000-0005-0000-0000-0000F3010000}"/>
    <cellStyle name="Normal 12 3 2 2 2 5" xfId="1117" xr:uid="{00000000-0005-0000-0000-0000F4010000}"/>
    <cellStyle name="Normal 12 3 2 2 3" xfId="507" xr:uid="{00000000-0005-0000-0000-0000F5010000}"/>
    <cellStyle name="Normal 12 3 2 2 3 2" xfId="1118" xr:uid="{00000000-0005-0000-0000-0000F6010000}"/>
    <cellStyle name="Normal 12 3 2 2 3 3" xfId="1119" xr:uid="{00000000-0005-0000-0000-0000F7010000}"/>
    <cellStyle name="Normal 12 3 2 2 3 4" xfId="1120" xr:uid="{00000000-0005-0000-0000-0000F8010000}"/>
    <cellStyle name="Normal 12 3 2 2 4" xfId="1121" xr:uid="{00000000-0005-0000-0000-0000F9010000}"/>
    <cellStyle name="Normal 12 3 2 2 5" xfId="1122" xr:uid="{00000000-0005-0000-0000-0000FA010000}"/>
    <cellStyle name="Normal 12 3 2 2 6" xfId="1123" xr:uid="{00000000-0005-0000-0000-0000FB010000}"/>
    <cellStyle name="Normal 12 3 2 3" xfId="272" xr:uid="{00000000-0005-0000-0000-0000FC010000}"/>
    <cellStyle name="Normal 12 3 2 3 2" xfId="602" xr:uid="{00000000-0005-0000-0000-0000FD010000}"/>
    <cellStyle name="Normal 12 3 2 3 2 2" xfId="1124" xr:uid="{00000000-0005-0000-0000-0000FE010000}"/>
    <cellStyle name="Normal 12 3 2 3 2 3" xfId="1125" xr:uid="{00000000-0005-0000-0000-0000FF010000}"/>
    <cellStyle name="Normal 12 3 2 3 2 4" xfId="1126" xr:uid="{00000000-0005-0000-0000-000000020000}"/>
    <cellStyle name="Normal 12 3 2 3 3" xfId="1127" xr:uid="{00000000-0005-0000-0000-000001020000}"/>
    <cellStyle name="Normal 12 3 2 3 4" xfId="1128" xr:uid="{00000000-0005-0000-0000-000002020000}"/>
    <cellStyle name="Normal 12 3 2 3 5" xfId="1129" xr:uid="{00000000-0005-0000-0000-000003020000}"/>
    <cellStyle name="Normal 12 3 2 4" xfId="477" xr:uid="{00000000-0005-0000-0000-000004020000}"/>
    <cellStyle name="Normal 12 3 2 4 2" xfId="1130" xr:uid="{00000000-0005-0000-0000-000005020000}"/>
    <cellStyle name="Normal 12 3 2 4 3" xfId="1131" xr:uid="{00000000-0005-0000-0000-000006020000}"/>
    <cellStyle name="Normal 12 3 2 4 4" xfId="1132" xr:uid="{00000000-0005-0000-0000-000007020000}"/>
    <cellStyle name="Normal 12 3 2 5" xfId="1133" xr:uid="{00000000-0005-0000-0000-000008020000}"/>
    <cellStyle name="Normal 12 3 2 6" xfId="1134" xr:uid="{00000000-0005-0000-0000-000009020000}"/>
    <cellStyle name="Normal 12 3 2 7" xfId="1135" xr:uid="{00000000-0005-0000-0000-00000A020000}"/>
    <cellStyle name="Normal 12 3 3" xfId="163" xr:uid="{00000000-0005-0000-0000-00000B020000}"/>
    <cellStyle name="Normal 12 3 3 2" xfId="273" xr:uid="{00000000-0005-0000-0000-00000C020000}"/>
    <cellStyle name="Normal 12 3 3 2 2" xfId="603" xr:uid="{00000000-0005-0000-0000-00000D020000}"/>
    <cellStyle name="Normal 12 3 3 2 2 2" xfId="1136" xr:uid="{00000000-0005-0000-0000-00000E020000}"/>
    <cellStyle name="Normal 12 3 3 2 2 3" xfId="1137" xr:uid="{00000000-0005-0000-0000-00000F020000}"/>
    <cellStyle name="Normal 12 3 3 2 2 4" xfId="1138" xr:uid="{00000000-0005-0000-0000-000010020000}"/>
    <cellStyle name="Normal 12 3 3 2 3" xfId="1139" xr:uid="{00000000-0005-0000-0000-000011020000}"/>
    <cellStyle name="Normal 12 3 3 2 4" xfId="1140" xr:uid="{00000000-0005-0000-0000-000012020000}"/>
    <cellStyle name="Normal 12 3 3 2 5" xfId="1141" xr:uid="{00000000-0005-0000-0000-000013020000}"/>
    <cellStyle name="Normal 12 3 3 3" xfId="508" xr:uid="{00000000-0005-0000-0000-000014020000}"/>
    <cellStyle name="Normal 12 3 3 3 2" xfId="1142" xr:uid="{00000000-0005-0000-0000-000015020000}"/>
    <cellStyle name="Normal 12 3 3 3 3" xfId="1143" xr:uid="{00000000-0005-0000-0000-000016020000}"/>
    <cellStyle name="Normal 12 3 3 3 4" xfId="1144" xr:uid="{00000000-0005-0000-0000-000017020000}"/>
    <cellStyle name="Normal 12 3 3 4" xfId="1145" xr:uid="{00000000-0005-0000-0000-000018020000}"/>
    <cellStyle name="Normal 12 3 3 5" xfId="1146" xr:uid="{00000000-0005-0000-0000-000019020000}"/>
    <cellStyle name="Normal 12 3 3 6" xfId="1147" xr:uid="{00000000-0005-0000-0000-00001A020000}"/>
    <cellStyle name="Normal 12 3 4" xfId="274" xr:uid="{00000000-0005-0000-0000-00001B020000}"/>
    <cellStyle name="Normal 12 3 4 2" xfId="604" xr:uid="{00000000-0005-0000-0000-00001C020000}"/>
    <cellStyle name="Normal 12 3 4 2 2" xfId="1148" xr:uid="{00000000-0005-0000-0000-00001D020000}"/>
    <cellStyle name="Normal 12 3 4 2 3" xfId="1149" xr:uid="{00000000-0005-0000-0000-00001E020000}"/>
    <cellStyle name="Normal 12 3 4 2 4" xfId="1150" xr:uid="{00000000-0005-0000-0000-00001F020000}"/>
    <cellStyle name="Normal 12 3 4 3" xfId="1151" xr:uid="{00000000-0005-0000-0000-000020020000}"/>
    <cellStyle name="Normal 12 3 4 4" xfId="1152" xr:uid="{00000000-0005-0000-0000-000021020000}"/>
    <cellStyle name="Normal 12 3 4 5" xfId="1153" xr:uid="{00000000-0005-0000-0000-000022020000}"/>
    <cellStyle name="Normal 12 3 5" xfId="440" xr:uid="{00000000-0005-0000-0000-000023020000}"/>
    <cellStyle name="Normal 12 3 5 2" xfId="1154" xr:uid="{00000000-0005-0000-0000-000024020000}"/>
    <cellStyle name="Normal 12 3 5 3" xfId="1155" xr:uid="{00000000-0005-0000-0000-000025020000}"/>
    <cellStyle name="Normal 12 3 5 4" xfId="1156" xr:uid="{00000000-0005-0000-0000-000026020000}"/>
    <cellStyle name="Normal 12 3 6" xfId="1157" xr:uid="{00000000-0005-0000-0000-000027020000}"/>
    <cellStyle name="Normal 12 3 7" xfId="1158" xr:uid="{00000000-0005-0000-0000-000028020000}"/>
    <cellStyle name="Normal 12 3 8" xfId="1159" xr:uid="{00000000-0005-0000-0000-000029020000}"/>
    <cellStyle name="Normal 12 4" xfId="59" xr:uid="{00000000-0005-0000-0000-00002A020000}"/>
    <cellStyle name="Normal 12 4 2" xfId="164" xr:uid="{00000000-0005-0000-0000-00002B020000}"/>
    <cellStyle name="Normal 12 4 2 2" xfId="275" xr:uid="{00000000-0005-0000-0000-00002C020000}"/>
    <cellStyle name="Normal 12 4 2 2 2" xfId="605" xr:uid="{00000000-0005-0000-0000-00002D020000}"/>
    <cellStyle name="Normal 12 4 2 2 2 2" xfId="1160" xr:uid="{00000000-0005-0000-0000-00002E020000}"/>
    <cellStyle name="Normal 12 4 2 2 2 3" xfId="1161" xr:uid="{00000000-0005-0000-0000-00002F020000}"/>
    <cellStyle name="Normal 12 4 2 2 2 4" xfId="1162" xr:uid="{00000000-0005-0000-0000-000030020000}"/>
    <cellStyle name="Normal 12 4 2 2 3" xfId="1163" xr:uid="{00000000-0005-0000-0000-000031020000}"/>
    <cellStyle name="Normal 12 4 2 2 4" xfId="1164" xr:uid="{00000000-0005-0000-0000-000032020000}"/>
    <cellStyle name="Normal 12 4 2 2 5" xfId="1165" xr:uid="{00000000-0005-0000-0000-000033020000}"/>
    <cellStyle name="Normal 12 4 2 3" xfId="509" xr:uid="{00000000-0005-0000-0000-000034020000}"/>
    <cellStyle name="Normal 12 4 2 3 2" xfId="1166" xr:uid="{00000000-0005-0000-0000-000035020000}"/>
    <cellStyle name="Normal 12 4 2 3 3" xfId="1167" xr:uid="{00000000-0005-0000-0000-000036020000}"/>
    <cellStyle name="Normal 12 4 2 3 4" xfId="1168" xr:uid="{00000000-0005-0000-0000-000037020000}"/>
    <cellStyle name="Normal 12 4 2 4" xfId="1169" xr:uid="{00000000-0005-0000-0000-000038020000}"/>
    <cellStyle name="Normal 12 4 2 5" xfId="1170" xr:uid="{00000000-0005-0000-0000-000039020000}"/>
    <cellStyle name="Normal 12 4 2 6" xfId="1171" xr:uid="{00000000-0005-0000-0000-00003A020000}"/>
    <cellStyle name="Normal 12 4 3" xfId="276" xr:uid="{00000000-0005-0000-0000-00003B020000}"/>
    <cellStyle name="Normal 12 4 3 2" xfId="606" xr:uid="{00000000-0005-0000-0000-00003C020000}"/>
    <cellStyle name="Normal 12 4 3 2 2" xfId="1172" xr:uid="{00000000-0005-0000-0000-00003D020000}"/>
    <cellStyle name="Normal 12 4 3 2 3" xfId="1173" xr:uid="{00000000-0005-0000-0000-00003E020000}"/>
    <cellStyle name="Normal 12 4 3 2 4" xfId="1174" xr:uid="{00000000-0005-0000-0000-00003F020000}"/>
    <cellStyle name="Normal 12 4 3 3" xfId="1175" xr:uid="{00000000-0005-0000-0000-000040020000}"/>
    <cellStyle name="Normal 12 4 3 4" xfId="1176" xr:uid="{00000000-0005-0000-0000-000041020000}"/>
    <cellStyle name="Normal 12 4 3 5" xfId="1177" xr:uid="{00000000-0005-0000-0000-000042020000}"/>
    <cellStyle name="Normal 12 4 4" xfId="459" xr:uid="{00000000-0005-0000-0000-000043020000}"/>
    <cellStyle name="Normal 12 4 4 2" xfId="1178" xr:uid="{00000000-0005-0000-0000-000044020000}"/>
    <cellStyle name="Normal 12 4 4 3" xfId="1179" xr:uid="{00000000-0005-0000-0000-000045020000}"/>
    <cellStyle name="Normal 12 4 4 4" xfId="1180" xr:uid="{00000000-0005-0000-0000-000046020000}"/>
    <cellStyle name="Normal 12 4 5" xfId="1181" xr:uid="{00000000-0005-0000-0000-000047020000}"/>
    <cellStyle name="Normal 12 4 6" xfId="1182" xr:uid="{00000000-0005-0000-0000-000048020000}"/>
    <cellStyle name="Normal 12 4 7" xfId="1183" xr:uid="{00000000-0005-0000-0000-000049020000}"/>
    <cellStyle name="Normal 12 5" xfId="165" xr:uid="{00000000-0005-0000-0000-00004A020000}"/>
    <cellStyle name="Normal 12 5 2" xfId="277" xr:uid="{00000000-0005-0000-0000-00004B020000}"/>
    <cellStyle name="Normal 12 5 2 2" xfId="607" xr:uid="{00000000-0005-0000-0000-00004C020000}"/>
    <cellStyle name="Normal 12 5 2 2 2" xfId="1184" xr:uid="{00000000-0005-0000-0000-00004D020000}"/>
    <cellStyle name="Normal 12 5 2 2 3" xfId="1185" xr:uid="{00000000-0005-0000-0000-00004E020000}"/>
    <cellStyle name="Normal 12 5 2 2 4" xfId="1186" xr:uid="{00000000-0005-0000-0000-00004F020000}"/>
    <cellStyle name="Normal 12 5 2 3" xfId="1187" xr:uid="{00000000-0005-0000-0000-000050020000}"/>
    <cellStyle name="Normal 12 5 2 4" xfId="1188" xr:uid="{00000000-0005-0000-0000-000051020000}"/>
    <cellStyle name="Normal 12 5 2 5" xfId="1189" xr:uid="{00000000-0005-0000-0000-000052020000}"/>
    <cellStyle name="Normal 12 5 3" xfId="510" xr:uid="{00000000-0005-0000-0000-000053020000}"/>
    <cellStyle name="Normal 12 5 3 2" xfId="1190" xr:uid="{00000000-0005-0000-0000-000054020000}"/>
    <cellStyle name="Normal 12 5 3 3" xfId="1191" xr:uid="{00000000-0005-0000-0000-000055020000}"/>
    <cellStyle name="Normal 12 5 3 4" xfId="1192" xr:uid="{00000000-0005-0000-0000-000056020000}"/>
    <cellStyle name="Normal 12 5 4" xfId="1193" xr:uid="{00000000-0005-0000-0000-000057020000}"/>
    <cellStyle name="Normal 12 5 5" xfId="1194" xr:uid="{00000000-0005-0000-0000-000058020000}"/>
    <cellStyle name="Normal 12 5 6" xfId="1195" xr:uid="{00000000-0005-0000-0000-000059020000}"/>
    <cellStyle name="Normal 12 6" xfId="278" xr:uid="{00000000-0005-0000-0000-00005A020000}"/>
    <cellStyle name="Normal 12 6 2" xfId="608" xr:uid="{00000000-0005-0000-0000-00005B020000}"/>
    <cellStyle name="Normal 12 6 2 2" xfId="1196" xr:uid="{00000000-0005-0000-0000-00005C020000}"/>
    <cellStyle name="Normal 12 6 2 3" xfId="1197" xr:uid="{00000000-0005-0000-0000-00005D020000}"/>
    <cellStyle name="Normal 12 6 2 4" xfId="1198" xr:uid="{00000000-0005-0000-0000-00005E020000}"/>
    <cellStyle name="Normal 12 6 3" xfId="1199" xr:uid="{00000000-0005-0000-0000-00005F020000}"/>
    <cellStyle name="Normal 12 6 4" xfId="1200" xr:uid="{00000000-0005-0000-0000-000060020000}"/>
    <cellStyle name="Normal 12 6 5" xfId="1201" xr:uid="{00000000-0005-0000-0000-000061020000}"/>
    <cellStyle name="Normal 12 7" xfId="408" xr:uid="{00000000-0005-0000-0000-000062020000}"/>
    <cellStyle name="Normal 12 7 2" xfId="1202" xr:uid="{00000000-0005-0000-0000-000063020000}"/>
    <cellStyle name="Normal 12 7 3" xfId="1203" xr:uid="{00000000-0005-0000-0000-000064020000}"/>
    <cellStyle name="Normal 12 7 4" xfId="1204" xr:uid="{00000000-0005-0000-0000-000065020000}"/>
    <cellStyle name="Normal 12 8" xfId="422" xr:uid="{00000000-0005-0000-0000-000066020000}"/>
    <cellStyle name="Normal 12 8 2" xfId="1205" xr:uid="{00000000-0005-0000-0000-000067020000}"/>
    <cellStyle name="Normal 12 8 3" xfId="1206" xr:uid="{00000000-0005-0000-0000-000068020000}"/>
    <cellStyle name="Normal 12 8 4" xfId="1207" xr:uid="{00000000-0005-0000-0000-000069020000}"/>
    <cellStyle name="Normal 12 9" xfId="1208" xr:uid="{00000000-0005-0000-0000-00006A020000}"/>
    <cellStyle name="Normal 13" xfId="11" xr:uid="{00000000-0005-0000-0000-00006B020000}"/>
    <cellStyle name="Normal 13 10" xfId="1209" xr:uid="{00000000-0005-0000-0000-00006C020000}"/>
    <cellStyle name="Normal 13 11" xfId="1210" xr:uid="{00000000-0005-0000-0000-00006D020000}"/>
    <cellStyle name="Normal 13 12" xfId="1211" xr:uid="{00000000-0005-0000-0000-00006E020000}"/>
    <cellStyle name="Normal 13 13" xfId="1212" xr:uid="{00000000-0005-0000-0000-00006F020000}"/>
    <cellStyle name="Normal 13 14" xfId="1213" xr:uid="{00000000-0005-0000-0000-000070020000}"/>
    <cellStyle name="Normal 13 2" xfId="29" xr:uid="{00000000-0005-0000-0000-000071020000}"/>
    <cellStyle name="Normal 13 2 2" xfId="47" xr:uid="{00000000-0005-0000-0000-000072020000}"/>
    <cellStyle name="Normal 13 2 2 2" xfId="86" xr:uid="{00000000-0005-0000-0000-000073020000}"/>
    <cellStyle name="Normal 13 2 2 2 2" xfId="166" xr:uid="{00000000-0005-0000-0000-000074020000}"/>
    <cellStyle name="Normal 13 2 2 2 2 2" xfId="279" xr:uid="{00000000-0005-0000-0000-000075020000}"/>
    <cellStyle name="Normal 13 2 2 2 2 2 2" xfId="609" xr:uid="{00000000-0005-0000-0000-000076020000}"/>
    <cellStyle name="Normal 13 2 2 2 2 2 2 2" xfId="1214" xr:uid="{00000000-0005-0000-0000-000077020000}"/>
    <cellStyle name="Normal 13 2 2 2 2 2 2 3" xfId="1215" xr:uid="{00000000-0005-0000-0000-000078020000}"/>
    <cellStyle name="Normal 13 2 2 2 2 2 2 4" xfId="1216" xr:uid="{00000000-0005-0000-0000-000079020000}"/>
    <cellStyle name="Normal 13 2 2 2 2 2 3" xfId="1217" xr:uid="{00000000-0005-0000-0000-00007A020000}"/>
    <cellStyle name="Normal 13 2 2 2 2 2 4" xfId="1218" xr:uid="{00000000-0005-0000-0000-00007B020000}"/>
    <cellStyle name="Normal 13 2 2 2 2 2 5" xfId="1219" xr:uid="{00000000-0005-0000-0000-00007C020000}"/>
    <cellStyle name="Normal 13 2 2 2 2 3" xfId="511" xr:uid="{00000000-0005-0000-0000-00007D020000}"/>
    <cellStyle name="Normal 13 2 2 2 2 3 2" xfId="1220" xr:uid="{00000000-0005-0000-0000-00007E020000}"/>
    <cellStyle name="Normal 13 2 2 2 2 3 3" xfId="1221" xr:uid="{00000000-0005-0000-0000-00007F020000}"/>
    <cellStyle name="Normal 13 2 2 2 2 3 4" xfId="1222" xr:uid="{00000000-0005-0000-0000-000080020000}"/>
    <cellStyle name="Normal 13 2 2 2 2 4" xfId="1223" xr:uid="{00000000-0005-0000-0000-000081020000}"/>
    <cellStyle name="Normal 13 2 2 2 2 5" xfId="1224" xr:uid="{00000000-0005-0000-0000-000082020000}"/>
    <cellStyle name="Normal 13 2 2 2 2 6" xfId="1225" xr:uid="{00000000-0005-0000-0000-000083020000}"/>
    <cellStyle name="Normal 13 2 2 2 3" xfId="280" xr:uid="{00000000-0005-0000-0000-000084020000}"/>
    <cellStyle name="Normal 13 2 2 2 3 2" xfId="610" xr:uid="{00000000-0005-0000-0000-000085020000}"/>
    <cellStyle name="Normal 13 2 2 2 3 2 2" xfId="1226" xr:uid="{00000000-0005-0000-0000-000086020000}"/>
    <cellStyle name="Normal 13 2 2 2 3 2 3" xfId="1227" xr:uid="{00000000-0005-0000-0000-000087020000}"/>
    <cellStyle name="Normal 13 2 2 2 3 2 4" xfId="1228" xr:uid="{00000000-0005-0000-0000-000088020000}"/>
    <cellStyle name="Normal 13 2 2 2 3 3" xfId="1229" xr:uid="{00000000-0005-0000-0000-000089020000}"/>
    <cellStyle name="Normal 13 2 2 2 3 4" xfId="1230" xr:uid="{00000000-0005-0000-0000-00008A020000}"/>
    <cellStyle name="Normal 13 2 2 2 3 5" xfId="1231" xr:uid="{00000000-0005-0000-0000-00008B020000}"/>
    <cellStyle name="Normal 13 2 2 2 4" xfId="486" xr:uid="{00000000-0005-0000-0000-00008C020000}"/>
    <cellStyle name="Normal 13 2 2 2 4 2" xfId="1232" xr:uid="{00000000-0005-0000-0000-00008D020000}"/>
    <cellStyle name="Normal 13 2 2 2 4 3" xfId="1233" xr:uid="{00000000-0005-0000-0000-00008E020000}"/>
    <cellStyle name="Normal 13 2 2 2 4 4" xfId="1234" xr:uid="{00000000-0005-0000-0000-00008F020000}"/>
    <cellStyle name="Normal 13 2 2 2 5" xfId="1235" xr:uid="{00000000-0005-0000-0000-000090020000}"/>
    <cellStyle name="Normal 13 2 2 2 6" xfId="1236" xr:uid="{00000000-0005-0000-0000-000091020000}"/>
    <cellStyle name="Normal 13 2 2 2 7" xfId="1237" xr:uid="{00000000-0005-0000-0000-000092020000}"/>
    <cellStyle name="Normal 13 2 2 3" xfId="167" xr:uid="{00000000-0005-0000-0000-000093020000}"/>
    <cellStyle name="Normal 13 2 2 3 2" xfId="281" xr:uid="{00000000-0005-0000-0000-000094020000}"/>
    <cellStyle name="Normal 13 2 2 3 2 2" xfId="611" xr:uid="{00000000-0005-0000-0000-000095020000}"/>
    <cellStyle name="Normal 13 2 2 3 2 2 2" xfId="1238" xr:uid="{00000000-0005-0000-0000-000096020000}"/>
    <cellStyle name="Normal 13 2 2 3 2 2 3" xfId="1239" xr:uid="{00000000-0005-0000-0000-000097020000}"/>
    <cellStyle name="Normal 13 2 2 3 2 2 4" xfId="1240" xr:uid="{00000000-0005-0000-0000-000098020000}"/>
    <cellStyle name="Normal 13 2 2 3 2 3" xfId="1241" xr:uid="{00000000-0005-0000-0000-000099020000}"/>
    <cellStyle name="Normal 13 2 2 3 2 4" xfId="1242" xr:uid="{00000000-0005-0000-0000-00009A020000}"/>
    <cellStyle name="Normal 13 2 2 3 2 5" xfId="1243" xr:uid="{00000000-0005-0000-0000-00009B020000}"/>
    <cellStyle name="Normal 13 2 2 3 3" xfId="512" xr:uid="{00000000-0005-0000-0000-00009C020000}"/>
    <cellStyle name="Normal 13 2 2 3 3 2" xfId="1244" xr:uid="{00000000-0005-0000-0000-00009D020000}"/>
    <cellStyle name="Normal 13 2 2 3 3 3" xfId="1245" xr:uid="{00000000-0005-0000-0000-00009E020000}"/>
    <cellStyle name="Normal 13 2 2 3 3 4" xfId="1246" xr:uid="{00000000-0005-0000-0000-00009F020000}"/>
    <cellStyle name="Normal 13 2 2 3 4" xfId="1247" xr:uid="{00000000-0005-0000-0000-0000A0020000}"/>
    <cellStyle name="Normal 13 2 2 3 5" xfId="1248" xr:uid="{00000000-0005-0000-0000-0000A1020000}"/>
    <cellStyle name="Normal 13 2 2 3 6" xfId="1249" xr:uid="{00000000-0005-0000-0000-0000A2020000}"/>
    <cellStyle name="Normal 13 2 2 4" xfId="282" xr:uid="{00000000-0005-0000-0000-0000A3020000}"/>
    <cellStyle name="Normal 13 2 2 4 2" xfId="612" xr:uid="{00000000-0005-0000-0000-0000A4020000}"/>
    <cellStyle name="Normal 13 2 2 4 2 2" xfId="1250" xr:uid="{00000000-0005-0000-0000-0000A5020000}"/>
    <cellStyle name="Normal 13 2 2 4 2 3" xfId="1251" xr:uid="{00000000-0005-0000-0000-0000A6020000}"/>
    <cellStyle name="Normal 13 2 2 4 2 4" xfId="1252" xr:uid="{00000000-0005-0000-0000-0000A7020000}"/>
    <cellStyle name="Normal 13 2 2 4 3" xfId="1253" xr:uid="{00000000-0005-0000-0000-0000A8020000}"/>
    <cellStyle name="Normal 13 2 2 4 4" xfId="1254" xr:uid="{00000000-0005-0000-0000-0000A9020000}"/>
    <cellStyle name="Normal 13 2 2 4 5" xfId="1255" xr:uid="{00000000-0005-0000-0000-0000AA020000}"/>
    <cellStyle name="Normal 13 2 2 5" xfId="449" xr:uid="{00000000-0005-0000-0000-0000AB020000}"/>
    <cellStyle name="Normal 13 2 2 5 2" xfId="1256" xr:uid="{00000000-0005-0000-0000-0000AC020000}"/>
    <cellStyle name="Normal 13 2 2 5 3" xfId="1257" xr:uid="{00000000-0005-0000-0000-0000AD020000}"/>
    <cellStyle name="Normal 13 2 2 5 4" xfId="1258" xr:uid="{00000000-0005-0000-0000-0000AE020000}"/>
    <cellStyle name="Normal 13 2 2 6" xfId="1259" xr:uid="{00000000-0005-0000-0000-0000AF020000}"/>
    <cellStyle name="Normal 13 2 2 7" xfId="1260" xr:uid="{00000000-0005-0000-0000-0000B0020000}"/>
    <cellStyle name="Normal 13 2 2 8" xfId="1261" xr:uid="{00000000-0005-0000-0000-0000B1020000}"/>
    <cellStyle name="Normal 13 2 3" xfId="68" xr:uid="{00000000-0005-0000-0000-0000B2020000}"/>
    <cellStyle name="Normal 13 2 3 2" xfId="168" xr:uid="{00000000-0005-0000-0000-0000B3020000}"/>
    <cellStyle name="Normal 13 2 3 2 2" xfId="283" xr:uid="{00000000-0005-0000-0000-0000B4020000}"/>
    <cellStyle name="Normal 13 2 3 2 2 2" xfId="613" xr:uid="{00000000-0005-0000-0000-0000B5020000}"/>
    <cellStyle name="Normal 13 2 3 2 2 2 2" xfId="1262" xr:uid="{00000000-0005-0000-0000-0000B6020000}"/>
    <cellStyle name="Normal 13 2 3 2 2 2 3" xfId="1263" xr:uid="{00000000-0005-0000-0000-0000B7020000}"/>
    <cellStyle name="Normal 13 2 3 2 2 2 4" xfId="1264" xr:uid="{00000000-0005-0000-0000-0000B8020000}"/>
    <cellStyle name="Normal 13 2 3 2 2 3" xfId="1265" xr:uid="{00000000-0005-0000-0000-0000B9020000}"/>
    <cellStyle name="Normal 13 2 3 2 2 4" xfId="1266" xr:uid="{00000000-0005-0000-0000-0000BA020000}"/>
    <cellStyle name="Normal 13 2 3 2 2 5" xfId="1267" xr:uid="{00000000-0005-0000-0000-0000BB020000}"/>
    <cellStyle name="Normal 13 2 3 2 3" xfId="513" xr:uid="{00000000-0005-0000-0000-0000BC020000}"/>
    <cellStyle name="Normal 13 2 3 2 3 2" xfId="1268" xr:uid="{00000000-0005-0000-0000-0000BD020000}"/>
    <cellStyle name="Normal 13 2 3 2 3 3" xfId="1269" xr:uid="{00000000-0005-0000-0000-0000BE020000}"/>
    <cellStyle name="Normal 13 2 3 2 3 4" xfId="1270" xr:uid="{00000000-0005-0000-0000-0000BF020000}"/>
    <cellStyle name="Normal 13 2 3 2 4" xfId="1271" xr:uid="{00000000-0005-0000-0000-0000C0020000}"/>
    <cellStyle name="Normal 13 2 3 2 5" xfId="1272" xr:uid="{00000000-0005-0000-0000-0000C1020000}"/>
    <cellStyle name="Normal 13 2 3 2 6" xfId="1273" xr:uid="{00000000-0005-0000-0000-0000C2020000}"/>
    <cellStyle name="Normal 13 2 3 3" xfId="284" xr:uid="{00000000-0005-0000-0000-0000C3020000}"/>
    <cellStyle name="Normal 13 2 3 3 2" xfId="614" xr:uid="{00000000-0005-0000-0000-0000C4020000}"/>
    <cellStyle name="Normal 13 2 3 3 2 2" xfId="1274" xr:uid="{00000000-0005-0000-0000-0000C5020000}"/>
    <cellStyle name="Normal 13 2 3 3 2 3" xfId="1275" xr:uid="{00000000-0005-0000-0000-0000C6020000}"/>
    <cellStyle name="Normal 13 2 3 3 2 4" xfId="1276" xr:uid="{00000000-0005-0000-0000-0000C7020000}"/>
    <cellStyle name="Normal 13 2 3 3 3" xfId="1277" xr:uid="{00000000-0005-0000-0000-0000C8020000}"/>
    <cellStyle name="Normal 13 2 3 3 4" xfId="1278" xr:uid="{00000000-0005-0000-0000-0000C9020000}"/>
    <cellStyle name="Normal 13 2 3 3 5" xfId="1279" xr:uid="{00000000-0005-0000-0000-0000CA020000}"/>
    <cellStyle name="Normal 13 2 3 4" xfId="468" xr:uid="{00000000-0005-0000-0000-0000CB020000}"/>
    <cellStyle name="Normal 13 2 3 4 2" xfId="1280" xr:uid="{00000000-0005-0000-0000-0000CC020000}"/>
    <cellStyle name="Normal 13 2 3 4 3" xfId="1281" xr:uid="{00000000-0005-0000-0000-0000CD020000}"/>
    <cellStyle name="Normal 13 2 3 4 4" xfId="1282" xr:uid="{00000000-0005-0000-0000-0000CE020000}"/>
    <cellStyle name="Normal 13 2 3 5" xfId="1283" xr:uid="{00000000-0005-0000-0000-0000CF020000}"/>
    <cellStyle name="Normal 13 2 3 6" xfId="1284" xr:uid="{00000000-0005-0000-0000-0000D0020000}"/>
    <cellStyle name="Normal 13 2 3 7" xfId="1285" xr:uid="{00000000-0005-0000-0000-0000D1020000}"/>
    <cellStyle name="Normal 13 2 4" xfId="169" xr:uid="{00000000-0005-0000-0000-0000D2020000}"/>
    <cellStyle name="Normal 13 2 4 2" xfId="285" xr:uid="{00000000-0005-0000-0000-0000D3020000}"/>
    <cellStyle name="Normal 13 2 4 2 2" xfId="615" xr:uid="{00000000-0005-0000-0000-0000D4020000}"/>
    <cellStyle name="Normal 13 2 4 2 2 2" xfId="1286" xr:uid="{00000000-0005-0000-0000-0000D5020000}"/>
    <cellStyle name="Normal 13 2 4 2 2 3" xfId="1287" xr:uid="{00000000-0005-0000-0000-0000D6020000}"/>
    <cellStyle name="Normal 13 2 4 2 2 4" xfId="1288" xr:uid="{00000000-0005-0000-0000-0000D7020000}"/>
    <cellStyle name="Normal 13 2 4 2 3" xfId="1289" xr:uid="{00000000-0005-0000-0000-0000D8020000}"/>
    <cellStyle name="Normal 13 2 4 2 4" xfId="1290" xr:uid="{00000000-0005-0000-0000-0000D9020000}"/>
    <cellStyle name="Normal 13 2 4 2 5" xfId="1291" xr:uid="{00000000-0005-0000-0000-0000DA020000}"/>
    <cellStyle name="Normal 13 2 4 3" xfId="514" xr:uid="{00000000-0005-0000-0000-0000DB020000}"/>
    <cellStyle name="Normal 13 2 4 3 2" xfId="1292" xr:uid="{00000000-0005-0000-0000-0000DC020000}"/>
    <cellStyle name="Normal 13 2 4 3 3" xfId="1293" xr:uid="{00000000-0005-0000-0000-0000DD020000}"/>
    <cellStyle name="Normal 13 2 4 3 4" xfId="1294" xr:uid="{00000000-0005-0000-0000-0000DE020000}"/>
    <cellStyle name="Normal 13 2 4 4" xfId="1295" xr:uid="{00000000-0005-0000-0000-0000DF020000}"/>
    <cellStyle name="Normal 13 2 4 5" xfId="1296" xr:uid="{00000000-0005-0000-0000-0000E0020000}"/>
    <cellStyle name="Normal 13 2 4 6" xfId="1297" xr:uid="{00000000-0005-0000-0000-0000E1020000}"/>
    <cellStyle name="Normal 13 2 5" xfId="286" xr:uid="{00000000-0005-0000-0000-0000E2020000}"/>
    <cellStyle name="Normal 13 2 5 2" xfId="616" xr:uid="{00000000-0005-0000-0000-0000E3020000}"/>
    <cellStyle name="Normal 13 2 5 2 2" xfId="1298" xr:uid="{00000000-0005-0000-0000-0000E4020000}"/>
    <cellStyle name="Normal 13 2 5 2 3" xfId="1299" xr:uid="{00000000-0005-0000-0000-0000E5020000}"/>
    <cellStyle name="Normal 13 2 5 2 4" xfId="1300" xr:uid="{00000000-0005-0000-0000-0000E6020000}"/>
    <cellStyle name="Normal 13 2 5 3" xfId="1301" xr:uid="{00000000-0005-0000-0000-0000E7020000}"/>
    <cellStyle name="Normal 13 2 5 4" xfId="1302" xr:uid="{00000000-0005-0000-0000-0000E8020000}"/>
    <cellStyle name="Normal 13 2 5 5" xfId="1303" xr:uid="{00000000-0005-0000-0000-0000E9020000}"/>
    <cellStyle name="Normal 13 2 6" xfId="431" xr:uid="{00000000-0005-0000-0000-0000EA020000}"/>
    <cellStyle name="Normal 13 2 6 2" xfId="1304" xr:uid="{00000000-0005-0000-0000-0000EB020000}"/>
    <cellStyle name="Normal 13 2 6 3" xfId="1305" xr:uid="{00000000-0005-0000-0000-0000EC020000}"/>
    <cellStyle name="Normal 13 2 6 4" xfId="1306" xr:uid="{00000000-0005-0000-0000-0000ED020000}"/>
    <cellStyle name="Normal 13 2 7" xfId="1307" xr:uid="{00000000-0005-0000-0000-0000EE020000}"/>
    <cellStyle name="Normal 13 2 8" xfId="1308" xr:uid="{00000000-0005-0000-0000-0000EF020000}"/>
    <cellStyle name="Normal 13 2 9" xfId="1309" xr:uid="{00000000-0005-0000-0000-0000F0020000}"/>
    <cellStyle name="Normal 13 3" xfId="40" xr:uid="{00000000-0005-0000-0000-0000F1020000}"/>
    <cellStyle name="Normal 13 3 2" xfId="79" xr:uid="{00000000-0005-0000-0000-0000F2020000}"/>
    <cellStyle name="Normal 13 3 2 2" xfId="170" xr:uid="{00000000-0005-0000-0000-0000F3020000}"/>
    <cellStyle name="Normal 13 3 2 2 2" xfId="287" xr:uid="{00000000-0005-0000-0000-0000F4020000}"/>
    <cellStyle name="Normal 13 3 2 2 2 2" xfId="617" xr:uid="{00000000-0005-0000-0000-0000F5020000}"/>
    <cellStyle name="Normal 13 3 2 2 2 2 2" xfId="1310" xr:uid="{00000000-0005-0000-0000-0000F6020000}"/>
    <cellStyle name="Normal 13 3 2 2 2 2 3" xfId="1311" xr:uid="{00000000-0005-0000-0000-0000F7020000}"/>
    <cellStyle name="Normal 13 3 2 2 2 2 4" xfId="1312" xr:uid="{00000000-0005-0000-0000-0000F8020000}"/>
    <cellStyle name="Normal 13 3 2 2 2 3" xfId="1313" xr:uid="{00000000-0005-0000-0000-0000F9020000}"/>
    <cellStyle name="Normal 13 3 2 2 2 4" xfId="1314" xr:uid="{00000000-0005-0000-0000-0000FA020000}"/>
    <cellStyle name="Normal 13 3 2 2 2 5" xfId="1315" xr:uid="{00000000-0005-0000-0000-0000FB020000}"/>
    <cellStyle name="Normal 13 3 2 2 3" xfId="515" xr:uid="{00000000-0005-0000-0000-0000FC020000}"/>
    <cellStyle name="Normal 13 3 2 2 3 2" xfId="1316" xr:uid="{00000000-0005-0000-0000-0000FD020000}"/>
    <cellStyle name="Normal 13 3 2 2 3 3" xfId="1317" xr:uid="{00000000-0005-0000-0000-0000FE020000}"/>
    <cellStyle name="Normal 13 3 2 2 3 4" xfId="1318" xr:uid="{00000000-0005-0000-0000-0000FF020000}"/>
    <cellStyle name="Normal 13 3 2 2 4" xfId="1319" xr:uid="{00000000-0005-0000-0000-000000030000}"/>
    <cellStyle name="Normal 13 3 2 2 5" xfId="1320" xr:uid="{00000000-0005-0000-0000-000001030000}"/>
    <cellStyle name="Normal 13 3 2 2 6" xfId="1321" xr:uid="{00000000-0005-0000-0000-000002030000}"/>
    <cellStyle name="Normal 13 3 2 3" xfId="288" xr:uid="{00000000-0005-0000-0000-000003030000}"/>
    <cellStyle name="Normal 13 3 2 3 2" xfId="618" xr:uid="{00000000-0005-0000-0000-000004030000}"/>
    <cellStyle name="Normal 13 3 2 3 2 2" xfId="1322" xr:uid="{00000000-0005-0000-0000-000005030000}"/>
    <cellStyle name="Normal 13 3 2 3 2 3" xfId="1323" xr:uid="{00000000-0005-0000-0000-000006030000}"/>
    <cellStyle name="Normal 13 3 2 3 2 4" xfId="1324" xr:uid="{00000000-0005-0000-0000-000007030000}"/>
    <cellStyle name="Normal 13 3 2 3 3" xfId="1325" xr:uid="{00000000-0005-0000-0000-000008030000}"/>
    <cellStyle name="Normal 13 3 2 3 4" xfId="1326" xr:uid="{00000000-0005-0000-0000-000009030000}"/>
    <cellStyle name="Normal 13 3 2 3 5" xfId="1327" xr:uid="{00000000-0005-0000-0000-00000A030000}"/>
    <cellStyle name="Normal 13 3 2 4" xfId="479" xr:uid="{00000000-0005-0000-0000-00000B030000}"/>
    <cellStyle name="Normal 13 3 2 4 2" xfId="1328" xr:uid="{00000000-0005-0000-0000-00000C030000}"/>
    <cellStyle name="Normal 13 3 2 4 3" xfId="1329" xr:uid="{00000000-0005-0000-0000-00000D030000}"/>
    <cellStyle name="Normal 13 3 2 4 4" xfId="1330" xr:uid="{00000000-0005-0000-0000-00000E030000}"/>
    <cellStyle name="Normal 13 3 2 5" xfId="1331" xr:uid="{00000000-0005-0000-0000-00000F030000}"/>
    <cellStyle name="Normal 13 3 2 6" xfId="1332" xr:uid="{00000000-0005-0000-0000-000010030000}"/>
    <cellStyle name="Normal 13 3 2 7" xfId="1333" xr:uid="{00000000-0005-0000-0000-000011030000}"/>
    <cellStyle name="Normal 13 3 3" xfId="171" xr:uid="{00000000-0005-0000-0000-000012030000}"/>
    <cellStyle name="Normal 13 3 3 2" xfId="289" xr:uid="{00000000-0005-0000-0000-000013030000}"/>
    <cellStyle name="Normal 13 3 3 2 2" xfId="619" xr:uid="{00000000-0005-0000-0000-000014030000}"/>
    <cellStyle name="Normal 13 3 3 2 2 2" xfId="1334" xr:uid="{00000000-0005-0000-0000-000015030000}"/>
    <cellStyle name="Normal 13 3 3 2 2 3" xfId="1335" xr:uid="{00000000-0005-0000-0000-000016030000}"/>
    <cellStyle name="Normal 13 3 3 2 2 4" xfId="1336" xr:uid="{00000000-0005-0000-0000-000017030000}"/>
    <cellStyle name="Normal 13 3 3 2 3" xfId="1337" xr:uid="{00000000-0005-0000-0000-000018030000}"/>
    <cellStyle name="Normal 13 3 3 2 4" xfId="1338" xr:uid="{00000000-0005-0000-0000-000019030000}"/>
    <cellStyle name="Normal 13 3 3 2 5" xfId="1339" xr:uid="{00000000-0005-0000-0000-00001A030000}"/>
    <cellStyle name="Normal 13 3 3 3" xfId="516" xr:uid="{00000000-0005-0000-0000-00001B030000}"/>
    <cellStyle name="Normal 13 3 3 3 2" xfId="1340" xr:uid="{00000000-0005-0000-0000-00001C030000}"/>
    <cellStyle name="Normal 13 3 3 3 3" xfId="1341" xr:uid="{00000000-0005-0000-0000-00001D030000}"/>
    <cellStyle name="Normal 13 3 3 3 4" xfId="1342" xr:uid="{00000000-0005-0000-0000-00001E030000}"/>
    <cellStyle name="Normal 13 3 3 4" xfId="1343" xr:uid="{00000000-0005-0000-0000-00001F030000}"/>
    <cellStyle name="Normal 13 3 3 5" xfId="1344" xr:uid="{00000000-0005-0000-0000-000020030000}"/>
    <cellStyle name="Normal 13 3 3 6" xfId="1345" xr:uid="{00000000-0005-0000-0000-000021030000}"/>
    <cellStyle name="Normal 13 3 4" xfId="290" xr:uid="{00000000-0005-0000-0000-000022030000}"/>
    <cellStyle name="Normal 13 3 4 2" xfId="620" xr:uid="{00000000-0005-0000-0000-000023030000}"/>
    <cellStyle name="Normal 13 3 4 2 2" xfId="1346" xr:uid="{00000000-0005-0000-0000-000024030000}"/>
    <cellStyle name="Normal 13 3 4 2 3" xfId="1347" xr:uid="{00000000-0005-0000-0000-000025030000}"/>
    <cellStyle name="Normal 13 3 4 2 4" xfId="1348" xr:uid="{00000000-0005-0000-0000-000026030000}"/>
    <cellStyle name="Normal 13 3 4 3" xfId="1349" xr:uid="{00000000-0005-0000-0000-000027030000}"/>
    <cellStyle name="Normal 13 3 4 4" xfId="1350" xr:uid="{00000000-0005-0000-0000-000028030000}"/>
    <cellStyle name="Normal 13 3 4 5" xfId="1351" xr:uid="{00000000-0005-0000-0000-000029030000}"/>
    <cellStyle name="Normal 13 3 5" xfId="442" xr:uid="{00000000-0005-0000-0000-00002A030000}"/>
    <cellStyle name="Normal 13 3 5 2" xfId="1352" xr:uid="{00000000-0005-0000-0000-00002B030000}"/>
    <cellStyle name="Normal 13 3 5 3" xfId="1353" xr:uid="{00000000-0005-0000-0000-00002C030000}"/>
    <cellStyle name="Normal 13 3 5 4" xfId="1354" xr:uid="{00000000-0005-0000-0000-00002D030000}"/>
    <cellStyle name="Normal 13 3 6" xfId="1355" xr:uid="{00000000-0005-0000-0000-00002E030000}"/>
    <cellStyle name="Normal 13 3 7" xfId="1356" xr:uid="{00000000-0005-0000-0000-00002F030000}"/>
    <cellStyle name="Normal 13 3 8" xfId="1357" xr:uid="{00000000-0005-0000-0000-000030030000}"/>
    <cellStyle name="Normal 13 4" xfId="61" xr:uid="{00000000-0005-0000-0000-000031030000}"/>
    <cellStyle name="Normal 13 4 2" xfId="172" xr:uid="{00000000-0005-0000-0000-000032030000}"/>
    <cellStyle name="Normal 13 4 2 2" xfId="291" xr:uid="{00000000-0005-0000-0000-000033030000}"/>
    <cellStyle name="Normal 13 4 2 2 2" xfId="621" xr:uid="{00000000-0005-0000-0000-000034030000}"/>
    <cellStyle name="Normal 13 4 2 2 2 2" xfId="1358" xr:uid="{00000000-0005-0000-0000-000035030000}"/>
    <cellStyle name="Normal 13 4 2 2 2 3" xfId="1359" xr:uid="{00000000-0005-0000-0000-000036030000}"/>
    <cellStyle name="Normal 13 4 2 2 2 4" xfId="1360" xr:uid="{00000000-0005-0000-0000-000037030000}"/>
    <cellStyle name="Normal 13 4 2 2 3" xfId="1361" xr:uid="{00000000-0005-0000-0000-000038030000}"/>
    <cellStyle name="Normal 13 4 2 2 4" xfId="1362" xr:uid="{00000000-0005-0000-0000-000039030000}"/>
    <cellStyle name="Normal 13 4 2 2 5" xfId="1363" xr:uid="{00000000-0005-0000-0000-00003A030000}"/>
    <cellStyle name="Normal 13 4 2 3" xfId="517" xr:uid="{00000000-0005-0000-0000-00003B030000}"/>
    <cellStyle name="Normal 13 4 2 3 2" xfId="1364" xr:uid="{00000000-0005-0000-0000-00003C030000}"/>
    <cellStyle name="Normal 13 4 2 3 3" xfId="1365" xr:uid="{00000000-0005-0000-0000-00003D030000}"/>
    <cellStyle name="Normal 13 4 2 3 4" xfId="1366" xr:uid="{00000000-0005-0000-0000-00003E030000}"/>
    <cellStyle name="Normal 13 4 2 4" xfId="1367" xr:uid="{00000000-0005-0000-0000-00003F030000}"/>
    <cellStyle name="Normal 13 4 2 5" xfId="1368" xr:uid="{00000000-0005-0000-0000-000040030000}"/>
    <cellStyle name="Normal 13 4 2 6" xfId="1369" xr:uid="{00000000-0005-0000-0000-000041030000}"/>
    <cellStyle name="Normal 13 4 3" xfId="292" xr:uid="{00000000-0005-0000-0000-000042030000}"/>
    <cellStyle name="Normal 13 4 3 2" xfId="622" xr:uid="{00000000-0005-0000-0000-000043030000}"/>
    <cellStyle name="Normal 13 4 3 2 2" xfId="1370" xr:uid="{00000000-0005-0000-0000-000044030000}"/>
    <cellStyle name="Normal 13 4 3 2 3" xfId="1371" xr:uid="{00000000-0005-0000-0000-000045030000}"/>
    <cellStyle name="Normal 13 4 3 2 4" xfId="1372" xr:uid="{00000000-0005-0000-0000-000046030000}"/>
    <cellStyle name="Normal 13 4 3 3" xfId="1373" xr:uid="{00000000-0005-0000-0000-000047030000}"/>
    <cellStyle name="Normal 13 4 3 4" xfId="1374" xr:uid="{00000000-0005-0000-0000-000048030000}"/>
    <cellStyle name="Normal 13 4 3 5" xfId="1375" xr:uid="{00000000-0005-0000-0000-000049030000}"/>
    <cellStyle name="Normal 13 4 4" xfId="461" xr:uid="{00000000-0005-0000-0000-00004A030000}"/>
    <cellStyle name="Normal 13 4 4 2" xfId="1376" xr:uid="{00000000-0005-0000-0000-00004B030000}"/>
    <cellStyle name="Normal 13 4 4 3" xfId="1377" xr:uid="{00000000-0005-0000-0000-00004C030000}"/>
    <cellStyle name="Normal 13 4 4 4" xfId="1378" xr:uid="{00000000-0005-0000-0000-00004D030000}"/>
    <cellStyle name="Normal 13 4 5" xfId="1379" xr:uid="{00000000-0005-0000-0000-00004E030000}"/>
    <cellStyle name="Normal 13 4 6" xfId="1380" xr:uid="{00000000-0005-0000-0000-00004F030000}"/>
    <cellStyle name="Normal 13 4 7" xfId="1381" xr:uid="{00000000-0005-0000-0000-000050030000}"/>
    <cellStyle name="Normal 13 5" xfId="173" xr:uid="{00000000-0005-0000-0000-000051030000}"/>
    <cellStyle name="Normal 13 5 2" xfId="293" xr:uid="{00000000-0005-0000-0000-000052030000}"/>
    <cellStyle name="Normal 13 5 2 2" xfId="623" xr:uid="{00000000-0005-0000-0000-000053030000}"/>
    <cellStyle name="Normal 13 5 2 2 2" xfId="1382" xr:uid="{00000000-0005-0000-0000-000054030000}"/>
    <cellStyle name="Normal 13 5 2 2 3" xfId="1383" xr:uid="{00000000-0005-0000-0000-000055030000}"/>
    <cellStyle name="Normal 13 5 2 2 4" xfId="1384" xr:uid="{00000000-0005-0000-0000-000056030000}"/>
    <cellStyle name="Normal 13 5 2 3" xfId="1385" xr:uid="{00000000-0005-0000-0000-000057030000}"/>
    <cellStyle name="Normal 13 5 2 4" xfId="1386" xr:uid="{00000000-0005-0000-0000-000058030000}"/>
    <cellStyle name="Normal 13 5 2 5" xfId="1387" xr:uid="{00000000-0005-0000-0000-000059030000}"/>
    <cellStyle name="Normal 13 5 3" xfId="518" xr:uid="{00000000-0005-0000-0000-00005A030000}"/>
    <cellStyle name="Normal 13 5 3 2" xfId="1388" xr:uid="{00000000-0005-0000-0000-00005B030000}"/>
    <cellStyle name="Normal 13 5 3 3" xfId="1389" xr:uid="{00000000-0005-0000-0000-00005C030000}"/>
    <cellStyle name="Normal 13 5 3 4" xfId="1390" xr:uid="{00000000-0005-0000-0000-00005D030000}"/>
    <cellStyle name="Normal 13 5 4" xfId="1391" xr:uid="{00000000-0005-0000-0000-00005E030000}"/>
    <cellStyle name="Normal 13 5 5" xfId="1392" xr:uid="{00000000-0005-0000-0000-00005F030000}"/>
    <cellStyle name="Normal 13 5 6" xfId="1393" xr:uid="{00000000-0005-0000-0000-000060030000}"/>
    <cellStyle name="Normal 13 6" xfId="294" xr:uid="{00000000-0005-0000-0000-000061030000}"/>
    <cellStyle name="Normal 13 6 2" xfId="624" xr:uid="{00000000-0005-0000-0000-000062030000}"/>
    <cellStyle name="Normal 13 6 2 2" xfId="1394" xr:uid="{00000000-0005-0000-0000-000063030000}"/>
    <cellStyle name="Normal 13 6 2 3" xfId="1395" xr:uid="{00000000-0005-0000-0000-000064030000}"/>
    <cellStyle name="Normal 13 6 2 4" xfId="1396" xr:uid="{00000000-0005-0000-0000-000065030000}"/>
    <cellStyle name="Normal 13 6 3" xfId="1397" xr:uid="{00000000-0005-0000-0000-000066030000}"/>
    <cellStyle name="Normal 13 6 4" xfId="1398" xr:uid="{00000000-0005-0000-0000-000067030000}"/>
    <cellStyle name="Normal 13 6 5" xfId="1399" xr:uid="{00000000-0005-0000-0000-000068030000}"/>
    <cellStyle name="Normal 13 7" xfId="410" xr:uid="{00000000-0005-0000-0000-000069030000}"/>
    <cellStyle name="Normal 13 7 2" xfId="1400" xr:uid="{00000000-0005-0000-0000-00006A030000}"/>
    <cellStyle name="Normal 13 7 3" xfId="1401" xr:uid="{00000000-0005-0000-0000-00006B030000}"/>
    <cellStyle name="Normal 13 7 4" xfId="1402" xr:uid="{00000000-0005-0000-0000-00006C030000}"/>
    <cellStyle name="Normal 13 8" xfId="424" xr:uid="{00000000-0005-0000-0000-00006D030000}"/>
    <cellStyle name="Normal 13 8 2" xfId="1403" xr:uid="{00000000-0005-0000-0000-00006E030000}"/>
    <cellStyle name="Normal 13 8 3" xfId="1404" xr:uid="{00000000-0005-0000-0000-00006F030000}"/>
    <cellStyle name="Normal 13 8 4" xfId="1405" xr:uid="{00000000-0005-0000-0000-000070030000}"/>
    <cellStyle name="Normal 13 9" xfId="1406" xr:uid="{00000000-0005-0000-0000-000071030000}"/>
    <cellStyle name="Normal 14" xfId="12" xr:uid="{00000000-0005-0000-0000-000072030000}"/>
    <cellStyle name="Normal 14 10" xfId="1407" xr:uid="{00000000-0005-0000-0000-000073030000}"/>
    <cellStyle name="Normal 14 11" xfId="1408" xr:uid="{00000000-0005-0000-0000-000074030000}"/>
    <cellStyle name="Normal 14 12" xfId="1409" xr:uid="{00000000-0005-0000-0000-000075030000}"/>
    <cellStyle name="Normal 14 13" xfId="1410" xr:uid="{00000000-0005-0000-0000-000076030000}"/>
    <cellStyle name="Normal 14 2" xfId="41" xr:uid="{00000000-0005-0000-0000-000077030000}"/>
    <cellStyle name="Normal 14 2 2" xfId="80" xr:uid="{00000000-0005-0000-0000-000078030000}"/>
    <cellStyle name="Normal 14 2 2 2" xfId="174" xr:uid="{00000000-0005-0000-0000-000079030000}"/>
    <cellStyle name="Normal 14 2 2 2 2" xfId="295" xr:uid="{00000000-0005-0000-0000-00007A030000}"/>
    <cellStyle name="Normal 14 2 2 2 2 2" xfId="625" xr:uid="{00000000-0005-0000-0000-00007B030000}"/>
    <cellStyle name="Normal 14 2 2 2 2 2 2" xfId="1411" xr:uid="{00000000-0005-0000-0000-00007C030000}"/>
    <cellStyle name="Normal 14 2 2 2 2 2 3" xfId="1412" xr:uid="{00000000-0005-0000-0000-00007D030000}"/>
    <cellStyle name="Normal 14 2 2 2 2 2 4" xfId="1413" xr:uid="{00000000-0005-0000-0000-00007E030000}"/>
    <cellStyle name="Normal 14 2 2 2 2 3" xfId="1414" xr:uid="{00000000-0005-0000-0000-00007F030000}"/>
    <cellStyle name="Normal 14 2 2 2 2 4" xfId="1415" xr:uid="{00000000-0005-0000-0000-000080030000}"/>
    <cellStyle name="Normal 14 2 2 2 2 5" xfId="1416" xr:uid="{00000000-0005-0000-0000-000081030000}"/>
    <cellStyle name="Normal 14 2 2 2 3" xfId="519" xr:uid="{00000000-0005-0000-0000-000082030000}"/>
    <cellStyle name="Normal 14 2 2 2 3 2" xfId="1417" xr:uid="{00000000-0005-0000-0000-000083030000}"/>
    <cellStyle name="Normal 14 2 2 2 3 3" xfId="1418" xr:uid="{00000000-0005-0000-0000-000084030000}"/>
    <cellStyle name="Normal 14 2 2 2 3 4" xfId="1419" xr:uid="{00000000-0005-0000-0000-000085030000}"/>
    <cellStyle name="Normal 14 2 2 2 4" xfId="1420" xr:uid="{00000000-0005-0000-0000-000086030000}"/>
    <cellStyle name="Normal 14 2 2 2 5" xfId="1421" xr:uid="{00000000-0005-0000-0000-000087030000}"/>
    <cellStyle name="Normal 14 2 2 2 6" xfId="1422" xr:uid="{00000000-0005-0000-0000-000088030000}"/>
    <cellStyle name="Normal 14 2 2 3" xfId="296" xr:uid="{00000000-0005-0000-0000-000089030000}"/>
    <cellStyle name="Normal 14 2 2 3 2" xfId="626" xr:uid="{00000000-0005-0000-0000-00008A030000}"/>
    <cellStyle name="Normal 14 2 2 3 2 2" xfId="1423" xr:uid="{00000000-0005-0000-0000-00008B030000}"/>
    <cellStyle name="Normal 14 2 2 3 2 3" xfId="1424" xr:uid="{00000000-0005-0000-0000-00008C030000}"/>
    <cellStyle name="Normal 14 2 2 3 2 4" xfId="1425" xr:uid="{00000000-0005-0000-0000-00008D030000}"/>
    <cellStyle name="Normal 14 2 2 3 3" xfId="1426" xr:uid="{00000000-0005-0000-0000-00008E030000}"/>
    <cellStyle name="Normal 14 2 2 3 4" xfId="1427" xr:uid="{00000000-0005-0000-0000-00008F030000}"/>
    <cellStyle name="Normal 14 2 2 3 5" xfId="1428" xr:uid="{00000000-0005-0000-0000-000090030000}"/>
    <cellStyle name="Normal 14 2 2 4" xfId="480" xr:uid="{00000000-0005-0000-0000-000091030000}"/>
    <cellStyle name="Normal 14 2 2 4 2" xfId="1429" xr:uid="{00000000-0005-0000-0000-000092030000}"/>
    <cellStyle name="Normal 14 2 2 4 3" xfId="1430" xr:uid="{00000000-0005-0000-0000-000093030000}"/>
    <cellStyle name="Normal 14 2 2 4 4" xfId="1431" xr:uid="{00000000-0005-0000-0000-000094030000}"/>
    <cellStyle name="Normal 14 2 2 5" xfId="1432" xr:uid="{00000000-0005-0000-0000-000095030000}"/>
    <cellStyle name="Normal 14 2 2 6" xfId="1433" xr:uid="{00000000-0005-0000-0000-000096030000}"/>
    <cellStyle name="Normal 14 2 2 7" xfId="1434" xr:uid="{00000000-0005-0000-0000-000097030000}"/>
    <cellStyle name="Normal 14 2 3" xfId="175" xr:uid="{00000000-0005-0000-0000-000098030000}"/>
    <cellStyle name="Normal 14 2 3 2" xfId="297" xr:uid="{00000000-0005-0000-0000-000099030000}"/>
    <cellStyle name="Normal 14 2 3 2 2" xfId="627" xr:uid="{00000000-0005-0000-0000-00009A030000}"/>
    <cellStyle name="Normal 14 2 3 2 2 2" xfId="1435" xr:uid="{00000000-0005-0000-0000-00009B030000}"/>
    <cellStyle name="Normal 14 2 3 2 2 3" xfId="1436" xr:uid="{00000000-0005-0000-0000-00009C030000}"/>
    <cellStyle name="Normal 14 2 3 2 2 4" xfId="1437" xr:uid="{00000000-0005-0000-0000-00009D030000}"/>
    <cellStyle name="Normal 14 2 3 2 3" xfId="1438" xr:uid="{00000000-0005-0000-0000-00009E030000}"/>
    <cellStyle name="Normal 14 2 3 2 4" xfId="1439" xr:uid="{00000000-0005-0000-0000-00009F030000}"/>
    <cellStyle name="Normal 14 2 3 2 5" xfId="1440" xr:uid="{00000000-0005-0000-0000-0000A0030000}"/>
    <cellStyle name="Normal 14 2 3 3" xfId="520" xr:uid="{00000000-0005-0000-0000-0000A1030000}"/>
    <cellStyle name="Normal 14 2 3 3 2" xfId="1441" xr:uid="{00000000-0005-0000-0000-0000A2030000}"/>
    <cellStyle name="Normal 14 2 3 3 3" xfId="1442" xr:uid="{00000000-0005-0000-0000-0000A3030000}"/>
    <cellStyle name="Normal 14 2 3 3 4" xfId="1443" xr:uid="{00000000-0005-0000-0000-0000A4030000}"/>
    <cellStyle name="Normal 14 2 3 4" xfId="1444" xr:uid="{00000000-0005-0000-0000-0000A5030000}"/>
    <cellStyle name="Normal 14 2 3 5" xfId="1445" xr:uid="{00000000-0005-0000-0000-0000A6030000}"/>
    <cellStyle name="Normal 14 2 3 6" xfId="1446" xr:uid="{00000000-0005-0000-0000-0000A7030000}"/>
    <cellStyle name="Normal 14 2 4" xfId="298" xr:uid="{00000000-0005-0000-0000-0000A8030000}"/>
    <cellStyle name="Normal 14 2 4 2" xfId="628" xr:uid="{00000000-0005-0000-0000-0000A9030000}"/>
    <cellStyle name="Normal 14 2 4 2 2" xfId="1447" xr:uid="{00000000-0005-0000-0000-0000AA030000}"/>
    <cellStyle name="Normal 14 2 4 2 3" xfId="1448" xr:uid="{00000000-0005-0000-0000-0000AB030000}"/>
    <cellStyle name="Normal 14 2 4 2 4" xfId="1449" xr:uid="{00000000-0005-0000-0000-0000AC030000}"/>
    <cellStyle name="Normal 14 2 4 3" xfId="1450" xr:uid="{00000000-0005-0000-0000-0000AD030000}"/>
    <cellStyle name="Normal 14 2 4 4" xfId="1451" xr:uid="{00000000-0005-0000-0000-0000AE030000}"/>
    <cellStyle name="Normal 14 2 4 5" xfId="1452" xr:uid="{00000000-0005-0000-0000-0000AF030000}"/>
    <cellStyle name="Normal 14 2 5" xfId="443" xr:uid="{00000000-0005-0000-0000-0000B0030000}"/>
    <cellStyle name="Normal 14 2 5 2" xfId="1453" xr:uid="{00000000-0005-0000-0000-0000B1030000}"/>
    <cellStyle name="Normal 14 2 5 3" xfId="1454" xr:uid="{00000000-0005-0000-0000-0000B2030000}"/>
    <cellStyle name="Normal 14 2 5 4" xfId="1455" xr:uid="{00000000-0005-0000-0000-0000B3030000}"/>
    <cellStyle name="Normal 14 2 6" xfId="1456" xr:uid="{00000000-0005-0000-0000-0000B4030000}"/>
    <cellStyle name="Normal 14 2 7" xfId="1457" xr:uid="{00000000-0005-0000-0000-0000B5030000}"/>
    <cellStyle name="Normal 14 2 8" xfId="1458" xr:uid="{00000000-0005-0000-0000-0000B6030000}"/>
    <cellStyle name="Normal 14 3" xfId="62" xr:uid="{00000000-0005-0000-0000-0000B7030000}"/>
    <cellStyle name="Normal 14 3 2" xfId="176" xr:uid="{00000000-0005-0000-0000-0000B8030000}"/>
    <cellStyle name="Normal 14 3 2 2" xfId="299" xr:uid="{00000000-0005-0000-0000-0000B9030000}"/>
    <cellStyle name="Normal 14 3 2 2 2" xfId="629" xr:uid="{00000000-0005-0000-0000-0000BA030000}"/>
    <cellStyle name="Normal 14 3 2 2 2 2" xfId="1459" xr:uid="{00000000-0005-0000-0000-0000BB030000}"/>
    <cellStyle name="Normal 14 3 2 2 2 3" xfId="1460" xr:uid="{00000000-0005-0000-0000-0000BC030000}"/>
    <cellStyle name="Normal 14 3 2 2 2 4" xfId="1461" xr:uid="{00000000-0005-0000-0000-0000BD030000}"/>
    <cellStyle name="Normal 14 3 2 2 3" xfId="1462" xr:uid="{00000000-0005-0000-0000-0000BE030000}"/>
    <cellStyle name="Normal 14 3 2 2 4" xfId="1463" xr:uid="{00000000-0005-0000-0000-0000BF030000}"/>
    <cellStyle name="Normal 14 3 2 2 5" xfId="1464" xr:uid="{00000000-0005-0000-0000-0000C0030000}"/>
    <cellStyle name="Normal 14 3 2 3" xfId="521" xr:uid="{00000000-0005-0000-0000-0000C1030000}"/>
    <cellStyle name="Normal 14 3 2 3 2" xfId="1465" xr:uid="{00000000-0005-0000-0000-0000C2030000}"/>
    <cellStyle name="Normal 14 3 2 3 3" xfId="1466" xr:uid="{00000000-0005-0000-0000-0000C3030000}"/>
    <cellStyle name="Normal 14 3 2 3 4" xfId="1467" xr:uid="{00000000-0005-0000-0000-0000C4030000}"/>
    <cellStyle name="Normal 14 3 2 4" xfId="1468" xr:uid="{00000000-0005-0000-0000-0000C5030000}"/>
    <cellStyle name="Normal 14 3 2 5" xfId="1469" xr:uid="{00000000-0005-0000-0000-0000C6030000}"/>
    <cellStyle name="Normal 14 3 2 6" xfId="1470" xr:uid="{00000000-0005-0000-0000-0000C7030000}"/>
    <cellStyle name="Normal 14 3 3" xfId="300" xr:uid="{00000000-0005-0000-0000-0000C8030000}"/>
    <cellStyle name="Normal 14 3 3 2" xfId="630" xr:uid="{00000000-0005-0000-0000-0000C9030000}"/>
    <cellStyle name="Normal 14 3 3 2 2" xfId="1471" xr:uid="{00000000-0005-0000-0000-0000CA030000}"/>
    <cellStyle name="Normal 14 3 3 2 3" xfId="1472" xr:uid="{00000000-0005-0000-0000-0000CB030000}"/>
    <cellStyle name="Normal 14 3 3 2 4" xfId="1473" xr:uid="{00000000-0005-0000-0000-0000CC030000}"/>
    <cellStyle name="Normal 14 3 3 3" xfId="1474" xr:uid="{00000000-0005-0000-0000-0000CD030000}"/>
    <cellStyle name="Normal 14 3 3 4" xfId="1475" xr:uid="{00000000-0005-0000-0000-0000CE030000}"/>
    <cellStyle name="Normal 14 3 3 5" xfId="1476" xr:uid="{00000000-0005-0000-0000-0000CF030000}"/>
    <cellStyle name="Normal 14 3 4" xfId="462" xr:uid="{00000000-0005-0000-0000-0000D0030000}"/>
    <cellStyle name="Normal 14 3 4 2" xfId="1477" xr:uid="{00000000-0005-0000-0000-0000D1030000}"/>
    <cellStyle name="Normal 14 3 4 3" xfId="1478" xr:uid="{00000000-0005-0000-0000-0000D2030000}"/>
    <cellStyle name="Normal 14 3 4 4" xfId="1479" xr:uid="{00000000-0005-0000-0000-0000D3030000}"/>
    <cellStyle name="Normal 14 3 5" xfId="1480" xr:uid="{00000000-0005-0000-0000-0000D4030000}"/>
    <cellStyle name="Normal 14 3 6" xfId="1481" xr:uid="{00000000-0005-0000-0000-0000D5030000}"/>
    <cellStyle name="Normal 14 3 7" xfId="1482" xr:uid="{00000000-0005-0000-0000-0000D6030000}"/>
    <cellStyle name="Normal 14 4" xfId="177" xr:uid="{00000000-0005-0000-0000-0000D7030000}"/>
    <cellStyle name="Normal 14 4 2" xfId="301" xr:uid="{00000000-0005-0000-0000-0000D8030000}"/>
    <cellStyle name="Normal 14 4 2 2" xfId="631" xr:uid="{00000000-0005-0000-0000-0000D9030000}"/>
    <cellStyle name="Normal 14 4 2 2 2" xfId="1483" xr:uid="{00000000-0005-0000-0000-0000DA030000}"/>
    <cellStyle name="Normal 14 4 2 2 3" xfId="1484" xr:uid="{00000000-0005-0000-0000-0000DB030000}"/>
    <cellStyle name="Normal 14 4 2 2 4" xfId="1485" xr:uid="{00000000-0005-0000-0000-0000DC030000}"/>
    <cellStyle name="Normal 14 4 2 3" xfId="1486" xr:uid="{00000000-0005-0000-0000-0000DD030000}"/>
    <cellStyle name="Normal 14 4 2 4" xfId="1487" xr:uid="{00000000-0005-0000-0000-0000DE030000}"/>
    <cellStyle name="Normal 14 4 2 5" xfId="1488" xr:uid="{00000000-0005-0000-0000-0000DF030000}"/>
    <cellStyle name="Normal 14 4 3" xfId="522" xr:uid="{00000000-0005-0000-0000-0000E0030000}"/>
    <cellStyle name="Normal 14 4 3 2" xfId="1489" xr:uid="{00000000-0005-0000-0000-0000E1030000}"/>
    <cellStyle name="Normal 14 4 3 3" xfId="1490" xr:uid="{00000000-0005-0000-0000-0000E2030000}"/>
    <cellStyle name="Normal 14 4 3 4" xfId="1491" xr:uid="{00000000-0005-0000-0000-0000E3030000}"/>
    <cellStyle name="Normal 14 4 4" xfId="1492" xr:uid="{00000000-0005-0000-0000-0000E4030000}"/>
    <cellStyle name="Normal 14 4 5" xfId="1493" xr:uid="{00000000-0005-0000-0000-0000E5030000}"/>
    <cellStyle name="Normal 14 4 6" xfId="1494" xr:uid="{00000000-0005-0000-0000-0000E6030000}"/>
    <cellStyle name="Normal 14 5" xfId="302" xr:uid="{00000000-0005-0000-0000-0000E7030000}"/>
    <cellStyle name="Normal 14 5 2" xfId="632" xr:uid="{00000000-0005-0000-0000-0000E8030000}"/>
    <cellStyle name="Normal 14 5 2 2" xfId="1495" xr:uid="{00000000-0005-0000-0000-0000E9030000}"/>
    <cellStyle name="Normal 14 5 2 3" xfId="1496" xr:uid="{00000000-0005-0000-0000-0000EA030000}"/>
    <cellStyle name="Normal 14 5 2 4" xfId="1497" xr:uid="{00000000-0005-0000-0000-0000EB030000}"/>
    <cellStyle name="Normal 14 5 3" xfId="1498" xr:uid="{00000000-0005-0000-0000-0000EC030000}"/>
    <cellStyle name="Normal 14 5 4" xfId="1499" xr:uid="{00000000-0005-0000-0000-0000ED030000}"/>
    <cellStyle name="Normal 14 5 5" xfId="1500" xr:uid="{00000000-0005-0000-0000-0000EE030000}"/>
    <cellStyle name="Normal 14 6" xfId="411" xr:uid="{00000000-0005-0000-0000-0000EF030000}"/>
    <cellStyle name="Normal 14 6 2" xfId="1501" xr:uid="{00000000-0005-0000-0000-0000F0030000}"/>
    <cellStyle name="Normal 14 6 3" xfId="1502" xr:uid="{00000000-0005-0000-0000-0000F1030000}"/>
    <cellStyle name="Normal 14 6 4" xfId="1503" xr:uid="{00000000-0005-0000-0000-0000F2030000}"/>
    <cellStyle name="Normal 14 7" xfId="425" xr:uid="{00000000-0005-0000-0000-0000F3030000}"/>
    <cellStyle name="Normal 14 7 2" xfId="1504" xr:uid="{00000000-0005-0000-0000-0000F4030000}"/>
    <cellStyle name="Normal 14 7 3" xfId="1505" xr:uid="{00000000-0005-0000-0000-0000F5030000}"/>
    <cellStyle name="Normal 14 7 4" xfId="1506" xr:uid="{00000000-0005-0000-0000-0000F6030000}"/>
    <cellStyle name="Normal 14 8" xfId="1507" xr:uid="{00000000-0005-0000-0000-0000F7030000}"/>
    <cellStyle name="Normal 14 9" xfId="1508" xr:uid="{00000000-0005-0000-0000-0000F8030000}"/>
    <cellStyle name="Normal 15" xfId="19" xr:uid="{00000000-0005-0000-0000-0000F9030000}"/>
    <cellStyle name="Normal 15 10" xfId="1509" xr:uid="{00000000-0005-0000-0000-0000FA030000}"/>
    <cellStyle name="Normal 15 11" xfId="1510" xr:uid="{00000000-0005-0000-0000-0000FB030000}"/>
    <cellStyle name="Normal 15 2" xfId="44" xr:uid="{00000000-0005-0000-0000-0000FC030000}"/>
    <cellStyle name="Normal 15 2 10" xfId="1511" xr:uid="{00000000-0005-0000-0000-0000FD030000}"/>
    <cellStyle name="Normal 15 2 2" xfId="83" xr:uid="{00000000-0005-0000-0000-0000FE030000}"/>
    <cellStyle name="Normal 15 2 2 2" xfId="178" xr:uid="{00000000-0005-0000-0000-0000FF030000}"/>
    <cellStyle name="Normal 15 2 2 2 2" xfId="92" xr:uid="{00000000-0005-0000-0000-000000040000}"/>
    <cellStyle name="Normal 15 2 2 2 2 2" xfId="179" xr:uid="{00000000-0005-0000-0000-000001040000}"/>
    <cellStyle name="Normal 15 2 2 2 2 2 2" xfId="303" xr:uid="{00000000-0005-0000-0000-000002040000}"/>
    <cellStyle name="Normal 15 2 2 2 2 2 2 2" xfId="633" xr:uid="{00000000-0005-0000-0000-000003040000}"/>
    <cellStyle name="Normal 15 2 2 2 2 2 2 2 2" xfId="1512" xr:uid="{00000000-0005-0000-0000-000004040000}"/>
    <cellStyle name="Normal 15 2 2 2 2 2 2 2 3" xfId="1513" xr:uid="{00000000-0005-0000-0000-000005040000}"/>
    <cellStyle name="Normal 15 2 2 2 2 2 2 2 4" xfId="1514" xr:uid="{00000000-0005-0000-0000-000006040000}"/>
    <cellStyle name="Normal 15 2 2 2 2 2 2 3" xfId="1515" xr:uid="{00000000-0005-0000-0000-000007040000}"/>
    <cellStyle name="Normal 15 2 2 2 2 2 2 4" xfId="1516" xr:uid="{00000000-0005-0000-0000-000008040000}"/>
    <cellStyle name="Normal 15 2 2 2 2 2 2 5" xfId="1517" xr:uid="{00000000-0005-0000-0000-000009040000}"/>
    <cellStyle name="Normal 15 2 2 2 2 2 3" xfId="524" xr:uid="{00000000-0005-0000-0000-00000A040000}"/>
    <cellStyle name="Normal 15 2 2 2 2 2 3 2" xfId="1518" xr:uid="{00000000-0005-0000-0000-00000B040000}"/>
    <cellStyle name="Normal 15 2 2 2 2 2 3 3" xfId="1519" xr:uid="{00000000-0005-0000-0000-00000C040000}"/>
    <cellStyle name="Normal 15 2 2 2 2 2 3 4" xfId="1520" xr:uid="{00000000-0005-0000-0000-00000D040000}"/>
    <cellStyle name="Normal 15 2 2 2 2 2 4" xfId="1521" xr:uid="{00000000-0005-0000-0000-00000E040000}"/>
    <cellStyle name="Normal 15 2 2 2 2 2 5" xfId="1522" xr:uid="{00000000-0005-0000-0000-00000F040000}"/>
    <cellStyle name="Normal 15 2 2 2 2 2 6" xfId="1523" xr:uid="{00000000-0005-0000-0000-000010040000}"/>
    <cellStyle name="Normal 15 2 2 2 2 3" xfId="304" xr:uid="{00000000-0005-0000-0000-000011040000}"/>
    <cellStyle name="Normal 15 2 2 2 2 3 2" xfId="634" xr:uid="{00000000-0005-0000-0000-000012040000}"/>
    <cellStyle name="Normal 15 2 2 2 2 3 2 2" xfId="1524" xr:uid="{00000000-0005-0000-0000-000013040000}"/>
    <cellStyle name="Normal 15 2 2 2 2 3 2 3" xfId="1525" xr:uid="{00000000-0005-0000-0000-000014040000}"/>
    <cellStyle name="Normal 15 2 2 2 2 3 2 4" xfId="1526" xr:uid="{00000000-0005-0000-0000-000015040000}"/>
    <cellStyle name="Normal 15 2 2 2 2 3 3" xfId="1527" xr:uid="{00000000-0005-0000-0000-000016040000}"/>
    <cellStyle name="Normal 15 2 2 2 2 3 4" xfId="1528" xr:uid="{00000000-0005-0000-0000-000017040000}"/>
    <cellStyle name="Normal 15 2 2 2 2 3 5" xfId="1529" xr:uid="{00000000-0005-0000-0000-000018040000}"/>
    <cellStyle name="Normal 15 2 2 2 2 4" xfId="492" xr:uid="{00000000-0005-0000-0000-000019040000}"/>
    <cellStyle name="Normal 15 2 2 2 2 4 2" xfId="1530" xr:uid="{00000000-0005-0000-0000-00001A040000}"/>
    <cellStyle name="Normal 15 2 2 2 2 4 3" xfId="1531" xr:uid="{00000000-0005-0000-0000-00001B040000}"/>
    <cellStyle name="Normal 15 2 2 2 2 4 4" xfId="1532" xr:uid="{00000000-0005-0000-0000-00001C040000}"/>
    <cellStyle name="Normal 15 2 2 2 2 5" xfId="1533" xr:uid="{00000000-0005-0000-0000-00001D040000}"/>
    <cellStyle name="Normal 15 2 2 2 2 6" xfId="1534" xr:uid="{00000000-0005-0000-0000-00001E040000}"/>
    <cellStyle name="Normal 15 2 2 2 2 7" xfId="1535" xr:uid="{00000000-0005-0000-0000-00001F040000}"/>
    <cellStyle name="Normal 15 2 2 2 3" xfId="305" xr:uid="{00000000-0005-0000-0000-000020040000}"/>
    <cellStyle name="Normal 15 2 2 2 3 2" xfId="635" xr:uid="{00000000-0005-0000-0000-000021040000}"/>
    <cellStyle name="Normal 15 2 2 2 3 2 2" xfId="1536" xr:uid="{00000000-0005-0000-0000-000022040000}"/>
    <cellStyle name="Normal 15 2 2 2 3 2 3" xfId="1537" xr:uid="{00000000-0005-0000-0000-000023040000}"/>
    <cellStyle name="Normal 15 2 2 2 3 2 4" xfId="1538" xr:uid="{00000000-0005-0000-0000-000024040000}"/>
    <cellStyle name="Normal 15 2 2 2 3 3" xfId="1539" xr:uid="{00000000-0005-0000-0000-000025040000}"/>
    <cellStyle name="Normal 15 2 2 2 3 4" xfId="1540" xr:uid="{00000000-0005-0000-0000-000026040000}"/>
    <cellStyle name="Normal 15 2 2 2 3 5" xfId="1541" xr:uid="{00000000-0005-0000-0000-000027040000}"/>
    <cellStyle name="Normal 15 2 2 2 4" xfId="523" xr:uid="{00000000-0005-0000-0000-000028040000}"/>
    <cellStyle name="Normal 15 2 2 2 4 2" xfId="1542" xr:uid="{00000000-0005-0000-0000-000029040000}"/>
    <cellStyle name="Normal 15 2 2 2 4 3" xfId="1543" xr:uid="{00000000-0005-0000-0000-00002A040000}"/>
    <cellStyle name="Normal 15 2 2 2 4 4" xfId="1544" xr:uid="{00000000-0005-0000-0000-00002B040000}"/>
    <cellStyle name="Normal 15 2 2 2 5" xfId="1545" xr:uid="{00000000-0005-0000-0000-00002C040000}"/>
    <cellStyle name="Normal 15 2 2 2 6" xfId="1546" xr:uid="{00000000-0005-0000-0000-00002D040000}"/>
    <cellStyle name="Normal 15 2 2 2 7" xfId="1547" xr:uid="{00000000-0005-0000-0000-00002E040000}"/>
    <cellStyle name="Normal 15 2 2 3" xfId="306" xr:uid="{00000000-0005-0000-0000-00002F040000}"/>
    <cellStyle name="Normal 15 2 2 3 2" xfId="636" xr:uid="{00000000-0005-0000-0000-000030040000}"/>
    <cellStyle name="Normal 15 2 2 3 2 2" xfId="1548" xr:uid="{00000000-0005-0000-0000-000031040000}"/>
    <cellStyle name="Normal 15 2 2 3 2 3" xfId="1549" xr:uid="{00000000-0005-0000-0000-000032040000}"/>
    <cellStyle name="Normal 15 2 2 3 2 4" xfId="1550" xr:uid="{00000000-0005-0000-0000-000033040000}"/>
    <cellStyle name="Normal 15 2 2 3 3" xfId="1551" xr:uid="{00000000-0005-0000-0000-000034040000}"/>
    <cellStyle name="Normal 15 2 2 3 4" xfId="1552" xr:uid="{00000000-0005-0000-0000-000035040000}"/>
    <cellStyle name="Normal 15 2 2 3 5" xfId="1553" xr:uid="{00000000-0005-0000-0000-000036040000}"/>
    <cellStyle name="Normal 15 2 2 4" xfId="483" xr:uid="{00000000-0005-0000-0000-000037040000}"/>
    <cellStyle name="Normal 15 2 2 4 2" xfId="1554" xr:uid="{00000000-0005-0000-0000-000038040000}"/>
    <cellStyle name="Normal 15 2 2 4 3" xfId="1555" xr:uid="{00000000-0005-0000-0000-000039040000}"/>
    <cellStyle name="Normal 15 2 2 4 4" xfId="1556" xr:uid="{00000000-0005-0000-0000-00003A040000}"/>
    <cellStyle name="Normal 15 2 2 5" xfId="1557" xr:uid="{00000000-0005-0000-0000-00003B040000}"/>
    <cellStyle name="Normal 15 2 2 6" xfId="1558" xr:uid="{00000000-0005-0000-0000-00003C040000}"/>
    <cellStyle name="Normal 15 2 2 7" xfId="1559" xr:uid="{00000000-0005-0000-0000-00003D040000}"/>
    <cellStyle name="Normal 15 2 3" xfId="180" xr:uid="{00000000-0005-0000-0000-00003E040000}"/>
    <cellStyle name="Normal 15 2 3 2" xfId="307" xr:uid="{00000000-0005-0000-0000-00003F040000}"/>
    <cellStyle name="Normal 15 2 3 2 2" xfId="637" xr:uid="{00000000-0005-0000-0000-000040040000}"/>
    <cellStyle name="Normal 15 2 3 2 2 2" xfId="1560" xr:uid="{00000000-0005-0000-0000-000041040000}"/>
    <cellStyle name="Normal 15 2 3 2 2 3" xfId="1561" xr:uid="{00000000-0005-0000-0000-000042040000}"/>
    <cellStyle name="Normal 15 2 3 2 2 4" xfId="1562" xr:uid="{00000000-0005-0000-0000-000043040000}"/>
    <cellStyle name="Normal 15 2 3 2 3" xfId="1563" xr:uid="{00000000-0005-0000-0000-000044040000}"/>
    <cellStyle name="Normal 15 2 3 2 4" xfId="1564" xr:uid="{00000000-0005-0000-0000-000045040000}"/>
    <cellStyle name="Normal 15 2 3 2 5" xfId="1565" xr:uid="{00000000-0005-0000-0000-000046040000}"/>
    <cellStyle name="Normal 15 2 3 3" xfId="525" xr:uid="{00000000-0005-0000-0000-000047040000}"/>
    <cellStyle name="Normal 15 2 3 3 2" xfId="1566" xr:uid="{00000000-0005-0000-0000-000048040000}"/>
    <cellStyle name="Normal 15 2 3 3 3" xfId="1567" xr:uid="{00000000-0005-0000-0000-000049040000}"/>
    <cellStyle name="Normal 15 2 3 3 4" xfId="1568" xr:uid="{00000000-0005-0000-0000-00004A040000}"/>
    <cellStyle name="Normal 15 2 3 4" xfId="1569" xr:uid="{00000000-0005-0000-0000-00004B040000}"/>
    <cellStyle name="Normal 15 2 3 5" xfId="1570" xr:uid="{00000000-0005-0000-0000-00004C040000}"/>
    <cellStyle name="Normal 15 2 3 6" xfId="1571" xr:uid="{00000000-0005-0000-0000-00004D040000}"/>
    <cellStyle name="Normal 15 2 4" xfId="308" xr:uid="{00000000-0005-0000-0000-00004E040000}"/>
    <cellStyle name="Normal 15 2 4 2" xfId="638" xr:uid="{00000000-0005-0000-0000-00004F040000}"/>
    <cellStyle name="Normal 15 2 4 2 2" xfId="1572" xr:uid="{00000000-0005-0000-0000-000050040000}"/>
    <cellStyle name="Normal 15 2 4 2 3" xfId="1573" xr:uid="{00000000-0005-0000-0000-000051040000}"/>
    <cellStyle name="Normal 15 2 4 2 4" xfId="1574" xr:uid="{00000000-0005-0000-0000-000052040000}"/>
    <cellStyle name="Normal 15 2 4 3" xfId="1575" xr:uid="{00000000-0005-0000-0000-000053040000}"/>
    <cellStyle name="Normal 15 2 4 4" xfId="1576" xr:uid="{00000000-0005-0000-0000-000054040000}"/>
    <cellStyle name="Normal 15 2 4 5" xfId="1577" xr:uid="{00000000-0005-0000-0000-000055040000}"/>
    <cellStyle name="Normal 15 2 5" xfId="93" xr:uid="{00000000-0005-0000-0000-000056040000}"/>
    <cellStyle name="Normal 15 2 5 2" xfId="493" xr:uid="{00000000-0005-0000-0000-000057040000}"/>
    <cellStyle name="Normal 15 2 5 2 2" xfId="1578" xr:uid="{00000000-0005-0000-0000-000058040000}"/>
    <cellStyle name="Normal 15 2 5 2 3" xfId="1579" xr:uid="{00000000-0005-0000-0000-000059040000}"/>
    <cellStyle name="Normal 15 2 5 2 4" xfId="1580" xr:uid="{00000000-0005-0000-0000-00005A040000}"/>
    <cellStyle name="Normal 15 2 5 3" xfId="1581" xr:uid="{00000000-0005-0000-0000-00005B040000}"/>
    <cellStyle name="Normal 15 2 5 4" xfId="1582" xr:uid="{00000000-0005-0000-0000-00005C040000}"/>
    <cellStyle name="Normal 15 2 5 5" xfId="1583" xr:uid="{00000000-0005-0000-0000-00005D040000}"/>
    <cellStyle name="Normal 15 2 6" xfId="94" xr:uid="{00000000-0005-0000-0000-00005E040000}"/>
    <cellStyle name="Normal 15 2 6 2" xfId="494" xr:uid="{00000000-0005-0000-0000-00005F040000}"/>
    <cellStyle name="Normal 15 2 6 2 2" xfId="1584" xr:uid="{00000000-0005-0000-0000-000060040000}"/>
    <cellStyle name="Normal 15 2 6 2 3" xfId="1585" xr:uid="{00000000-0005-0000-0000-000061040000}"/>
    <cellStyle name="Normal 15 2 6 2 4" xfId="1586" xr:uid="{00000000-0005-0000-0000-000062040000}"/>
    <cellStyle name="Normal 15 2 6 3" xfId="1587" xr:uid="{00000000-0005-0000-0000-000063040000}"/>
    <cellStyle name="Normal 15 2 6 4" xfId="1588" xr:uid="{00000000-0005-0000-0000-000064040000}"/>
    <cellStyle name="Normal 15 2 6 5" xfId="1589" xr:uid="{00000000-0005-0000-0000-000065040000}"/>
    <cellStyle name="Normal 15 2 7" xfId="446" xr:uid="{00000000-0005-0000-0000-000066040000}"/>
    <cellStyle name="Normal 15 2 7 2" xfId="1590" xr:uid="{00000000-0005-0000-0000-000067040000}"/>
    <cellStyle name="Normal 15 2 7 3" xfId="1591" xr:uid="{00000000-0005-0000-0000-000068040000}"/>
    <cellStyle name="Normal 15 2 7 4" xfId="1592" xr:uid="{00000000-0005-0000-0000-000069040000}"/>
    <cellStyle name="Normal 15 2 8" xfId="1593" xr:uid="{00000000-0005-0000-0000-00006A040000}"/>
    <cellStyle name="Normal 15 2 9" xfId="1594" xr:uid="{00000000-0005-0000-0000-00006B040000}"/>
    <cellStyle name="Normal 15 3" xfId="21" xr:uid="{00000000-0005-0000-0000-00006C040000}"/>
    <cellStyle name="Normal 15 4" xfId="65" xr:uid="{00000000-0005-0000-0000-00006D040000}"/>
    <cellStyle name="Normal 15 4 2" xfId="181" xr:uid="{00000000-0005-0000-0000-00006E040000}"/>
    <cellStyle name="Normal 15 4 2 2" xfId="309" xr:uid="{00000000-0005-0000-0000-00006F040000}"/>
    <cellStyle name="Normal 15 4 2 2 2" xfId="639" xr:uid="{00000000-0005-0000-0000-000070040000}"/>
    <cellStyle name="Normal 15 4 2 2 2 2" xfId="1595" xr:uid="{00000000-0005-0000-0000-000071040000}"/>
    <cellStyle name="Normal 15 4 2 2 2 3" xfId="1596" xr:uid="{00000000-0005-0000-0000-000072040000}"/>
    <cellStyle name="Normal 15 4 2 2 2 4" xfId="1597" xr:uid="{00000000-0005-0000-0000-000073040000}"/>
    <cellStyle name="Normal 15 4 2 2 3" xfId="1598" xr:uid="{00000000-0005-0000-0000-000074040000}"/>
    <cellStyle name="Normal 15 4 2 2 4" xfId="1599" xr:uid="{00000000-0005-0000-0000-000075040000}"/>
    <cellStyle name="Normal 15 4 2 2 5" xfId="1600" xr:uid="{00000000-0005-0000-0000-000076040000}"/>
    <cellStyle name="Normal 15 4 2 3" xfId="526" xr:uid="{00000000-0005-0000-0000-000077040000}"/>
    <cellStyle name="Normal 15 4 2 3 2" xfId="1601" xr:uid="{00000000-0005-0000-0000-000078040000}"/>
    <cellStyle name="Normal 15 4 2 3 3" xfId="1602" xr:uid="{00000000-0005-0000-0000-000079040000}"/>
    <cellStyle name="Normal 15 4 2 3 4" xfId="1603" xr:uid="{00000000-0005-0000-0000-00007A040000}"/>
    <cellStyle name="Normal 15 4 2 4" xfId="1604" xr:uid="{00000000-0005-0000-0000-00007B040000}"/>
    <cellStyle name="Normal 15 4 2 5" xfId="1605" xr:uid="{00000000-0005-0000-0000-00007C040000}"/>
    <cellStyle name="Normal 15 4 2 6" xfId="1606" xr:uid="{00000000-0005-0000-0000-00007D040000}"/>
    <cellStyle name="Normal 15 4 3" xfId="310" xr:uid="{00000000-0005-0000-0000-00007E040000}"/>
    <cellStyle name="Normal 15 4 3 2" xfId="640" xr:uid="{00000000-0005-0000-0000-00007F040000}"/>
    <cellStyle name="Normal 15 4 3 2 2" xfId="1607" xr:uid="{00000000-0005-0000-0000-000080040000}"/>
    <cellStyle name="Normal 15 4 3 2 3" xfId="1608" xr:uid="{00000000-0005-0000-0000-000081040000}"/>
    <cellStyle name="Normal 15 4 3 2 4" xfId="1609" xr:uid="{00000000-0005-0000-0000-000082040000}"/>
    <cellStyle name="Normal 15 4 3 3" xfId="1610" xr:uid="{00000000-0005-0000-0000-000083040000}"/>
    <cellStyle name="Normal 15 4 3 4" xfId="1611" xr:uid="{00000000-0005-0000-0000-000084040000}"/>
    <cellStyle name="Normal 15 4 3 5" xfId="1612" xr:uid="{00000000-0005-0000-0000-000085040000}"/>
    <cellStyle name="Normal 15 4 4" xfId="465" xr:uid="{00000000-0005-0000-0000-000086040000}"/>
    <cellStyle name="Normal 15 4 4 2" xfId="1613" xr:uid="{00000000-0005-0000-0000-000087040000}"/>
    <cellStyle name="Normal 15 4 4 3" xfId="1614" xr:uid="{00000000-0005-0000-0000-000088040000}"/>
    <cellStyle name="Normal 15 4 4 4" xfId="1615" xr:uid="{00000000-0005-0000-0000-000089040000}"/>
    <cellStyle name="Normal 15 4 5" xfId="1616" xr:uid="{00000000-0005-0000-0000-00008A040000}"/>
    <cellStyle name="Normal 15 4 6" xfId="1617" xr:uid="{00000000-0005-0000-0000-00008B040000}"/>
    <cellStyle name="Normal 15 4 7" xfId="1618" xr:uid="{00000000-0005-0000-0000-00008C040000}"/>
    <cellStyle name="Normal 15 5" xfId="90" xr:uid="{00000000-0005-0000-0000-00008D040000}"/>
    <cellStyle name="Normal 15 5 2" xfId="311" xr:uid="{00000000-0005-0000-0000-00008E040000}"/>
    <cellStyle name="Normal 15 5 2 2" xfId="641" xr:uid="{00000000-0005-0000-0000-00008F040000}"/>
    <cellStyle name="Normal 15 5 2 2 2" xfId="1619" xr:uid="{00000000-0005-0000-0000-000090040000}"/>
    <cellStyle name="Normal 15 5 2 2 3" xfId="1620" xr:uid="{00000000-0005-0000-0000-000091040000}"/>
    <cellStyle name="Normal 15 5 2 2 4" xfId="1621" xr:uid="{00000000-0005-0000-0000-000092040000}"/>
    <cellStyle name="Normal 15 5 2 3" xfId="1622" xr:uid="{00000000-0005-0000-0000-000093040000}"/>
    <cellStyle name="Normal 15 5 2 4" xfId="1623" xr:uid="{00000000-0005-0000-0000-000094040000}"/>
    <cellStyle name="Normal 15 5 2 5" xfId="1624" xr:uid="{00000000-0005-0000-0000-000095040000}"/>
    <cellStyle name="Normal 15 5 3" xfId="490" xr:uid="{00000000-0005-0000-0000-000096040000}"/>
    <cellStyle name="Normal 15 5 3 2" xfId="1625" xr:uid="{00000000-0005-0000-0000-000097040000}"/>
    <cellStyle name="Normal 15 5 3 3" xfId="1626" xr:uid="{00000000-0005-0000-0000-000098040000}"/>
    <cellStyle name="Normal 15 5 3 4" xfId="1627" xr:uid="{00000000-0005-0000-0000-000099040000}"/>
    <cellStyle name="Normal 15 5 4" xfId="1628" xr:uid="{00000000-0005-0000-0000-00009A040000}"/>
    <cellStyle name="Normal 15 5 5" xfId="1629" xr:uid="{00000000-0005-0000-0000-00009B040000}"/>
    <cellStyle name="Normal 15 5 6" xfId="1630" xr:uid="{00000000-0005-0000-0000-00009C040000}"/>
    <cellStyle name="Normal 15 6" xfId="91" xr:uid="{00000000-0005-0000-0000-00009D040000}"/>
    <cellStyle name="Normal 15 6 2" xfId="491" xr:uid="{00000000-0005-0000-0000-00009E040000}"/>
    <cellStyle name="Normal 15 6 2 2" xfId="1631" xr:uid="{00000000-0005-0000-0000-00009F040000}"/>
    <cellStyle name="Normal 15 6 2 3" xfId="1632" xr:uid="{00000000-0005-0000-0000-0000A0040000}"/>
    <cellStyle name="Normal 15 6 2 4" xfId="1633" xr:uid="{00000000-0005-0000-0000-0000A1040000}"/>
    <cellStyle name="Normal 15 6 3" xfId="1634" xr:uid="{00000000-0005-0000-0000-0000A2040000}"/>
    <cellStyle name="Normal 15 6 4" xfId="1635" xr:uid="{00000000-0005-0000-0000-0000A3040000}"/>
    <cellStyle name="Normal 15 6 5" xfId="1636" xr:uid="{00000000-0005-0000-0000-0000A4040000}"/>
    <cellStyle name="Normal 15 7" xfId="312" xr:uid="{00000000-0005-0000-0000-0000A5040000}"/>
    <cellStyle name="Normal 15 7 2" xfId="642" xr:uid="{00000000-0005-0000-0000-0000A6040000}"/>
    <cellStyle name="Normal 15 7 2 2" xfId="1637" xr:uid="{00000000-0005-0000-0000-0000A7040000}"/>
    <cellStyle name="Normal 15 7 2 3" xfId="1638" xr:uid="{00000000-0005-0000-0000-0000A8040000}"/>
    <cellStyle name="Normal 15 7 2 4" xfId="1639" xr:uid="{00000000-0005-0000-0000-0000A9040000}"/>
    <cellStyle name="Normal 15 7 3" xfId="1640" xr:uid="{00000000-0005-0000-0000-0000AA040000}"/>
    <cellStyle name="Normal 15 7 4" xfId="1641" xr:uid="{00000000-0005-0000-0000-0000AB040000}"/>
    <cellStyle name="Normal 15 7 5" xfId="1642" xr:uid="{00000000-0005-0000-0000-0000AC040000}"/>
    <cellStyle name="Normal 15 8" xfId="428" xr:uid="{00000000-0005-0000-0000-0000AD040000}"/>
    <cellStyle name="Normal 15 8 2" xfId="1643" xr:uid="{00000000-0005-0000-0000-0000AE040000}"/>
    <cellStyle name="Normal 15 8 3" xfId="1644" xr:uid="{00000000-0005-0000-0000-0000AF040000}"/>
    <cellStyle name="Normal 15 8 4" xfId="1645" xr:uid="{00000000-0005-0000-0000-0000B0040000}"/>
    <cellStyle name="Normal 15 9" xfId="1646" xr:uid="{00000000-0005-0000-0000-0000B1040000}"/>
    <cellStyle name="Normal 16" xfId="26" xr:uid="{00000000-0005-0000-0000-0000B2040000}"/>
    <cellStyle name="Normal 16 2" xfId="46" xr:uid="{00000000-0005-0000-0000-0000B3040000}"/>
    <cellStyle name="Normal 16 2 2" xfId="85" xr:uid="{00000000-0005-0000-0000-0000B4040000}"/>
    <cellStyle name="Normal 16 2 2 2" xfId="182" xr:uid="{00000000-0005-0000-0000-0000B5040000}"/>
    <cellStyle name="Normal 16 2 2 2 2" xfId="313" xr:uid="{00000000-0005-0000-0000-0000B6040000}"/>
    <cellStyle name="Normal 16 2 2 2 2 2" xfId="643" xr:uid="{00000000-0005-0000-0000-0000B7040000}"/>
    <cellStyle name="Normal 16 2 2 2 2 2 2" xfId="1647" xr:uid="{00000000-0005-0000-0000-0000B8040000}"/>
    <cellStyle name="Normal 16 2 2 2 2 2 3" xfId="1648" xr:uid="{00000000-0005-0000-0000-0000B9040000}"/>
    <cellStyle name="Normal 16 2 2 2 2 2 4" xfId="1649" xr:uid="{00000000-0005-0000-0000-0000BA040000}"/>
    <cellStyle name="Normal 16 2 2 2 2 3" xfId="1650" xr:uid="{00000000-0005-0000-0000-0000BB040000}"/>
    <cellStyle name="Normal 16 2 2 2 2 4" xfId="1651" xr:uid="{00000000-0005-0000-0000-0000BC040000}"/>
    <cellStyle name="Normal 16 2 2 2 2 5" xfId="1652" xr:uid="{00000000-0005-0000-0000-0000BD040000}"/>
    <cellStyle name="Normal 16 2 2 2 3" xfId="527" xr:uid="{00000000-0005-0000-0000-0000BE040000}"/>
    <cellStyle name="Normal 16 2 2 2 3 2" xfId="1653" xr:uid="{00000000-0005-0000-0000-0000BF040000}"/>
    <cellStyle name="Normal 16 2 2 2 3 3" xfId="1654" xr:uid="{00000000-0005-0000-0000-0000C0040000}"/>
    <cellStyle name="Normal 16 2 2 2 3 4" xfId="1655" xr:uid="{00000000-0005-0000-0000-0000C1040000}"/>
    <cellStyle name="Normal 16 2 2 2 4" xfId="1656" xr:uid="{00000000-0005-0000-0000-0000C2040000}"/>
    <cellStyle name="Normal 16 2 2 2 5" xfId="1657" xr:uid="{00000000-0005-0000-0000-0000C3040000}"/>
    <cellStyle name="Normal 16 2 2 2 6" xfId="1658" xr:uid="{00000000-0005-0000-0000-0000C4040000}"/>
    <cellStyle name="Normal 16 2 2 3" xfId="314" xr:uid="{00000000-0005-0000-0000-0000C5040000}"/>
    <cellStyle name="Normal 16 2 2 3 2" xfId="644" xr:uid="{00000000-0005-0000-0000-0000C6040000}"/>
    <cellStyle name="Normal 16 2 2 3 2 2" xfId="1659" xr:uid="{00000000-0005-0000-0000-0000C7040000}"/>
    <cellStyle name="Normal 16 2 2 3 2 3" xfId="1660" xr:uid="{00000000-0005-0000-0000-0000C8040000}"/>
    <cellStyle name="Normal 16 2 2 3 2 4" xfId="1661" xr:uid="{00000000-0005-0000-0000-0000C9040000}"/>
    <cellStyle name="Normal 16 2 2 3 3" xfId="1662" xr:uid="{00000000-0005-0000-0000-0000CA040000}"/>
    <cellStyle name="Normal 16 2 2 3 4" xfId="1663" xr:uid="{00000000-0005-0000-0000-0000CB040000}"/>
    <cellStyle name="Normal 16 2 2 3 5" xfId="1664" xr:uid="{00000000-0005-0000-0000-0000CC040000}"/>
    <cellStyle name="Normal 16 2 2 4" xfId="485" xr:uid="{00000000-0005-0000-0000-0000CD040000}"/>
    <cellStyle name="Normal 16 2 2 4 2" xfId="1665" xr:uid="{00000000-0005-0000-0000-0000CE040000}"/>
    <cellStyle name="Normal 16 2 2 4 3" xfId="1666" xr:uid="{00000000-0005-0000-0000-0000CF040000}"/>
    <cellStyle name="Normal 16 2 2 4 4" xfId="1667" xr:uid="{00000000-0005-0000-0000-0000D0040000}"/>
    <cellStyle name="Normal 16 2 2 5" xfId="1668" xr:uid="{00000000-0005-0000-0000-0000D1040000}"/>
    <cellStyle name="Normal 16 2 2 6" xfId="1669" xr:uid="{00000000-0005-0000-0000-0000D2040000}"/>
    <cellStyle name="Normal 16 2 2 7" xfId="1670" xr:uid="{00000000-0005-0000-0000-0000D3040000}"/>
    <cellStyle name="Normal 16 2 3" xfId="183" xr:uid="{00000000-0005-0000-0000-0000D4040000}"/>
    <cellStyle name="Normal 16 2 3 2" xfId="315" xr:uid="{00000000-0005-0000-0000-0000D5040000}"/>
    <cellStyle name="Normal 16 2 3 2 2" xfId="645" xr:uid="{00000000-0005-0000-0000-0000D6040000}"/>
    <cellStyle name="Normal 16 2 3 2 2 2" xfId="1671" xr:uid="{00000000-0005-0000-0000-0000D7040000}"/>
    <cellStyle name="Normal 16 2 3 2 2 3" xfId="1672" xr:uid="{00000000-0005-0000-0000-0000D8040000}"/>
    <cellStyle name="Normal 16 2 3 2 2 4" xfId="1673" xr:uid="{00000000-0005-0000-0000-0000D9040000}"/>
    <cellStyle name="Normal 16 2 3 2 3" xfId="1674" xr:uid="{00000000-0005-0000-0000-0000DA040000}"/>
    <cellStyle name="Normal 16 2 3 2 4" xfId="1675" xr:uid="{00000000-0005-0000-0000-0000DB040000}"/>
    <cellStyle name="Normal 16 2 3 2 5" xfId="1676" xr:uid="{00000000-0005-0000-0000-0000DC040000}"/>
    <cellStyle name="Normal 16 2 3 3" xfId="528" xr:uid="{00000000-0005-0000-0000-0000DD040000}"/>
    <cellStyle name="Normal 16 2 3 3 2" xfId="1677" xr:uid="{00000000-0005-0000-0000-0000DE040000}"/>
    <cellStyle name="Normal 16 2 3 3 3" xfId="1678" xr:uid="{00000000-0005-0000-0000-0000DF040000}"/>
    <cellStyle name="Normal 16 2 3 3 4" xfId="1679" xr:uid="{00000000-0005-0000-0000-0000E0040000}"/>
    <cellStyle name="Normal 16 2 3 4" xfId="1680" xr:uid="{00000000-0005-0000-0000-0000E1040000}"/>
    <cellStyle name="Normal 16 2 3 5" xfId="1681" xr:uid="{00000000-0005-0000-0000-0000E2040000}"/>
    <cellStyle name="Normal 16 2 3 6" xfId="1682" xr:uid="{00000000-0005-0000-0000-0000E3040000}"/>
    <cellStyle name="Normal 16 2 4" xfId="316" xr:uid="{00000000-0005-0000-0000-0000E4040000}"/>
    <cellStyle name="Normal 16 2 4 2" xfId="646" xr:uid="{00000000-0005-0000-0000-0000E5040000}"/>
    <cellStyle name="Normal 16 2 4 2 2" xfId="1683" xr:uid="{00000000-0005-0000-0000-0000E6040000}"/>
    <cellStyle name="Normal 16 2 4 2 3" xfId="1684" xr:uid="{00000000-0005-0000-0000-0000E7040000}"/>
    <cellStyle name="Normal 16 2 4 2 4" xfId="1685" xr:uid="{00000000-0005-0000-0000-0000E8040000}"/>
    <cellStyle name="Normal 16 2 4 3" xfId="1686" xr:uid="{00000000-0005-0000-0000-0000E9040000}"/>
    <cellStyle name="Normal 16 2 4 4" xfId="1687" xr:uid="{00000000-0005-0000-0000-0000EA040000}"/>
    <cellStyle name="Normal 16 2 4 5" xfId="1688" xr:uid="{00000000-0005-0000-0000-0000EB040000}"/>
    <cellStyle name="Normal 16 2 5" xfId="448" xr:uid="{00000000-0005-0000-0000-0000EC040000}"/>
    <cellStyle name="Normal 16 2 5 2" xfId="1689" xr:uid="{00000000-0005-0000-0000-0000ED040000}"/>
    <cellStyle name="Normal 16 2 5 3" xfId="1690" xr:uid="{00000000-0005-0000-0000-0000EE040000}"/>
    <cellStyle name="Normal 16 2 5 4" xfId="1691" xr:uid="{00000000-0005-0000-0000-0000EF040000}"/>
    <cellStyle name="Normal 16 2 6" xfId="1692" xr:uid="{00000000-0005-0000-0000-0000F0040000}"/>
    <cellStyle name="Normal 16 2 7" xfId="1693" xr:uid="{00000000-0005-0000-0000-0000F1040000}"/>
    <cellStyle name="Normal 16 2 8" xfId="1694" xr:uid="{00000000-0005-0000-0000-0000F2040000}"/>
    <cellStyle name="Normal 16 3" xfId="67" xr:uid="{00000000-0005-0000-0000-0000F3040000}"/>
    <cellStyle name="Normal 16 3 2" xfId="184" xr:uid="{00000000-0005-0000-0000-0000F4040000}"/>
    <cellStyle name="Normal 16 3 2 2" xfId="317" xr:uid="{00000000-0005-0000-0000-0000F5040000}"/>
    <cellStyle name="Normal 16 3 2 2 2" xfId="647" xr:uid="{00000000-0005-0000-0000-0000F6040000}"/>
    <cellStyle name="Normal 16 3 2 2 2 2" xfId="1695" xr:uid="{00000000-0005-0000-0000-0000F7040000}"/>
    <cellStyle name="Normal 16 3 2 2 2 3" xfId="1696" xr:uid="{00000000-0005-0000-0000-0000F8040000}"/>
    <cellStyle name="Normal 16 3 2 2 2 4" xfId="1697" xr:uid="{00000000-0005-0000-0000-0000F9040000}"/>
    <cellStyle name="Normal 16 3 2 2 3" xfId="1698" xr:uid="{00000000-0005-0000-0000-0000FA040000}"/>
    <cellStyle name="Normal 16 3 2 2 4" xfId="1699" xr:uid="{00000000-0005-0000-0000-0000FB040000}"/>
    <cellStyle name="Normal 16 3 2 2 5" xfId="1700" xr:uid="{00000000-0005-0000-0000-0000FC040000}"/>
    <cellStyle name="Normal 16 3 2 3" xfId="529" xr:uid="{00000000-0005-0000-0000-0000FD040000}"/>
    <cellStyle name="Normal 16 3 2 3 2" xfId="1701" xr:uid="{00000000-0005-0000-0000-0000FE040000}"/>
    <cellStyle name="Normal 16 3 2 3 3" xfId="1702" xr:uid="{00000000-0005-0000-0000-0000FF040000}"/>
    <cellStyle name="Normal 16 3 2 3 4" xfId="1703" xr:uid="{00000000-0005-0000-0000-000000050000}"/>
    <cellStyle name="Normal 16 3 2 4" xfId="1704" xr:uid="{00000000-0005-0000-0000-000001050000}"/>
    <cellStyle name="Normal 16 3 2 5" xfId="1705" xr:uid="{00000000-0005-0000-0000-000002050000}"/>
    <cellStyle name="Normal 16 3 2 6" xfId="1706" xr:uid="{00000000-0005-0000-0000-000003050000}"/>
    <cellStyle name="Normal 16 3 3" xfId="318" xr:uid="{00000000-0005-0000-0000-000004050000}"/>
    <cellStyle name="Normal 16 3 3 2" xfId="648" xr:uid="{00000000-0005-0000-0000-000005050000}"/>
    <cellStyle name="Normal 16 3 3 2 2" xfId="1707" xr:uid="{00000000-0005-0000-0000-000006050000}"/>
    <cellStyle name="Normal 16 3 3 2 3" xfId="1708" xr:uid="{00000000-0005-0000-0000-000007050000}"/>
    <cellStyle name="Normal 16 3 3 2 4" xfId="1709" xr:uid="{00000000-0005-0000-0000-000008050000}"/>
    <cellStyle name="Normal 16 3 3 3" xfId="1710" xr:uid="{00000000-0005-0000-0000-000009050000}"/>
    <cellStyle name="Normal 16 3 3 4" xfId="1711" xr:uid="{00000000-0005-0000-0000-00000A050000}"/>
    <cellStyle name="Normal 16 3 3 5" xfId="1712" xr:uid="{00000000-0005-0000-0000-00000B050000}"/>
    <cellStyle name="Normal 16 3 4" xfId="467" xr:uid="{00000000-0005-0000-0000-00000C050000}"/>
    <cellStyle name="Normal 16 3 4 2" xfId="1713" xr:uid="{00000000-0005-0000-0000-00000D050000}"/>
    <cellStyle name="Normal 16 3 4 3" xfId="1714" xr:uid="{00000000-0005-0000-0000-00000E050000}"/>
    <cellStyle name="Normal 16 3 4 4" xfId="1715" xr:uid="{00000000-0005-0000-0000-00000F050000}"/>
    <cellStyle name="Normal 16 3 5" xfId="1716" xr:uid="{00000000-0005-0000-0000-000010050000}"/>
    <cellStyle name="Normal 16 3 6" xfId="1717" xr:uid="{00000000-0005-0000-0000-000011050000}"/>
    <cellStyle name="Normal 16 3 7" xfId="1718" xr:uid="{00000000-0005-0000-0000-000012050000}"/>
    <cellStyle name="Normal 16 4" xfId="185" xr:uid="{00000000-0005-0000-0000-000013050000}"/>
    <cellStyle name="Normal 16 4 2" xfId="319" xr:uid="{00000000-0005-0000-0000-000014050000}"/>
    <cellStyle name="Normal 16 4 2 2" xfId="649" xr:uid="{00000000-0005-0000-0000-000015050000}"/>
    <cellStyle name="Normal 16 4 2 2 2" xfId="1719" xr:uid="{00000000-0005-0000-0000-000016050000}"/>
    <cellStyle name="Normal 16 4 2 2 3" xfId="1720" xr:uid="{00000000-0005-0000-0000-000017050000}"/>
    <cellStyle name="Normal 16 4 2 2 4" xfId="1721" xr:uid="{00000000-0005-0000-0000-000018050000}"/>
    <cellStyle name="Normal 16 4 2 3" xfId="1722" xr:uid="{00000000-0005-0000-0000-000019050000}"/>
    <cellStyle name="Normal 16 4 2 4" xfId="1723" xr:uid="{00000000-0005-0000-0000-00001A050000}"/>
    <cellStyle name="Normal 16 4 2 5" xfId="1724" xr:uid="{00000000-0005-0000-0000-00001B050000}"/>
    <cellStyle name="Normal 16 4 3" xfId="530" xr:uid="{00000000-0005-0000-0000-00001C050000}"/>
    <cellStyle name="Normal 16 4 3 2" xfId="1725" xr:uid="{00000000-0005-0000-0000-00001D050000}"/>
    <cellStyle name="Normal 16 4 3 3" xfId="1726" xr:uid="{00000000-0005-0000-0000-00001E050000}"/>
    <cellStyle name="Normal 16 4 3 4" xfId="1727" xr:uid="{00000000-0005-0000-0000-00001F050000}"/>
    <cellStyle name="Normal 16 4 4" xfId="1728" xr:uid="{00000000-0005-0000-0000-000020050000}"/>
    <cellStyle name="Normal 16 4 5" xfId="1729" xr:uid="{00000000-0005-0000-0000-000021050000}"/>
    <cellStyle name="Normal 16 4 6" xfId="1730" xr:uid="{00000000-0005-0000-0000-000022050000}"/>
    <cellStyle name="Normal 16 5" xfId="320" xr:uid="{00000000-0005-0000-0000-000023050000}"/>
    <cellStyle name="Normal 16 5 2" xfId="650" xr:uid="{00000000-0005-0000-0000-000024050000}"/>
    <cellStyle name="Normal 16 5 2 2" xfId="1731" xr:uid="{00000000-0005-0000-0000-000025050000}"/>
    <cellStyle name="Normal 16 5 2 3" xfId="1732" xr:uid="{00000000-0005-0000-0000-000026050000}"/>
    <cellStyle name="Normal 16 5 2 4" xfId="1733" xr:uid="{00000000-0005-0000-0000-000027050000}"/>
    <cellStyle name="Normal 16 5 3" xfId="1734" xr:uid="{00000000-0005-0000-0000-000028050000}"/>
    <cellStyle name="Normal 16 5 4" xfId="1735" xr:uid="{00000000-0005-0000-0000-000029050000}"/>
    <cellStyle name="Normal 16 5 5" xfId="1736" xr:uid="{00000000-0005-0000-0000-00002A050000}"/>
    <cellStyle name="Normal 16 6" xfId="430" xr:uid="{00000000-0005-0000-0000-00002B050000}"/>
    <cellStyle name="Normal 16 6 2" xfId="1737" xr:uid="{00000000-0005-0000-0000-00002C050000}"/>
    <cellStyle name="Normal 16 6 3" xfId="1738" xr:uid="{00000000-0005-0000-0000-00002D050000}"/>
    <cellStyle name="Normal 16 6 4" xfId="1739" xr:uid="{00000000-0005-0000-0000-00002E050000}"/>
    <cellStyle name="Normal 16 7" xfId="1740" xr:uid="{00000000-0005-0000-0000-00002F050000}"/>
    <cellStyle name="Normal 16 8" xfId="1741" xr:uid="{00000000-0005-0000-0000-000030050000}"/>
    <cellStyle name="Normal 16 9" xfId="1742" xr:uid="{00000000-0005-0000-0000-000031050000}"/>
    <cellStyle name="Normal 17" xfId="20" xr:uid="{00000000-0005-0000-0000-000032050000}"/>
    <cellStyle name="Normal 17 2" xfId="45" xr:uid="{00000000-0005-0000-0000-000033050000}"/>
    <cellStyle name="Normal 17 2 2" xfId="84" xr:uid="{00000000-0005-0000-0000-000034050000}"/>
    <cellStyle name="Normal 17 2 2 2" xfId="186" xr:uid="{00000000-0005-0000-0000-000035050000}"/>
    <cellStyle name="Normal 17 2 2 2 2" xfId="321" xr:uid="{00000000-0005-0000-0000-000036050000}"/>
    <cellStyle name="Normal 17 2 2 2 2 2" xfId="651" xr:uid="{00000000-0005-0000-0000-000037050000}"/>
    <cellStyle name="Normal 17 2 2 2 2 2 2" xfId="1743" xr:uid="{00000000-0005-0000-0000-000038050000}"/>
    <cellStyle name="Normal 17 2 2 2 2 2 3" xfId="1744" xr:uid="{00000000-0005-0000-0000-000039050000}"/>
    <cellStyle name="Normal 17 2 2 2 2 2 4" xfId="1745" xr:uid="{00000000-0005-0000-0000-00003A050000}"/>
    <cellStyle name="Normal 17 2 2 2 2 3" xfId="1746" xr:uid="{00000000-0005-0000-0000-00003B050000}"/>
    <cellStyle name="Normal 17 2 2 2 2 4" xfId="1747" xr:uid="{00000000-0005-0000-0000-00003C050000}"/>
    <cellStyle name="Normal 17 2 2 2 2 5" xfId="1748" xr:uid="{00000000-0005-0000-0000-00003D050000}"/>
    <cellStyle name="Normal 17 2 2 2 3" xfId="531" xr:uid="{00000000-0005-0000-0000-00003E050000}"/>
    <cellStyle name="Normal 17 2 2 2 3 2" xfId="1749" xr:uid="{00000000-0005-0000-0000-00003F050000}"/>
    <cellStyle name="Normal 17 2 2 2 3 3" xfId="1750" xr:uid="{00000000-0005-0000-0000-000040050000}"/>
    <cellStyle name="Normal 17 2 2 2 3 4" xfId="1751" xr:uid="{00000000-0005-0000-0000-000041050000}"/>
    <cellStyle name="Normal 17 2 2 2 4" xfId="1752" xr:uid="{00000000-0005-0000-0000-000042050000}"/>
    <cellStyle name="Normal 17 2 2 2 5" xfId="1753" xr:uid="{00000000-0005-0000-0000-000043050000}"/>
    <cellStyle name="Normal 17 2 2 2 6" xfId="1754" xr:uid="{00000000-0005-0000-0000-000044050000}"/>
    <cellStyle name="Normal 17 2 2 3" xfId="322" xr:uid="{00000000-0005-0000-0000-000045050000}"/>
    <cellStyle name="Normal 17 2 2 3 2" xfId="652" xr:uid="{00000000-0005-0000-0000-000046050000}"/>
    <cellStyle name="Normal 17 2 2 3 2 2" xfId="1755" xr:uid="{00000000-0005-0000-0000-000047050000}"/>
    <cellStyle name="Normal 17 2 2 3 2 3" xfId="1756" xr:uid="{00000000-0005-0000-0000-000048050000}"/>
    <cellStyle name="Normal 17 2 2 3 2 4" xfId="1757" xr:uid="{00000000-0005-0000-0000-000049050000}"/>
    <cellStyle name="Normal 17 2 2 3 3" xfId="1758" xr:uid="{00000000-0005-0000-0000-00004A050000}"/>
    <cellStyle name="Normal 17 2 2 3 4" xfId="1759" xr:uid="{00000000-0005-0000-0000-00004B050000}"/>
    <cellStyle name="Normal 17 2 2 3 5" xfId="1760" xr:uid="{00000000-0005-0000-0000-00004C050000}"/>
    <cellStyle name="Normal 17 2 2 4" xfId="484" xr:uid="{00000000-0005-0000-0000-00004D050000}"/>
    <cellStyle name="Normal 17 2 2 4 2" xfId="1761" xr:uid="{00000000-0005-0000-0000-00004E050000}"/>
    <cellStyle name="Normal 17 2 2 4 3" xfId="1762" xr:uid="{00000000-0005-0000-0000-00004F050000}"/>
    <cellStyle name="Normal 17 2 2 4 4" xfId="1763" xr:uid="{00000000-0005-0000-0000-000050050000}"/>
    <cellStyle name="Normal 17 2 2 5" xfId="1764" xr:uid="{00000000-0005-0000-0000-000051050000}"/>
    <cellStyle name="Normal 17 2 2 6" xfId="1765" xr:uid="{00000000-0005-0000-0000-000052050000}"/>
    <cellStyle name="Normal 17 2 2 7" xfId="1766" xr:uid="{00000000-0005-0000-0000-000053050000}"/>
    <cellStyle name="Normal 17 2 3" xfId="187" xr:uid="{00000000-0005-0000-0000-000054050000}"/>
    <cellStyle name="Normal 17 2 3 2" xfId="323" xr:uid="{00000000-0005-0000-0000-000055050000}"/>
    <cellStyle name="Normal 17 2 3 2 2" xfId="653" xr:uid="{00000000-0005-0000-0000-000056050000}"/>
    <cellStyle name="Normal 17 2 3 2 2 2" xfId="1767" xr:uid="{00000000-0005-0000-0000-000057050000}"/>
    <cellStyle name="Normal 17 2 3 2 2 3" xfId="1768" xr:uid="{00000000-0005-0000-0000-000058050000}"/>
    <cellStyle name="Normal 17 2 3 2 2 4" xfId="1769" xr:uid="{00000000-0005-0000-0000-000059050000}"/>
    <cellStyle name="Normal 17 2 3 2 3" xfId="1770" xr:uid="{00000000-0005-0000-0000-00005A050000}"/>
    <cellStyle name="Normal 17 2 3 2 4" xfId="1771" xr:uid="{00000000-0005-0000-0000-00005B050000}"/>
    <cellStyle name="Normal 17 2 3 2 5" xfId="1772" xr:uid="{00000000-0005-0000-0000-00005C050000}"/>
    <cellStyle name="Normal 17 2 3 3" xfId="532" xr:uid="{00000000-0005-0000-0000-00005D050000}"/>
    <cellStyle name="Normal 17 2 3 3 2" xfId="1773" xr:uid="{00000000-0005-0000-0000-00005E050000}"/>
    <cellStyle name="Normal 17 2 3 3 3" xfId="1774" xr:uid="{00000000-0005-0000-0000-00005F050000}"/>
    <cellStyle name="Normal 17 2 3 3 4" xfId="1775" xr:uid="{00000000-0005-0000-0000-000060050000}"/>
    <cellStyle name="Normal 17 2 3 4" xfId="1776" xr:uid="{00000000-0005-0000-0000-000061050000}"/>
    <cellStyle name="Normal 17 2 3 5" xfId="1777" xr:uid="{00000000-0005-0000-0000-000062050000}"/>
    <cellStyle name="Normal 17 2 3 6" xfId="1778" xr:uid="{00000000-0005-0000-0000-000063050000}"/>
    <cellStyle name="Normal 17 2 4" xfId="324" xr:uid="{00000000-0005-0000-0000-000064050000}"/>
    <cellStyle name="Normal 17 2 4 2" xfId="654" xr:uid="{00000000-0005-0000-0000-000065050000}"/>
    <cellStyle name="Normal 17 2 4 2 2" xfId="1779" xr:uid="{00000000-0005-0000-0000-000066050000}"/>
    <cellStyle name="Normal 17 2 4 2 3" xfId="1780" xr:uid="{00000000-0005-0000-0000-000067050000}"/>
    <cellStyle name="Normal 17 2 4 2 4" xfId="1781" xr:uid="{00000000-0005-0000-0000-000068050000}"/>
    <cellStyle name="Normal 17 2 4 3" xfId="1782" xr:uid="{00000000-0005-0000-0000-000069050000}"/>
    <cellStyle name="Normal 17 2 4 4" xfId="1783" xr:uid="{00000000-0005-0000-0000-00006A050000}"/>
    <cellStyle name="Normal 17 2 4 5" xfId="1784" xr:uid="{00000000-0005-0000-0000-00006B050000}"/>
    <cellStyle name="Normal 17 2 5" xfId="447" xr:uid="{00000000-0005-0000-0000-00006C050000}"/>
    <cellStyle name="Normal 17 2 5 2" xfId="1785" xr:uid="{00000000-0005-0000-0000-00006D050000}"/>
    <cellStyle name="Normal 17 2 5 3" xfId="1786" xr:uid="{00000000-0005-0000-0000-00006E050000}"/>
    <cellStyle name="Normal 17 2 5 4" xfId="1787" xr:uid="{00000000-0005-0000-0000-00006F050000}"/>
    <cellStyle name="Normal 17 2 6" xfId="1788" xr:uid="{00000000-0005-0000-0000-000070050000}"/>
    <cellStyle name="Normal 17 2 7" xfId="1789" xr:uid="{00000000-0005-0000-0000-000071050000}"/>
    <cellStyle name="Normal 17 2 8" xfId="1790" xr:uid="{00000000-0005-0000-0000-000072050000}"/>
    <cellStyle name="Normal 17 3" xfId="66" xr:uid="{00000000-0005-0000-0000-000073050000}"/>
    <cellStyle name="Normal 17 3 2" xfId="188" xr:uid="{00000000-0005-0000-0000-000074050000}"/>
    <cellStyle name="Normal 17 3 2 2" xfId="325" xr:uid="{00000000-0005-0000-0000-000075050000}"/>
    <cellStyle name="Normal 17 3 2 2 2" xfId="655" xr:uid="{00000000-0005-0000-0000-000076050000}"/>
    <cellStyle name="Normal 17 3 2 2 2 2" xfId="1791" xr:uid="{00000000-0005-0000-0000-000077050000}"/>
    <cellStyle name="Normal 17 3 2 2 2 3" xfId="1792" xr:uid="{00000000-0005-0000-0000-000078050000}"/>
    <cellStyle name="Normal 17 3 2 2 2 4" xfId="1793" xr:uid="{00000000-0005-0000-0000-000079050000}"/>
    <cellStyle name="Normal 17 3 2 2 3" xfId="1794" xr:uid="{00000000-0005-0000-0000-00007A050000}"/>
    <cellStyle name="Normal 17 3 2 2 4" xfId="1795" xr:uid="{00000000-0005-0000-0000-00007B050000}"/>
    <cellStyle name="Normal 17 3 2 2 5" xfId="1796" xr:uid="{00000000-0005-0000-0000-00007C050000}"/>
    <cellStyle name="Normal 17 3 2 3" xfId="533" xr:uid="{00000000-0005-0000-0000-00007D050000}"/>
    <cellStyle name="Normal 17 3 2 3 2" xfId="1797" xr:uid="{00000000-0005-0000-0000-00007E050000}"/>
    <cellStyle name="Normal 17 3 2 3 3" xfId="1798" xr:uid="{00000000-0005-0000-0000-00007F050000}"/>
    <cellStyle name="Normal 17 3 2 3 4" xfId="1799" xr:uid="{00000000-0005-0000-0000-000080050000}"/>
    <cellStyle name="Normal 17 3 2 4" xfId="1800" xr:uid="{00000000-0005-0000-0000-000081050000}"/>
    <cellStyle name="Normal 17 3 2 5" xfId="1801" xr:uid="{00000000-0005-0000-0000-000082050000}"/>
    <cellStyle name="Normal 17 3 2 6" xfId="1802" xr:uid="{00000000-0005-0000-0000-000083050000}"/>
    <cellStyle name="Normal 17 3 3" xfId="326" xr:uid="{00000000-0005-0000-0000-000084050000}"/>
    <cellStyle name="Normal 17 3 3 2" xfId="656" xr:uid="{00000000-0005-0000-0000-000085050000}"/>
    <cellStyle name="Normal 17 3 3 2 2" xfId="1803" xr:uid="{00000000-0005-0000-0000-000086050000}"/>
    <cellStyle name="Normal 17 3 3 2 3" xfId="1804" xr:uid="{00000000-0005-0000-0000-000087050000}"/>
    <cellStyle name="Normal 17 3 3 2 4" xfId="1805" xr:uid="{00000000-0005-0000-0000-000088050000}"/>
    <cellStyle name="Normal 17 3 3 3" xfId="1806" xr:uid="{00000000-0005-0000-0000-000089050000}"/>
    <cellStyle name="Normal 17 3 3 4" xfId="1807" xr:uid="{00000000-0005-0000-0000-00008A050000}"/>
    <cellStyle name="Normal 17 3 3 5" xfId="1808" xr:uid="{00000000-0005-0000-0000-00008B050000}"/>
    <cellStyle name="Normal 17 3 4" xfId="466" xr:uid="{00000000-0005-0000-0000-00008C050000}"/>
    <cellStyle name="Normal 17 3 4 2" xfId="1809" xr:uid="{00000000-0005-0000-0000-00008D050000}"/>
    <cellStyle name="Normal 17 3 4 3" xfId="1810" xr:uid="{00000000-0005-0000-0000-00008E050000}"/>
    <cellStyle name="Normal 17 3 4 4" xfId="1811" xr:uid="{00000000-0005-0000-0000-00008F050000}"/>
    <cellStyle name="Normal 17 3 5" xfId="1812" xr:uid="{00000000-0005-0000-0000-000090050000}"/>
    <cellStyle name="Normal 17 3 6" xfId="1813" xr:uid="{00000000-0005-0000-0000-000091050000}"/>
    <cellStyle name="Normal 17 3 7" xfId="1814" xr:uid="{00000000-0005-0000-0000-000092050000}"/>
    <cellStyle name="Normal 17 4" xfId="189" xr:uid="{00000000-0005-0000-0000-000093050000}"/>
    <cellStyle name="Normal 17 4 2" xfId="327" xr:uid="{00000000-0005-0000-0000-000094050000}"/>
    <cellStyle name="Normal 17 4 2 2" xfId="657" xr:uid="{00000000-0005-0000-0000-000095050000}"/>
    <cellStyle name="Normal 17 4 2 2 2" xfId="1815" xr:uid="{00000000-0005-0000-0000-000096050000}"/>
    <cellStyle name="Normal 17 4 2 2 3" xfId="1816" xr:uid="{00000000-0005-0000-0000-000097050000}"/>
    <cellStyle name="Normal 17 4 2 2 4" xfId="1817" xr:uid="{00000000-0005-0000-0000-000098050000}"/>
    <cellStyle name="Normal 17 4 2 3" xfId="1818" xr:uid="{00000000-0005-0000-0000-000099050000}"/>
    <cellStyle name="Normal 17 4 2 4" xfId="1819" xr:uid="{00000000-0005-0000-0000-00009A050000}"/>
    <cellStyle name="Normal 17 4 2 5" xfId="1820" xr:uid="{00000000-0005-0000-0000-00009B050000}"/>
    <cellStyle name="Normal 17 4 3" xfId="534" xr:uid="{00000000-0005-0000-0000-00009C050000}"/>
    <cellStyle name="Normal 17 4 3 2" xfId="1821" xr:uid="{00000000-0005-0000-0000-00009D050000}"/>
    <cellStyle name="Normal 17 4 3 3" xfId="1822" xr:uid="{00000000-0005-0000-0000-00009E050000}"/>
    <cellStyle name="Normal 17 4 3 4" xfId="1823" xr:uid="{00000000-0005-0000-0000-00009F050000}"/>
    <cellStyle name="Normal 17 4 4" xfId="1824" xr:uid="{00000000-0005-0000-0000-0000A0050000}"/>
    <cellStyle name="Normal 17 4 5" xfId="1825" xr:uid="{00000000-0005-0000-0000-0000A1050000}"/>
    <cellStyle name="Normal 17 4 6" xfId="1826" xr:uid="{00000000-0005-0000-0000-0000A2050000}"/>
    <cellStyle name="Normal 17 5" xfId="328" xr:uid="{00000000-0005-0000-0000-0000A3050000}"/>
    <cellStyle name="Normal 17 5 2" xfId="658" xr:uid="{00000000-0005-0000-0000-0000A4050000}"/>
    <cellStyle name="Normal 17 5 2 2" xfId="1827" xr:uid="{00000000-0005-0000-0000-0000A5050000}"/>
    <cellStyle name="Normal 17 5 2 3" xfId="1828" xr:uid="{00000000-0005-0000-0000-0000A6050000}"/>
    <cellStyle name="Normal 17 5 2 4" xfId="1829" xr:uid="{00000000-0005-0000-0000-0000A7050000}"/>
    <cellStyle name="Normal 17 5 3" xfId="1830" xr:uid="{00000000-0005-0000-0000-0000A8050000}"/>
    <cellStyle name="Normal 17 5 4" xfId="1831" xr:uid="{00000000-0005-0000-0000-0000A9050000}"/>
    <cellStyle name="Normal 17 5 5" xfId="1832" xr:uid="{00000000-0005-0000-0000-0000AA050000}"/>
    <cellStyle name="Normal 17 6" xfId="429" xr:uid="{00000000-0005-0000-0000-0000AB050000}"/>
    <cellStyle name="Normal 17 6 2" xfId="1833" xr:uid="{00000000-0005-0000-0000-0000AC050000}"/>
    <cellStyle name="Normal 17 6 3" xfId="1834" xr:uid="{00000000-0005-0000-0000-0000AD050000}"/>
    <cellStyle name="Normal 17 6 4" xfId="1835" xr:uid="{00000000-0005-0000-0000-0000AE050000}"/>
    <cellStyle name="Normal 17 7" xfId="1836" xr:uid="{00000000-0005-0000-0000-0000AF050000}"/>
    <cellStyle name="Normal 17 8" xfId="1837" xr:uid="{00000000-0005-0000-0000-0000B0050000}"/>
    <cellStyle name="Normal 17 9" xfId="1838" xr:uid="{00000000-0005-0000-0000-0000B1050000}"/>
    <cellStyle name="Normal 18" xfId="51" xr:uid="{00000000-0005-0000-0000-0000B2050000}"/>
    <cellStyle name="Normal 18 2" xfId="190" xr:uid="{00000000-0005-0000-0000-0000B3050000}"/>
    <cellStyle name="Normal 18 2 4" xfId="191" xr:uid="{00000000-0005-0000-0000-0000B4050000}"/>
    <cellStyle name="Normal 18 2 4 2" xfId="192" xr:uid="{00000000-0005-0000-0000-0000B5050000}"/>
    <cellStyle name="Normal 18 2 4 2 2" xfId="329" xr:uid="{00000000-0005-0000-0000-0000B6050000}"/>
    <cellStyle name="Normal 18 2 4 2 2 2" xfId="659" xr:uid="{00000000-0005-0000-0000-0000B7050000}"/>
    <cellStyle name="Normal 18 2 4 2 2 2 2" xfId="1839" xr:uid="{00000000-0005-0000-0000-0000B8050000}"/>
    <cellStyle name="Normal 18 2 4 2 2 2 3" xfId="1840" xr:uid="{00000000-0005-0000-0000-0000B9050000}"/>
    <cellStyle name="Normal 18 2 4 2 2 2 4" xfId="1841" xr:uid="{00000000-0005-0000-0000-0000BA050000}"/>
    <cellStyle name="Normal 18 2 4 2 2 3" xfId="1842" xr:uid="{00000000-0005-0000-0000-0000BB050000}"/>
    <cellStyle name="Normal 18 2 4 2 2 4" xfId="1843" xr:uid="{00000000-0005-0000-0000-0000BC050000}"/>
    <cellStyle name="Normal 18 2 4 2 2 5" xfId="1844" xr:uid="{00000000-0005-0000-0000-0000BD050000}"/>
    <cellStyle name="Normal 18 2 4 2 3" xfId="536" xr:uid="{00000000-0005-0000-0000-0000BE050000}"/>
    <cellStyle name="Normal 18 2 4 2 3 2" xfId="1845" xr:uid="{00000000-0005-0000-0000-0000BF050000}"/>
    <cellStyle name="Normal 18 2 4 2 3 3" xfId="1846" xr:uid="{00000000-0005-0000-0000-0000C0050000}"/>
    <cellStyle name="Normal 18 2 4 2 3 4" xfId="1847" xr:uid="{00000000-0005-0000-0000-0000C1050000}"/>
    <cellStyle name="Normal 18 2 4 2 4" xfId="1848" xr:uid="{00000000-0005-0000-0000-0000C2050000}"/>
    <cellStyle name="Normal 18 2 4 2 5" xfId="1849" xr:uid="{00000000-0005-0000-0000-0000C3050000}"/>
    <cellStyle name="Normal 18 2 4 2 6" xfId="1850" xr:uid="{00000000-0005-0000-0000-0000C4050000}"/>
    <cellStyle name="Normal 18 2 4 3" xfId="330" xr:uid="{00000000-0005-0000-0000-0000C5050000}"/>
    <cellStyle name="Normal 18 2 4 3 2" xfId="660" xr:uid="{00000000-0005-0000-0000-0000C6050000}"/>
    <cellStyle name="Normal 18 2 4 3 2 2" xfId="1851" xr:uid="{00000000-0005-0000-0000-0000C7050000}"/>
    <cellStyle name="Normal 18 2 4 3 2 3" xfId="1852" xr:uid="{00000000-0005-0000-0000-0000C8050000}"/>
    <cellStyle name="Normal 18 2 4 3 2 4" xfId="1853" xr:uid="{00000000-0005-0000-0000-0000C9050000}"/>
    <cellStyle name="Normal 18 2 4 3 3" xfId="1854" xr:uid="{00000000-0005-0000-0000-0000CA050000}"/>
    <cellStyle name="Normal 18 2 4 3 4" xfId="1855" xr:uid="{00000000-0005-0000-0000-0000CB050000}"/>
    <cellStyle name="Normal 18 2 4 3 5" xfId="1856" xr:uid="{00000000-0005-0000-0000-0000CC050000}"/>
    <cellStyle name="Normal 18 2 4 4" xfId="535" xr:uid="{00000000-0005-0000-0000-0000CD050000}"/>
    <cellStyle name="Normal 18 2 4 4 2" xfId="1857" xr:uid="{00000000-0005-0000-0000-0000CE050000}"/>
    <cellStyle name="Normal 18 2 4 4 3" xfId="1858" xr:uid="{00000000-0005-0000-0000-0000CF050000}"/>
    <cellStyle name="Normal 18 2 4 4 4" xfId="1859" xr:uid="{00000000-0005-0000-0000-0000D0050000}"/>
    <cellStyle name="Normal 18 2 4 5" xfId="1860" xr:uid="{00000000-0005-0000-0000-0000D1050000}"/>
    <cellStyle name="Normal 18 2 4 6" xfId="1861" xr:uid="{00000000-0005-0000-0000-0000D2050000}"/>
    <cellStyle name="Normal 18 2 4 7" xfId="1862" xr:uid="{00000000-0005-0000-0000-0000D3050000}"/>
    <cellStyle name="Normal 19" xfId="50" xr:uid="{00000000-0005-0000-0000-0000D4050000}"/>
    <cellStyle name="Normal 19 2" xfId="193" xr:uid="{00000000-0005-0000-0000-0000D5050000}"/>
    <cellStyle name="Normal 19 2 2" xfId="331" xr:uid="{00000000-0005-0000-0000-0000D6050000}"/>
    <cellStyle name="Normal 19 2 2 2" xfId="661" xr:uid="{00000000-0005-0000-0000-0000D7050000}"/>
    <cellStyle name="Normal 19 2 2 2 2" xfId="1863" xr:uid="{00000000-0005-0000-0000-0000D8050000}"/>
    <cellStyle name="Normal 19 2 2 2 3" xfId="1864" xr:uid="{00000000-0005-0000-0000-0000D9050000}"/>
    <cellStyle name="Normal 19 2 2 2 4" xfId="1865" xr:uid="{00000000-0005-0000-0000-0000DA050000}"/>
    <cellStyle name="Normal 19 2 2 3" xfId="1866" xr:uid="{00000000-0005-0000-0000-0000DB050000}"/>
    <cellStyle name="Normal 19 2 2 4" xfId="1867" xr:uid="{00000000-0005-0000-0000-0000DC050000}"/>
    <cellStyle name="Normal 19 2 2 5" xfId="1868" xr:uid="{00000000-0005-0000-0000-0000DD050000}"/>
    <cellStyle name="Normal 19 2 3" xfId="537" xr:uid="{00000000-0005-0000-0000-0000DE050000}"/>
    <cellStyle name="Normal 19 2 3 2" xfId="1869" xr:uid="{00000000-0005-0000-0000-0000DF050000}"/>
    <cellStyle name="Normal 19 2 3 3" xfId="1870" xr:uid="{00000000-0005-0000-0000-0000E0050000}"/>
    <cellStyle name="Normal 19 2 3 4" xfId="1871" xr:uid="{00000000-0005-0000-0000-0000E1050000}"/>
    <cellStyle name="Normal 19 2 4" xfId="737" xr:uid="{00000000-0005-0000-0000-0000E2050000}"/>
    <cellStyle name="Normal 19 2 5" xfId="1872" xr:uid="{00000000-0005-0000-0000-0000E3050000}"/>
    <cellStyle name="Normal 19 2 6" xfId="1873" xr:uid="{00000000-0005-0000-0000-0000E4050000}"/>
    <cellStyle name="Normal 19 3" xfId="332" xr:uid="{00000000-0005-0000-0000-0000E5050000}"/>
    <cellStyle name="Normal 19 3 2" xfId="662" xr:uid="{00000000-0005-0000-0000-0000E6050000}"/>
    <cellStyle name="Normal 19 3 2 2" xfId="1874" xr:uid="{00000000-0005-0000-0000-0000E7050000}"/>
    <cellStyle name="Normal 19 3 2 3" xfId="1875" xr:uid="{00000000-0005-0000-0000-0000E8050000}"/>
    <cellStyle name="Normal 19 3 2 4" xfId="1876" xr:uid="{00000000-0005-0000-0000-0000E9050000}"/>
    <cellStyle name="Normal 19 3 3" xfId="1877" xr:uid="{00000000-0005-0000-0000-0000EA050000}"/>
    <cellStyle name="Normal 19 3 4" xfId="1878" xr:uid="{00000000-0005-0000-0000-0000EB050000}"/>
    <cellStyle name="Normal 19 3 5" xfId="1879" xr:uid="{00000000-0005-0000-0000-0000EC050000}"/>
    <cellStyle name="Normal 19 4" xfId="452" xr:uid="{00000000-0005-0000-0000-0000ED050000}"/>
    <cellStyle name="Normal 19 4 2" xfId="1880" xr:uid="{00000000-0005-0000-0000-0000EE050000}"/>
    <cellStyle name="Normal 19 4 3" xfId="1881" xr:uid="{00000000-0005-0000-0000-0000EF050000}"/>
    <cellStyle name="Normal 19 4 4" xfId="1882" xr:uid="{00000000-0005-0000-0000-0000F0050000}"/>
    <cellStyle name="Normal 19 5" xfId="738" xr:uid="{00000000-0005-0000-0000-0000F1050000}"/>
    <cellStyle name="Normal 19 6" xfId="1883" xr:uid="{00000000-0005-0000-0000-0000F2050000}"/>
    <cellStyle name="Normal 19 7" xfId="1884" xr:uid="{00000000-0005-0000-0000-0000F3050000}"/>
    <cellStyle name="Normal 2" xfId="1" xr:uid="{00000000-0005-0000-0000-0000F4050000}"/>
    <cellStyle name="Normal 2 10" xfId="25" xr:uid="{00000000-0005-0000-0000-0000F5050000}"/>
    <cellStyle name="Normal 2 11" xfId="753" xr:uid="{00000000-0005-0000-0000-0000F6050000}"/>
    <cellStyle name="Normal 2 12" xfId="754" xr:uid="{00000000-0005-0000-0000-0000F7050000}"/>
    <cellStyle name="Normal 2 13" xfId="755" xr:uid="{00000000-0005-0000-0000-0000F8050000}"/>
    <cellStyle name="Normal 2 14" xfId="756" xr:uid="{00000000-0005-0000-0000-0000F9050000}"/>
    <cellStyle name="Normal 2 15" xfId="757" xr:uid="{00000000-0005-0000-0000-0000FA050000}"/>
    <cellStyle name="Normal 2 15 2" xfId="758" xr:uid="{00000000-0005-0000-0000-0000FB050000}"/>
    <cellStyle name="Normal 2 15 2 2" xfId="759" xr:uid="{00000000-0005-0000-0000-0000FC050000}"/>
    <cellStyle name="Normal 2 15 2 2 2" xfId="2739" xr:uid="{00000000-0005-0000-0000-0000FD050000}"/>
    <cellStyle name="Normal 2 15 2 2 2 2" xfId="2740" xr:uid="{00000000-0005-0000-0000-0000FE050000}"/>
    <cellStyle name="Normal 2 15 2 2 3" xfId="2741" xr:uid="{00000000-0005-0000-0000-0000FF050000}"/>
    <cellStyle name="Normal 2 15 2 2 3 2" xfId="2742" xr:uid="{00000000-0005-0000-0000-000000060000}"/>
    <cellStyle name="Normal 2 15 2 2 4" xfId="2743" xr:uid="{00000000-0005-0000-0000-000001060000}"/>
    <cellStyle name="Normal 2 15 2 2 5" xfId="2744" xr:uid="{00000000-0005-0000-0000-000002060000}"/>
    <cellStyle name="Normal 2 15 2 3" xfId="2745" xr:uid="{00000000-0005-0000-0000-000003060000}"/>
    <cellStyle name="Normal 2 15 2 3 2" xfId="2746" xr:uid="{00000000-0005-0000-0000-000004060000}"/>
    <cellStyle name="Normal 2 15 2 3 3" xfId="2737" xr:uid="{00000000-0005-0000-0000-000005060000}"/>
    <cellStyle name="Normal 2 15 2 3 3 2" xfId="2758" xr:uid="{00000000-0005-0000-0000-000006060000}"/>
    <cellStyle name="Normal 2 15 2 4" xfId="2747" xr:uid="{00000000-0005-0000-0000-000007060000}"/>
    <cellStyle name="Normal 2 15 2 4 2" xfId="2748" xr:uid="{00000000-0005-0000-0000-000008060000}"/>
    <cellStyle name="Normal 2 15 2 5" xfId="2749" xr:uid="{00000000-0005-0000-0000-000009060000}"/>
    <cellStyle name="Normal 2 2" xfId="13" xr:uid="{00000000-0005-0000-0000-00000A060000}"/>
    <cellStyle name="Normal 2 2 2" xfId="15" xr:uid="{00000000-0005-0000-0000-00000B060000}"/>
    <cellStyle name="Normal 2 2 2 10" xfId="1885" xr:uid="{00000000-0005-0000-0000-00000C060000}"/>
    <cellStyle name="Normal 2 2 2 11" xfId="1886" xr:uid="{00000000-0005-0000-0000-00000D060000}"/>
    <cellStyle name="Normal 2 2 2 12" xfId="1887" xr:uid="{00000000-0005-0000-0000-00000E060000}"/>
    <cellStyle name="Normal 2 2 2 13" xfId="1888" xr:uid="{00000000-0005-0000-0000-00000F060000}"/>
    <cellStyle name="Normal 2 2 2 2" xfId="42" xr:uid="{00000000-0005-0000-0000-000010060000}"/>
    <cellStyle name="Normal 2 2 2 2 2" xfId="81" xr:uid="{00000000-0005-0000-0000-000011060000}"/>
    <cellStyle name="Normal 2 2 2 2 2 2" xfId="194" xr:uid="{00000000-0005-0000-0000-000012060000}"/>
    <cellStyle name="Normal 2 2 2 2 2 2 2" xfId="333" xr:uid="{00000000-0005-0000-0000-000013060000}"/>
    <cellStyle name="Normal 2 2 2 2 2 2 2 2" xfId="663" xr:uid="{00000000-0005-0000-0000-000014060000}"/>
    <cellStyle name="Normal 2 2 2 2 2 2 2 2 2" xfId="1889" xr:uid="{00000000-0005-0000-0000-000015060000}"/>
    <cellStyle name="Normal 2 2 2 2 2 2 2 2 3" xfId="1890" xr:uid="{00000000-0005-0000-0000-000016060000}"/>
    <cellStyle name="Normal 2 2 2 2 2 2 2 2 4" xfId="1891" xr:uid="{00000000-0005-0000-0000-000017060000}"/>
    <cellStyle name="Normal 2 2 2 2 2 2 2 3" xfId="1892" xr:uid="{00000000-0005-0000-0000-000018060000}"/>
    <cellStyle name="Normal 2 2 2 2 2 2 2 4" xfId="1893" xr:uid="{00000000-0005-0000-0000-000019060000}"/>
    <cellStyle name="Normal 2 2 2 2 2 2 2 5" xfId="1894" xr:uid="{00000000-0005-0000-0000-00001A060000}"/>
    <cellStyle name="Normal 2 2 2 2 2 2 3" xfId="538" xr:uid="{00000000-0005-0000-0000-00001B060000}"/>
    <cellStyle name="Normal 2 2 2 2 2 2 3 2" xfId="1895" xr:uid="{00000000-0005-0000-0000-00001C060000}"/>
    <cellStyle name="Normal 2 2 2 2 2 2 3 3" xfId="1896" xr:uid="{00000000-0005-0000-0000-00001D060000}"/>
    <cellStyle name="Normal 2 2 2 2 2 2 3 4" xfId="1897" xr:uid="{00000000-0005-0000-0000-00001E060000}"/>
    <cellStyle name="Normal 2 2 2 2 2 2 4" xfId="1898" xr:uid="{00000000-0005-0000-0000-00001F060000}"/>
    <cellStyle name="Normal 2 2 2 2 2 2 5" xfId="1899" xr:uid="{00000000-0005-0000-0000-000020060000}"/>
    <cellStyle name="Normal 2 2 2 2 2 2 6" xfId="1900" xr:uid="{00000000-0005-0000-0000-000021060000}"/>
    <cellStyle name="Normal 2 2 2 2 2 3" xfId="334" xr:uid="{00000000-0005-0000-0000-000022060000}"/>
    <cellStyle name="Normal 2 2 2 2 2 3 2" xfId="664" xr:uid="{00000000-0005-0000-0000-000023060000}"/>
    <cellStyle name="Normal 2 2 2 2 2 3 2 2" xfId="1901" xr:uid="{00000000-0005-0000-0000-000024060000}"/>
    <cellStyle name="Normal 2 2 2 2 2 3 2 3" xfId="1902" xr:uid="{00000000-0005-0000-0000-000025060000}"/>
    <cellStyle name="Normal 2 2 2 2 2 3 2 4" xfId="1903" xr:uid="{00000000-0005-0000-0000-000026060000}"/>
    <cellStyle name="Normal 2 2 2 2 2 3 3" xfId="1904" xr:uid="{00000000-0005-0000-0000-000027060000}"/>
    <cellStyle name="Normal 2 2 2 2 2 3 4" xfId="1905" xr:uid="{00000000-0005-0000-0000-000028060000}"/>
    <cellStyle name="Normal 2 2 2 2 2 3 5" xfId="1906" xr:uid="{00000000-0005-0000-0000-000029060000}"/>
    <cellStyle name="Normal 2 2 2 2 2 4" xfId="481" xr:uid="{00000000-0005-0000-0000-00002A060000}"/>
    <cellStyle name="Normal 2 2 2 2 2 4 2" xfId="1907" xr:uid="{00000000-0005-0000-0000-00002B060000}"/>
    <cellStyle name="Normal 2 2 2 2 2 4 3" xfId="1908" xr:uid="{00000000-0005-0000-0000-00002C060000}"/>
    <cellStyle name="Normal 2 2 2 2 2 4 4" xfId="1909" xr:uid="{00000000-0005-0000-0000-00002D060000}"/>
    <cellStyle name="Normal 2 2 2 2 2 5" xfId="1910" xr:uid="{00000000-0005-0000-0000-00002E060000}"/>
    <cellStyle name="Normal 2 2 2 2 2 6" xfId="1911" xr:uid="{00000000-0005-0000-0000-00002F060000}"/>
    <cellStyle name="Normal 2 2 2 2 2 7" xfId="1912" xr:uid="{00000000-0005-0000-0000-000030060000}"/>
    <cellStyle name="Normal 2 2 2 2 3" xfId="195" xr:uid="{00000000-0005-0000-0000-000031060000}"/>
    <cellStyle name="Normal 2 2 2 2 3 2" xfId="335" xr:uid="{00000000-0005-0000-0000-000032060000}"/>
    <cellStyle name="Normal 2 2 2 2 3 2 2" xfId="665" xr:uid="{00000000-0005-0000-0000-000033060000}"/>
    <cellStyle name="Normal 2 2 2 2 3 2 2 2" xfId="1913" xr:uid="{00000000-0005-0000-0000-000034060000}"/>
    <cellStyle name="Normal 2 2 2 2 3 2 2 3" xfId="1914" xr:uid="{00000000-0005-0000-0000-000035060000}"/>
    <cellStyle name="Normal 2 2 2 2 3 2 2 4" xfId="1915" xr:uid="{00000000-0005-0000-0000-000036060000}"/>
    <cellStyle name="Normal 2 2 2 2 3 2 3" xfId="1916" xr:uid="{00000000-0005-0000-0000-000037060000}"/>
    <cellStyle name="Normal 2 2 2 2 3 2 3 2" xfId="2734" xr:uid="{00000000-0005-0000-0000-000038060000}"/>
    <cellStyle name="Normal 2 2 2 2 3 2 3 3" xfId="2754" xr:uid="{00000000-0005-0000-0000-000039060000}"/>
    <cellStyle name="Normal 2 2 2 2 3 2 4" xfId="1917" xr:uid="{00000000-0005-0000-0000-00003A060000}"/>
    <cellStyle name="Normal 2 2 2 2 3 2 5" xfId="1918" xr:uid="{00000000-0005-0000-0000-00003B060000}"/>
    <cellStyle name="Normal 2 2 2 2 3 3" xfId="539" xr:uid="{00000000-0005-0000-0000-00003C060000}"/>
    <cellStyle name="Normal 2 2 2 2 3 3 2" xfId="1919" xr:uid="{00000000-0005-0000-0000-00003D060000}"/>
    <cellStyle name="Normal 2 2 2 2 3 3 3" xfId="1920" xr:uid="{00000000-0005-0000-0000-00003E060000}"/>
    <cellStyle name="Normal 2 2 2 2 3 3 4" xfId="1921" xr:uid="{00000000-0005-0000-0000-00003F060000}"/>
    <cellStyle name="Normal 2 2 2 2 3 4" xfId="784" xr:uid="{00000000-0005-0000-0000-000040060000}"/>
    <cellStyle name="Normal 2 2 2 2 3 5" xfId="1922" xr:uid="{00000000-0005-0000-0000-000041060000}"/>
    <cellStyle name="Normal 2 2 2 2 3 6" xfId="1923" xr:uid="{00000000-0005-0000-0000-000042060000}"/>
    <cellStyle name="Normal 2 2 2 2 4" xfId="336" xr:uid="{00000000-0005-0000-0000-000043060000}"/>
    <cellStyle name="Normal 2 2 2 2 4 2" xfId="666" xr:uid="{00000000-0005-0000-0000-000044060000}"/>
    <cellStyle name="Normal 2 2 2 2 4 2 2" xfId="1924" xr:uid="{00000000-0005-0000-0000-000045060000}"/>
    <cellStyle name="Normal 2 2 2 2 4 2 3" xfId="1925" xr:uid="{00000000-0005-0000-0000-000046060000}"/>
    <cellStyle name="Normal 2 2 2 2 4 2 4" xfId="1926" xr:uid="{00000000-0005-0000-0000-000047060000}"/>
    <cellStyle name="Normal 2 2 2 2 4 3" xfId="1927" xr:uid="{00000000-0005-0000-0000-000048060000}"/>
    <cellStyle name="Normal 2 2 2 2 4 3 2" xfId="2736" xr:uid="{00000000-0005-0000-0000-000049060000}"/>
    <cellStyle name="Normal 2 2 2 2 4 3 3" xfId="2756" xr:uid="{00000000-0005-0000-0000-00004A060000}"/>
    <cellStyle name="Normal 2 2 2 2 4 4" xfId="1928" xr:uid="{00000000-0005-0000-0000-00004B060000}"/>
    <cellStyle name="Normal 2 2 2 2 4 5" xfId="1929" xr:uid="{00000000-0005-0000-0000-00004C060000}"/>
    <cellStyle name="Normal 2 2 2 2 5" xfId="444" xr:uid="{00000000-0005-0000-0000-00004D060000}"/>
    <cellStyle name="Normal 2 2 2 2 5 2" xfId="1930" xr:uid="{00000000-0005-0000-0000-00004E060000}"/>
    <cellStyle name="Normal 2 2 2 2 5 3" xfId="1931" xr:uid="{00000000-0005-0000-0000-00004F060000}"/>
    <cellStyle name="Normal 2 2 2 2 5 4" xfId="1932" xr:uid="{00000000-0005-0000-0000-000050060000}"/>
    <cellStyle name="Normal 2 2 2 2 6" xfId="1933" xr:uid="{00000000-0005-0000-0000-000051060000}"/>
    <cellStyle name="Normal 2 2 2 2 6 2" xfId="2750" xr:uid="{00000000-0005-0000-0000-000052060000}"/>
    <cellStyle name="Normal 2 2 2 2 6 3" xfId="2757" xr:uid="{00000000-0005-0000-0000-000053060000}"/>
    <cellStyle name="Normal 2 2 2 2 7" xfId="1934" xr:uid="{00000000-0005-0000-0000-000054060000}"/>
    <cellStyle name="Normal 2 2 2 2 8" xfId="1935" xr:uid="{00000000-0005-0000-0000-000055060000}"/>
    <cellStyle name="Normal 2 2 2 3" xfId="63" xr:uid="{00000000-0005-0000-0000-000056060000}"/>
    <cellStyle name="Normal 2 2 2 3 2" xfId="196" xr:uid="{00000000-0005-0000-0000-000057060000}"/>
    <cellStyle name="Normal 2 2 2 3 2 2" xfId="337" xr:uid="{00000000-0005-0000-0000-000058060000}"/>
    <cellStyle name="Normal 2 2 2 3 2 2 2" xfId="667" xr:uid="{00000000-0005-0000-0000-000059060000}"/>
    <cellStyle name="Normal 2 2 2 3 2 2 2 2" xfId="1936" xr:uid="{00000000-0005-0000-0000-00005A060000}"/>
    <cellStyle name="Normal 2 2 2 3 2 2 2 3" xfId="1937" xr:uid="{00000000-0005-0000-0000-00005B060000}"/>
    <cellStyle name="Normal 2 2 2 3 2 2 2 4" xfId="1938" xr:uid="{00000000-0005-0000-0000-00005C060000}"/>
    <cellStyle name="Normal 2 2 2 3 2 2 3" xfId="1939" xr:uid="{00000000-0005-0000-0000-00005D060000}"/>
    <cellStyle name="Normal 2 2 2 3 2 2 4" xfId="1940" xr:uid="{00000000-0005-0000-0000-00005E060000}"/>
    <cellStyle name="Normal 2 2 2 3 2 2 5" xfId="1941" xr:uid="{00000000-0005-0000-0000-00005F060000}"/>
    <cellStyle name="Normal 2 2 2 3 2 3" xfId="540" xr:uid="{00000000-0005-0000-0000-000060060000}"/>
    <cellStyle name="Normal 2 2 2 3 2 3 2" xfId="1942" xr:uid="{00000000-0005-0000-0000-000061060000}"/>
    <cellStyle name="Normal 2 2 2 3 2 3 3" xfId="1943" xr:uid="{00000000-0005-0000-0000-000062060000}"/>
    <cellStyle name="Normal 2 2 2 3 2 3 4" xfId="1944" xr:uid="{00000000-0005-0000-0000-000063060000}"/>
    <cellStyle name="Normal 2 2 2 3 2 4" xfId="1945" xr:uid="{00000000-0005-0000-0000-000064060000}"/>
    <cellStyle name="Normal 2 2 2 3 2 5" xfId="1946" xr:uid="{00000000-0005-0000-0000-000065060000}"/>
    <cellStyle name="Normal 2 2 2 3 2 6" xfId="1947" xr:uid="{00000000-0005-0000-0000-000066060000}"/>
    <cellStyle name="Normal 2 2 2 3 3" xfId="338" xr:uid="{00000000-0005-0000-0000-000067060000}"/>
    <cellStyle name="Normal 2 2 2 3 3 2" xfId="668" xr:uid="{00000000-0005-0000-0000-000068060000}"/>
    <cellStyle name="Normal 2 2 2 3 3 2 2" xfId="1948" xr:uid="{00000000-0005-0000-0000-000069060000}"/>
    <cellStyle name="Normal 2 2 2 3 3 2 3" xfId="1949" xr:uid="{00000000-0005-0000-0000-00006A060000}"/>
    <cellStyle name="Normal 2 2 2 3 3 2 4" xfId="1950" xr:uid="{00000000-0005-0000-0000-00006B060000}"/>
    <cellStyle name="Normal 2 2 2 3 3 3" xfId="1951" xr:uid="{00000000-0005-0000-0000-00006C060000}"/>
    <cellStyle name="Normal 2 2 2 3 3 4" xfId="1952" xr:uid="{00000000-0005-0000-0000-00006D060000}"/>
    <cellStyle name="Normal 2 2 2 3 3 5" xfId="1953" xr:uid="{00000000-0005-0000-0000-00006E060000}"/>
    <cellStyle name="Normal 2 2 2 3 4" xfId="463" xr:uid="{00000000-0005-0000-0000-00006F060000}"/>
    <cellStyle name="Normal 2 2 2 3 4 2" xfId="1954" xr:uid="{00000000-0005-0000-0000-000070060000}"/>
    <cellStyle name="Normal 2 2 2 3 4 3" xfId="1955" xr:uid="{00000000-0005-0000-0000-000071060000}"/>
    <cellStyle name="Normal 2 2 2 3 4 4" xfId="1956" xr:uid="{00000000-0005-0000-0000-000072060000}"/>
    <cellStyle name="Normal 2 2 2 3 5" xfId="1957" xr:uid="{00000000-0005-0000-0000-000073060000}"/>
    <cellStyle name="Normal 2 2 2 3 6" xfId="1958" xr:uid="{00000000-0005-0000-0000-000074060000}"/>
    <cellStyle name="Normal 2 2 2 3 7" xfId="1959" xr:uid="{00000000-0005-0000-0000-000075060000}"/>
    <cellStyle name="Normal 2 2 2 4" xfId="197" xr:uid="{00000000-0005-0000-0000-000076060000}"/>
    <cellStyle name="Normal 2 2 2 4 2" xfId="339" xr:uid="{00000000-0005-0000-0000-000077060000}"/>
    <cellStyle name="Normal 2 2 2 4 2 2" xfId="669" xr:uid="{00000000-0005-0000-0000-000078060000}"/>
    <cellStyle name="Normal 2 2 2 4 2 2 2" xfId="1960" xr:uid="{00000000-0005-0000-0000-000079060000}"/>
    <cellStyle name="Normal 2 2 2 4 2 2 3" xfId="1961" xr:uid="{00000000-0005-0000-0000-00007A060000}"/>
    <cellStyle name="Normal 2 2 2 4 2 2 4" xfId="1962" xr:uid="{00000000-0005-0000-0000-00007B060000}"/>
    <cellStyle name="Normal 2 2 2 4 2 3" xfId="1963" xr:uid="{00000000-0005-0000-0000-00007C060000}"/>
    <cellStyle name="Normal 2 2 2 4 2 4" xfId="1964" xr:uid="{00000000-0005-0000-0000-00007D060000}"/>
    <cellStyle name="Normal 2 2 2 4 2 5" xfId="1965" xr:uid="{00000000-0005-0000-0000-00007E060000}"/>
    <cellStyle name="Normal 2 2 2 4 3" xfId="541" xr:uid="{00000000-0005-0000-0000-00007F060000}"/>
    <cellStyle name="Normal 2 2 2 4 3 2" xfId="1966" xr:uid="{00000000-0005-0000-0000-000080060000}"/>
    <cellStyle name="Normal 2 2 2 4 3 3" xfId="1967" xr:uid="{00000000-0005-0000-0000-000081060000}"/>
    <cellStyle name="Normal 2 2 2 4 3 4" xfId="1968" xr:uid="{00000000-0005-0000-0000-000082060000}"/>
    <cellStyle name="Normal 2 2 2 4 4" xfId="782" xr:uid="{00000000-0005-0000-0000-000083060000}"/>
    <cellStyle name="Normal 2 2 2 4 4 2" xfId="2751" xr:uid="{00000000-0005-0000-0000-000084060000}"/>
    <cellStyle name="Normal 2 2 2 4 4 3" xfId="2733" xr:uid="{00000000-0005-0000-0000-000085060000}"/>
    <cellStyle name="Normal 2 2 2 4 4 3 2" xfId="2753" xr:uid="{00000000-0005-0000-0000-000086060000}"/>
    <cellStyle name="Normal 2 2 2 4 5" xfId="1969" xr:uid="{00000000-0005-0000-0000-000087060000}"/>
    <cellStyle name="Normal 2 2 2 4 6" xfId="1970" xr:uid="{00000000-0005-0000-0000-000088060000}"/>
    <cellStyle name="Normal 2 2 2 4 6 2" xfId="2735" xr:uid="{00000000-0005-0000-0000-000089060000}"/>
    <cellStyle name="Normal 2 2 2 4 6 3" xfId="2755" xr:uid="{00000000-0005-0000-0000-00008A060000}"/>
    <cellStyle name="Normal 2 2 2 4 7" xfId="2752" xr:uid="{00000000-0005-0000-0000-00008B060000}"/>
    <cellStyle name="Normal 2 2 2 5" xfId="340" xr:uid="{00000000-0005-0000-0000-00008C060000}"/>
    <cellStyle name="Normal 2 2 2 5 2" xfId="670" xr:uid="{00000000-0005-0000-0000-00008D060000}"/>
    <cellStyle name="Normal 2 2 2 5 2 2" xfId="1971" xr:uid="{00000000-0005-0000-0000-00008E060000}"/>
    <cellStyle name="Normal 2 2 2 5 2 3" xfId="1972" xr:uid="{00000000-0005-0000-0000-00008F060000}"/>
    <cellStyle name="Normal 2 2 2 5 2 4" xfId="1973" xr:uid="{00000000-0005-0000-0000-000090060000}"/>
    <cellStyle name="Normal 2 2 2 5 3" xfId="1974" xr:uid="{00000000-0005-0000-0000-000091060000}"/>
    <cellStyle name="Normal 2 2 2 5 4" xfId="1975" xr:uid="{00000000-0005-0000-0000-000092060000}"/>
    <cellStyle name="Normal 2 2 2 5 5" xfId="1976" xr:uid="{00000000-0005-0000-0000-000093060000}"/>
    <cellStyle name="Normal 2 2 2 6" xfId="412" xr:uid="{00000000-0005-0000-0000-000094060000}"/>
    <cellStyle name="Normal 2 2 2 6 2" xfId="1977" xr:uid="{00000000-0005-0000-0000-000095060000}"/>
    <cellStyle name="Normal 2 2 2 6 3" xfId="1978" xr:uid="{00000000-0005-0000-0000-000096060000}"/>
    <cellStyle name="Normal 2 2 2 6 4" xfId="1979" xr:uid="{00000000-0005-0000-0000-000097060000}"/>
    <cellStyle name="Normal 2 2 2 7" xfId="426" xr:uid="{00000000-0005-0000-0000-000098060000}"/>
    <cellStyle name="Normal 2 2 2 7 2" xfId="1980" xr:uid="{00000000-0005-0000-0000-000099060000}"/>
    <cellStyle name="Normal 2 2 2 7 3" xfId="1981" xr:uid="{00000000-0005-0000-0000-00009A060000}"/>
    <cellStyle name="Normal 2 2 2 7 4" xfId="1982" xr:uid="{00000000-0005-0000-0000-00009B060000}"/>
    <cellStyle name="Normal 2 2 2 8" xfId="727" xr:uid="{00000000-0005-0000-0000-00009C060000}"/>
    <cellStyle name="Normal 2 2 2 8 2" xfId="1983" xr:uid="{00000000-0005-0000-0000-00009D060000}"/>
    <cellStyle name="Normal 2 2 2 9" xfId="1984" xr:uid="{00000000-0005-0000-0000-00009E060000}"/>
    <cellStyle name="Normal 2 2 3" xfId="760" xr:uid="{00000000-0005-0000-0000-00009F060000}"/>
    <cellStyle name="Normal 2 2 4" xfId="761" xr:uid="{00000000-0005-0000-0000-0000A0060000}"/>
    <cellStyle name="Normal 2 3" xfId="24" xr:uid="{00000000-0005-0000-0000-0000A1060000}"/>
    <cellStyle name="Normal 2 3 2" xfId="198" xr:uid="{00000000-0005-0000-0000-0000A2060000}"/>
    <cellStyle name="Normal 2 3 3" xfId="199" xr:uid="{00000000-0005-0000-0000-0000A3060000}"/>
    <cellStyle name="Normal 2 4" xfId="23" xr:uid="{00000000-0005-0000-0000-0000A4060000}"/>
    <cellStyle name="Normal 2 4 2" xfId="200" xr:uid="{00000000-0005-0000-0000-0000A5060000}"/>
    <cellStyle name="Normal 2 5" xfId="201" xr:uid="{00000000-0005-0000-0000-0000A6060000}"/>
    <cellStyle name="Normal 2 6" xfId="143" xr:uid="{00000000-0005-0000-0000-0000A7060000}"/>
    <cellStyle name="Normal 2 7" xfId="202" xr:uid="{00000000-0005-0000-0000-0000A8060000}"/>
    <cellStyle name="Normal 2 8" xfId="762" xr:uid="{00000000-0005-0000-0000-0000A9060000}"/>
    <cellStyle name="Normal 2 9" xfId="763" xr:uid="{00000000-0005-0000-0000-0000AA060000}"/>
    <cellStyle name="Normal 20" xfId="27" xr:uid="{00000000-0005-0000-0000-0000AB060000}"/>
    <cellStyle name="Normal 21" xfId="239" xr:uid="{00000000-0005-0000-0000-0000AC060000}"/>
    <cellStyle name="Normal 21 2" xfId="242" xr:uid="{00000000-0005-0000-0000-0000AD060000}"/>
    <cellStyle name="Normal 21 2 2" xfId="764" xr:uid="{00000000-0005-0000-0000-0000AE060000}"/>
    <cellStyle name="Normal 21 3" xfId="765" xr:uid="{00000000-0005-0000-0000-0000AF060000}"/>
    <cellStyle name="Normal 21 4" xfId="766" xr:uid="{00000000-0005-0000-0000-0000B0060000}"/>
    <cellStyle name="Normal 21 5" xfId="767" xr:uid="{00000000-0005-0000-0000-0000B1060000}"/>
    <cellStyle name="Normal 22" xfId="768" xr:uid="{00000000-0005-0000-0000-0000B2060000}"/>
    <cellStyle name="Normal 23" xfId="769" xr:uid="{00000000-0005-0000-0000-0000B3060000}"/>
    <cellStyle name="Normal 23 2" xfId="788" xr:uid="{00000000-0005-0000-0000-0000B4060000}"/>
    <cellStyle name="Normal 3" xfId="16" xr:uid="{00000000-0005-0000-0000-0000B5060000}"/>
    <cellStyle name="Normal 3 10" xfId="770" xr:uid="{00000000-0005-0000-0000-0000B6060000}"/>
    <cellStyle name="Normal 3 11" xfId="771" xr:uid="{00000000-0005-0000-0000-0000B7060000}"/>
    <cellStyle name="Normal 3 11 2" xfId="772" xr:uid="{00000000-0005-0000-0000-0000B8060000}"/>
    <cellStyle name="Normal 3 11 2 2" xfId="773" xr:uid="{00000000-0005-0000-0000-0000B9060000}"/>
    <cellStyle name="Normal 3 2" xfId="18" xr:uid="{00000000-0005-0000-0000-0000BA060000}"/>
    <cellStyle name="Normal 3 2 2" xfId="133" xr:uid="{00000000-0005-0000-0000-0000BB060000}"/>
    <cellStyle name="Normal 3 2 2 2" xfId="203" xr:uid="{00000000-0005-0000-0000-0000BC060000}"/>
    <cellStyle name="Normal 3 2 3" xfId="142" xr:uid="{00000000-0005-0000-0000-0000BD060000}"/>
    <cellStyle name="Normal 3 2 3 2" xfId="783" xr:uid="{00000000-0005-0000-0000-0000BE060000}"/>
    <cellStyle name="Normal 3 2 4" xfId="1985" xr:uid="{00000000-0005-0000-0000-0000BF060000}"/>
    <cellStyle name="Normal 3 3" xfId="31" xr:uid="{00000000-0005-0000-0000-0000C0060000}"/>
    <cellStyle name="Normal 3 3 10" xfId="1986" xr:uid="{00000000-0005-0000-0000-0000C1060000}"/>
    <cellStyle name="Normal 3 3 2" xfId="49" xr:uid="{00000000-0005-0000-0000-0000C2060000}"/>
    <cellStyle name="Normal 3 3 2 2" xfId="88" xr:uid="{00000000-0005-0000-0000-0000C3060000}"/>
    <cellStyle name="Normal 3 3 2 2 2" xfId="204" xr:uid="{00000000-0005-0000-0000-0000C4060000}"/>
    <cellStyle name="Normal 3 3 2 2 2 2" xfId="341" xr:uid="{00000000-0005-0000-0000-0000C5060000}"/>
    <cellStyle name="Normal 3 3 2 2 2 2 2" xfId="671" xr:uid="{00000000-0005-0000-0000-0000C6060000}"/>
    <cellStyle name="Normal 3 3 2 2 2 2 2 2" xfId="1987" xr:uid="{00000000-0005-0000-0000-0000C7060000}"/>
    <cellStyle name="Normal 3 3 2 2 2 2 2 3" xfId="1988" xr:uid="{00000000-0005-0000-0000-0000C8060000}"/>
    <cellStyle name="Normal 3 3 2 2 2 2 2 4" xfId="1989" xr:uid="{00000000-0005-0000-0000-0000C9060000}"/>
    <cellStyle name="Normal 3 3 2 2 2 2 3" xfId="1990" xr:uid="{00000000-0005-0000-0000-0000CA060000}"/>
    <cellStyle name="Normal 3 3 2 2 2 2 4" xfId="1991" xr:uid="{00000000-0005-0000-0000-0000CB060000}"/>
    <cellStyle name="Normal 3 3 2 2 2 2 5" xfId="1992" xr:uid="{00000000-0005-0000-0000-0000CC060000}"/>
    <cellStyle name="Normal 3 3 2 2 2 3" xfId="542" xr:uid="{00000000-0005-0000-0000-0000CD060000}"/>
    <cellStyle name="Normal 3 3 2 2 2 3 2" xfId="1993" xr:uid="{00000000-0005-0000-0000-0000CE060000}"/>
    <cellStyle name="Normal 3 3 2 2 2 3 3" xfId="1994" xr:uid="{00000000-0005-0000-0000-0000CF060000}"/>
    <cellStyle name="Normal 3 3 2 2 2 3 4" xfId="1995" xr:uid="{00000000-0005-0000-0000-0000D0060000}"/>
    <cellStyle name="Normal 3 3 2 2 2 4" xfId="1996" xr:uid="{00000000-0005-0000-0000-0000D1060000}"/>
    <cellStyle name="Normal 3 3 2 2 2 5" xfId="1997" xr:uid="{00000000-0005-0000-0000-0000D2060000}"/>
    <cellStyle name="Normal 3 3 2 2 2 6" xfId="1998" xr:uid="{00000000-0005-0000-0000-0000D3060000}"/>
    <cellStyle name="Normal 3 3 2 2 3" xfId="342" xr:uid="{00000000-0005-0000-0000-0000D4060000}"/>
    <cellStyle name="Normal 3 3 2 2 3 2" xfId="672" xr:uid="{00000000-0005-0000-0000-0000D5060000}"/>
    <cellStyle name="Normal 3 3 2 2 3 2 2" xfId="1999" xr:uid="{00000000-0005-0000-0000-0000D6060000}"/>
    <cellStyle name="Normal 3 3 2 2 3 2 3" xfId="2000" xr:uid="{00000000-0005-0000-0000-0000D7060000}"/>
    <cellStyle name="Normal 3 3 2 2 3 2 4" xfId="2001" xr:uid="{00000000-0005-0000-0000-0000D8060000}"/>
    <cellStyle name="Normal 3 3 2 2 3 3" xfId="2002" xr:uid="{00000000-0005-0000-0000-0000D9060000}"/>
    <cellStyle name="Normal 3 3 2 2 3 4" xfId="2003" xr:uid="{00000000-0005-0000-0000-0000DA060000}"/>
    <cellStyle name="Normal 3 3 2 2 3 5" xfId="2004" xr:uid="{00000000-0005-0000-0000-0000DB060000}"/>
    <cellStyle name="Normal 3 3 2 2 4" xfId="488" xr:uid="{00000000-0005-0000-0000-0000DC060000}"/>
    <cellStyle name="Normal 3 3 2 2 4 2" xfId="2005" xr:uid="{00000000-0005-0000-0000-0000DD060000}"/>
    <cellStyle name="Normal 3 3 2 2 4 3" xfId="2006" xr:uid="{00000000-0005-0000-0000-0000DE060000}"/>
    <cellStyle name="Normal 3 3 2 2 4 4" xfId="2007" xr:uid="{00000000-0005-0000-0000-0000DF060000}"/>
    <cellStyle name="Normal 3 3 2 2 5" xfId="2008" xr:uid="{00000000-0005-0000-0000-0000E0060000}"/>
    <cellStyle name="Normal 3 3 2 2 6" xfId="2009" xr:uid="{00000000-0005-0000-0000-0000E1060000}"/>
    <cellStyle name="Normal 3 3 2 2 7" xfId="2010" xr:uid="{00000000-0005-0000-0000-0000E2060000}"/>
    <cellStyle name="Normal 3 3 2 3" xfId="205" xr:uid="{00000000-0005-0000-0000-0000E3060000}"/>
    <cellStyle name="Normal 3 3 2 3 2" xfId="343" xr:uid="{00000000-0005-0000-0000-0000E4060000}"/>
    <cellStyle name="Normal 3 3 2 3 2 2" xfId="673" xr:uid="{00000000-0005-0000-0000-0000E5060000}"/>
    <cellStyle name="Normal 3 3 2 3 2 2 2" xfId="2011" xr:uid="{00000000-0005-0000-0000-0000E6060000}"/>
    <cellStyle name="Normal 3 3 2 3 2 2 3" xfId="2012" xr:uid="{00000000-0005-0000-0000-0000E7060000}"/>
    <cellStyle name="Normal 3 3 2 3 2 2 4" xfId="2013" xr:uid="{00000000-0005-0000-0000-0000E8060000}"/>
    <cellStyle name="Normal 3 3 2 3 2 3" xfId="2014" xr:uid="{00000000-0005-0000-0000-0000E9060000}"/>
    <cellStyle name="Normal 3 3 2 3 2 4" xfId="2015" xr:uid="{00000000-0005-0000-0000-0000EA060000}"/>
    <cellStyle name="Normal 3 3 2 3 2 5" xfId="2016" xr:uid="{00000000-0005-0000-0000-0000EB060000}"/>
    <cellStyle name="Normal 3 3 2 3 3" xfId="543" xr:uid="{00000000-0005-0000-0000-0000EC060000}"/>
    <cellStyle name="Normal 3 3 2 3 3 2" xfId="2017" xr:uid="{00000000-0005-0000-0000-0000ED060000}"/>
    <cellStyle name="Normal 3 3 2 3 3 3" xfId="2018" xr:uid="{00000000-0005-0000-0000-0000EE060000}"/>
    <cellStyle name="Normal 3 3 2 3 3 4" xfId="2019" xr:uid="{00000000-0005-0000-0000-0000EF060000}"/>
    <cellStyle name="Normal 3 3 2 3 4" xfId="2020" xr:uid="{00000000-0005-0000-0000-0000F0060000}"/>
    <cellStyle name="Normal 3 3 2 3 5" xfId="2021" xr:uid="{00000000-0005-0000-0000-0000F1060000}"/>
    <cellStyle name="Normal 3 3 2 3 6" xfId="2022" xr:uid="{00000000-0005-0000-0000-0000F2060000}"/>
    <cellStyle name="Normal 3 3 2 4" xfId="344" xr:uid="{00000000-0005-0000-0000-0000F3060000}"/>
    <cellStyle name="Normal 3 3 2 4 2" xfId="674" xr:uid="{00000000-0005-0000-0000-0000F4060000}"/>
    <cellStyle name="Normal 3 3 2 4 2 2" xfId="2023" xr:uid="{00000000-0005-0000-0000-0000F5060000}"/>
    <cellStyle name="Normal 3 3 2 4 2 3" xfId="2024" xr:uid="{00000000-0005-0000-0000-0000F6060000}"/>
    <cellStyle name="Normal 3 3 2 4 2 4" xfId="2025" xr:uid="{00000000-0005-0000-0000-0000F7060000}"/>
    <cellStyle name="Normal 3 3 2 4 3" xfId="2026" xr:uid="{00000000-0005-0000-0000-0000F8060000}"/>
    <cellStyle name="Normal 3 3 2 4 4" xfId="2027" xr:uid="{00000000-0005-0000-0000-0000F9060000}"/>
    <cellStyle name="Normal 3 3 2 4 5" xfId="2028" xr:uid="{00000000-0005-0000-0000-0000FA060000}"/>
    <cellStyle name="Normal 3 3 2 5" xfId="451" xr:uid="{00000000-0005-0000-0000-0000FB060000}"/>
    <cellStyle name="Normal 3 3 2 5 2" xfId="2029" xr:uid="{00000000-0005-0000-0000-0000FC060000}"/>
    <cellStyle name="Normal 3 3 2 5 3" xfId="2030" xr:uid="{00000000-0005-0000-0000-0000FD060000}"/>
    <cellStyle name="Normal 3 3 2 5 4" xfId="2031" xr:uid="{00000000-0005-0000-0000-0000FE060000}"/>
    <cellStyle name="Normal 3 3 2 6" xfId="2032" xr:uid="{00000000-0005-0000-0000-0000FF060000}"/>
    <cellStyle name="Normal 3 3 2 7" xfId="2033" xr:uid="{00000000-0005-0000-0000-000000070000}"/>
    <cellStyle name="Normal 3 3 2 8" xfId="2034" xr:uid="{00000000-0005-0000-0000-000001070000}"/>
    <cellStyle name="Normal 3 3 3" xfId="70" xr:uid="{00000000-0005-0000-0000-000002070000}"/>
    <cellStyle name="Normal 3 3 3 2" xfId="206" xr:uid="{00000000-0005-0000-0000-000003070000}"/>
    <cellStyle name="Normal 3 3 3 2 2" xfId="345" xr:uid="{00000000-0005-0000-0000-000004070000}"/>
    <cellStyle name="Normal 3 3 3 2 2 2" xfId="675" xr:uid="{00000000-0005-0000-0000-000005070000}"/>
    <cellStyle name="Normal 3 3 3 2 2 2 2" xfId="2035" xr:uid="{00000000-0005-0000-0000-000006070000}"/>
    <cellStyle name="Normal 3 3 3 2 2 2 3" xfId="2036" xr:uid="{00000000-0005-0000-0000-000007070000}"/>
    <cellStyle name="Normal 3 3 3 2 2 2 4" xfId="2037" xr:uid="{00000000-0005-0000-0000-000008070000}"/>
    <cellStyle name="Normal 3 3 3 2 2 3" xfId="2038" xr:uid="{00000000-0005-0000-0000-000009070000}"/>
    <cellStyle name="Normal 3 3 3 2 2 4" xfId="2039" xr:uid="{00000000-0005-0000-0000-00000A070000}"/>
    <cellStyle name="Normal 3 3 3 2 2 5" xfId="2040" xr:uid="{00000000-0005-0000-0000-00000B070000}"/>
    <cellStyle name="Normal 3 3 3 2 3" xfId="544" xr:uid="{00000000-0005-0000-0000-00000C070000}"/>
    <cellStyle name="Normal 3 3 3 2 3 2" xfId="2041" xr:uid="{00000000-0005-0000-0000-00000D070000}"/>
    <cellStyle name="Normal 3 3 3 2 3 3" xfId="2042" xr:uid="{00000000-0005-0000-0000-00000E070000}"/>
    <cellStyle name="Normal 3 3 3 2 3 4" xfId="2043" xr:uid="{00000000-0005-0000-0000-00000F070000}"/>
    <cellStyle name="Normal 3 3 3 2 4" xfId="2044" xr:uid="{00000000-0005-0000-0000-000010070000}"/>
    <cellStyle name="Normal 3 3 3 2 5" xfId="2045" xr:uid="{00000000-0005-0000-0000-000011070000}"/>
    <cellStyle name="Normal 3 3 3 2 6" xfId="2046" xr:uid="{00000000-0005-0000-0000-000012070000}"/>
    <cellStyle name="Normal 3 3 3 3" xfId="346" xr:uid="{00000000-0005-0000-0000-000013070000}"/>
    <cellStyle name="Normal 3 3 3 3 2" xfId="676" xr:uid="{00000000-0005-0000-0000-000014070000}"/>
    <cellStyle name="Normal 3 3 3 3 2 2" xfId="2047" xr:uid="{00000000-0005-0000-0000-000015070000}"/>
    <cellStyle name="Normal 3 3 3 3 2 3" xfId="2048" xr:uid="{00000000-0005-0000-0000-000016070000}"/>
    <cellStyle name="Normal 3 3 3 3 2 4" xfId="2049" xr:uid="{00000000-0005-0000-0000-000017070000}"/>
    <cellStyle name="Normal 3 3 3 3 3" xfId="2050" xr:uid="{00000000-0005-0000-0000-000018070000}"/>
    <cellStyle name="Normal 3 3 3 3 4" xfId="2051" xr:uid="{00000000-0005-0000-0000-000019070000}"/>
    <cellStyle name="Normal 3 3 3 3 5" xfId="2052" xr:uid="{00000000-0005-0000-0000-00001A070000}"/>
    <cellStyle name="Normal 3 3 3 4" xfId="470" xr:uid="{00000000-0005-0000-0000-00001B070000}"/>
    <cellStyle name="Normal 3 3 3 4 2" xfId="2053" xr:uid="{00000000-0005-0000-0000-00001C070000}"/>
    <cellStyle name="Normal 3 3 3 4 3" xfId="2054" xr:uid="{00000000-0005-0000-0000-00001D070000}"/>
    <cellStyle name="Normal 3 3 3 4 4" xfId="2055" xr:uid="{00000000-0005-0000-0000-00001E070000}"/>
    <cellStyle name="Normal 3 3 3 5" xfId="2056" xr:uid="{00000000-0005-0000-0000-00001F070000}"/>
    <cellStyle name="Normal 3 3 3 6" xfId="2057" xr:uid="{00000000-0005-0000-0000-000020070000}"/>
    <cellStyle name="Normal 3 3 3 7" xfId="2058" xr:uid="{00000000-0005-0000-0000-000021070000}"/>
    <cellStyle name="Normal 3 3 4" xfId="207" xr:uid="{00000000-0005-0000-0000-000022070000}"/>
    <cellStyle name="Normal 3 3 4 2" xfId="347" xr:uid="{00000000-0005-0000-0000-000023070000}"/>
    <cellStyle name="Normal 3 3 4 2 2" xfId="677" xr:uid="{00000000-0005-0000-0000-000024070000}"/>
    <cellStyle name="Normal 3 3 4 2 2 2" xfId="2059" xr:uid="{00000000-0005-0000-0000-000025070000}"/>
    <cellStyle name="Normal 3 3 4 2 2 3" xfId="2060" xr:uid="{00000000-0005-0000-0000-000026070000}"/>
    <cellStyle name="Normal 3 3 4 2 2 4" xfId="2061" xr:uid="{00000000-0005-0000-0000-000027070000}"/>
    <cellStyle name="Normal 3 3 4 2 3" xfId="2062" xr:uid="{00000000-0005-0000-0000-000028070000}"/>
    <cellStyle name="Normal 3 3 4 2 4" xfId="2063" xr:uid="{00000000-0005-0000-0000-000029070000}"/>
    <cellStyle name="Normal 3 3 4 2 5" xfId="2064" xr:uid="{00000000-0005-0000-0000-00002A070000}"/>
    <cellStyle name="Normal 3 3 4 3" xfId="545" xr:uid="{00000000-0005-0000-0000-00002B070000}"/>
    <cellStyle name="Normal 3 3 4 3 2" xfId="2065" xr:uid="{00000000-0005-0000-0000-00002C070000}"/>
    <cellStyle name="Normal 3 3 4 3 3" xfId="2066" xr:uid="{00000000-0005-0000-0000-00002D070000}"/>
    <cellStyle name="Normal 3 3 4 3 4" xfId="2067" xr:uid="{00000000-0005-0000-0000-00002E070000}"/>
    <cellStyle name="Normal 3 3 4 4" xfId="2068" xr:uid="{00000000-0005-0000-0000-00002F070000}"/>
    <cellStyle name="Normal 3 3 4 5" xfId="2069" xr:uid="{00000000-0005-0000-0000-000030070000}"/>
    <cellStyle name="Normal 3 3 4 6" xfId="2070" xr:uid="{00000000-0005-0000-0000-000031070000}"/>
    <cellStyle name="Normal 3 3 5" xfId="144" xr:uid="{00000000-0005-0000-0000-000032070000}"/>
    <cellStyle name="Normal 3 3 6" xfId="348" xr:uid="{00000000-0005-0000-0000-000033070000}"/>
    <cellStyle name="Normal 3 3 6 2" xfId="678" xr:uid="{00000000-0005-0000-0000-000034070000}"/>
    <cellStyle name="Normal 3 3 6 2 2" xfId="2071" xr:uid="{00000000-0005-0000-0000-000035070000}"/>
    <cellStyle name="Normal 3 3 6 2 3" xfId="2072" xr:uid="{00000000-0005-0000-0000-000036070000}"/>
    <cellStyle name="Normal 3 3 6 2 4" xfId="2073" xr:uid="{00000000-0005-0000-0000-000037070000}"/>
    <cellStyle name="Normal 3 3 6 3" xfId="2074" xr:uid="{00000000-0005-0000-0000-000038070000}"/>
    <cellStyle name="Normal 3 3 6 4" xfId="2075" xr:uid="{00000000-0005-0000-0000-000039070000}"/>
    <cellStyle name="Normal 3 3 6 5" xfId="2076" xr:uid="{00000000-0005-0000-0000-00003A070000}"/>
    <cellStyle name="Normal 3 3 7" xfId="433" xr:uid="{00000000-0005-0000-0000-00003B070000}"/>
    <cellStyle name="Normal 3 3 7 2" xfId="2077" xr:uid="{00000000-0005-0000-0000-00003C070000}"/>
    <cellStyle name="Normal 3 3 7 3" xfId="2078" xr:uid="{00000000-0005-0000-0000-00003D070000}"/>
    <cellStyle name="Normal 3 3 7 4" xfId="2079" xr:uid="{00000000-0005-0000-0000-00003E070000}"/>
    <cellStyle name="Normal 3 3 8" xfId="728" xr:uid="{00000000-0005-0000-0000-00003F070000}"/>
    <cellStyle name="Normal 3 3 9" xfId="2080" xr:uid="{00000000-0005-0000-0000-000040070000}"/>
    <cellStyle name="Normal 3 4" xfId="208" xr:uid="{00000000-0005-0000-0000-000041070000}"/>
    <cellStyle name="Normal 3 5" xfId="145" xr:uid="{00000000-0005-0000-0000-000042070000}"/>
    <cellStyle name="Normal 3 6" xfId="349" xr:uid="{00000000-0005-0000-0000-000043070000}"/>
    <cellStyle name="Normal 3 7" xfId="774" xr:uid="{00000000-0005-0000-0000-000044070000}"/>
    <cellStyle name="Normal 3 8" xfId="775" xr:uid="{00000000-0005-0000-0000-000045070000}"/>
    <cellStyle name="Normal 3 9" xfId="739" xr:uid="{00000000-0005-0000-0000-000046070000}"/>
    <cellStyle name="Normal 4" xfId="17" xr:uid="{00000000-0005-0000-0000-000047070000}"/>
    <cellStyle name="Normal 4 10" xfId="2081" xr:uid="{00000000-0005-0000-0000-000048070000}"/>
    <cellStyle name="Normal 4 11" xfId="2082" xr:uid="{00000000-0005-0000-0000-000049070000}"/>
    <cellStyle name="Normal 4 12" xfId="2083" xr:uid="{00000000-0005-0000-0000-00004A070000}"/>
    <cellStyle name="Normal 4 13" xfId="2084" xr:uid="{00000000-0005-0000-0000-00004B070000}"/>
    <cellStyle name="Normal 4 14" xfId="2085" xr:uid="{00000000-0005-0000-0000-00004C070000}"/>
    <cellStyle name="Normal 4 2" xfId="43" xr:uid="{00000000-0005-0000-0000-00004D070000}"/>
    <cellStyle name="Normal 4 2 2" xfId="82" xr:uid="{00000000-0005-0000-0000-00004E070000}"/>
    <cellStyle name="Normal 4 2 2 2" xfId="209" xr:uid="{00000000-0005-0000-0000-00004F070000}"/>
    <cellStyle name="Normal 4 2 2 2 2" xfId="350" xr:uid="{00000000-0005-0000-0000-000050070000}"/>
    <cellStyle name="Normal 4 2 2 2 2 2" xfId="679" xr:uid="{00000000-0005-0000-0000-000051070000}"/>
    <cellStyle name="Normal 4 2 2 2 2 2 2" xfId="2086" xr:uid="{00000000-0005-0000-0000-000052070000}"/>
    <cellStyle name="Normal 4 2 2 2 2 2 3" xfId="2087" xr:uid="{00000000-0005-0000-0000-000053070000}"/>
    <cellStyle name="Normal 4 2 2 2 2 2 4" xfId="2088" xr:uid="{00000000-0005-0000-0000-000054070000}"/>
    <cellStyle name="Normal 4 2 2 2 2 3" xfId="2089" xr:uid="{00000000-0005-0000-0000-000055070000}"/>
    <cellStyle name="Normal 4 2 2 2 2 4" xfId="2090" xr:uid="{00000000-0005-0000-0000-000056070000}"/>
    <cellStyle name="Normal 4 2 2 2 2 5" xfId="2091" xr:uid="{00000000-0005-0000-0000-000057070000}"/>
    <cellStyle name="Normal 4 2 2 2 3" xfId="546" xr:uid="{00000000-0005-0000-0000-000058070000}"/>
    <cellStyle name="Normal 4 2 2 2 3 2" xfId="2092" xr:uid="{00000000-0005-0000-0000-000059070000}"/>
    <cellStyle name="Normal 4 2 2 2 3 3" xfId="2093" xr:uid="{00000000-0005-0000-0000-00005A070000}"/>
    <cellStyle name="Normal 4 2 2 2 3 4" xfId="2094" xr:uid="{00000000-0005-0000-0000-00005B070000}"/>
    <cellStyle name="Normal 4 2 2 2 4" xfId="2095" xr:uid="{00000000-0005-0000-0000-00005C070000}"/>
    <cellStyle name="Normal 4 2 2 2 5" xfId="2096" xr:uid="{00000000-0005-0000-0000-00005D070000}"/>
    <cellStyle name="Normal 4 2 2 2 6" xfId="2097" xr:uid="{00000000-0005-0000-0000-00005E070000}"/>
    <cellStyle name="Normal 4 2 2 3" xfId="351" xr:uid="{00000000-0005-0000-0000-00005F070000}"/>
    <cellStyle name="Normal 4 2 2 3 2" xfId="680" xr:uid="{00000000-0005-0000-0000-000060070000}"/>
    <cellStyle name="Normal 4 2 2 3 2 2" xfId="2098" xr:uid="{00000000-0005-0000-0000-000061070000}"/>
    <cellStyle name="Normal 4 2 2 3 2 3" xfId="2099" xr:uid="{00000000-0005-0000-0000-000062070000}"/>
    <cellStyle name="Normal 4 2 2 3 2 4" xfId="2100" xr:uid="{00000000-0005-0000-0000-000063070000}"/>
    <cellStyle name="Normal 4 2 2 3 3" xfId="2101" xr:uid="{00000000-0005-0000-0000-000064070000}"/>
    <cellStyle name="Normal 4 2 2 3 4" xfId="2102" xr:uid="{00000000-0005-0000-0000-000065070000}"/>
    <cellStyle name="Normal 4 2 2 3 5" xfId="2103" xr:uid="{00000000-0005-0000-0000-000066070000}"/>
    <cellStyle name="Normal 4 2 2 4" xfId="482" xr:uid="{00000000-0005-0000-0000-000067070000}"/>
    <cellStyle name="Normal 4 2 2 4 2" xfId="2104" xr:uid="{00000000-0005-0000-0000-000068070000}"/>
    <cellStyle name="Normal 4 2 2 4 3" xfId="2105" xr:uid="{00000000-0005-0000-0000-000069070000}"/>
    <cellStyle name="Normal 4 2 2 4 4" xfId="2106" xr:uid="{00000000-0005-0000-0000-00006A070000}"/>
    <cellStyle name="Normal 4 2 2 5" xfId="2107" xr:uid="{00000000-0005-0000-0000-00006B070000}"/>
    <cellStyle name="Normal 4 2 2 6" xfId="2108" xr:uid="{00000000-0005-0000-0000-00006C070000}"/>
    <cellStyle name="Normal 4 2 2 7" xfId="2109" xr:uid="{00000000-0005-0000-0000-00006D070000}"/>
    <cellStyle name="Normal 4 2 3" xfId="210" xr:uid="{00000000-0005-0000-0000-00006E070000}"/>
    <cellStyle name="Normal 4 2 3 2" xfId="352" xr:uid="{00000000-0005-0000-0000-00006F070000}"/>
    <cellStyle name="Normal 4 2 3 2 2" xfId="681" xr:uid="{00000000-0005-0000-0000-000070070000}"/>
    <cellStyle name="Normal 4 2 3 2 2 2" xfId="2110" xr:uid="{00000000-0005-0000-0000-000071070000}"/>
    <cellStyle name="Normal 4 2 3 2 2 3" xfId="2111" xr:uid="{00000000-0005-0000-0000-000072070000}"/>
    <cellStyle name="Normal 4 2 3 2 2 4" xfId="2112" xr:uid="{00000000-0005-0000-0000-000073070000}"/>
    <cellStyle name="Normal 4 2 3 2 3" xfId="2113" xr:uid="{00000000-0005-0000-0000-000074070000}"/>
    <cellStyle name="Normal 4 2 3 2 4" xfId="2114" xr:uid="{00000000-0005-0000-0000-000075070000}"/>
    <cellStyle name="Normal 4 2 3 2 5" xfId="2115" xr:uid="{00000000-0005-0000-0000-000076070000}"/>
    <cellStyle name="Normal 4 2 3 3" xfId="547" xr:uid="{00000000-0005-0000-0000-000077070000}"/>
    <cellStyle name="Normal 4 2 3 3 2" xfId="2116" xr:uid="{00000000-0005-0000-0000-000078070000}"/>
    <cellStyle name="Normal 4 2 3 3 3" xfId="2117" xr:uid="{00000000-0005-0000-0000-000079070000}"/>
    <cellStyle name="Normal 4 2 3 3 4" xfId="2118" xr:uid="{00000000-0005-0000-0000-00007A070000}"/>
    <cellStyle name="Normal 4 2 3 4" xfId="2119" xr:uid="{00000000-0005-0000-0000-00007B070000}"/>
    <cellStyle name="Normal 4 2 3 5" xfId="2120" xr:uid="{00000000-0005-0000-0000-00007C070000}"/>
    <cellStyle name="Normal 4 2 3 6" xfId="2121" xr:uid="{00000000-0005-0000-0000-00007D070000}"/>
    <cellStyle name="Normal 4 2 4" xfId="353" xr:uid="{00000000-0005-0000-0000-00007E070000}"/>
    <cellStyle name="Normal 4 2 4 2" xfId="682" xr:uid="{00000000-0005-0000-0000-00007F070000}"/>
    <cellStyle name="Normal 4 2 4 2 2" xfId="2122" xr:uid="{00000000-0005-0000-0000-000080070000}"/>
    <cellStyle name="Normal 4 2 4 2 3" xfId="2123" xr:uid="{00000000-0005-0000-0000-000081070000}"/>
    <cellStyle name="Normal 4 2 4 2 4" xfId="2124" xr:uid="{00000000-0005-0000-0000-000082070000}"/>
    <cellStyle name="Normal 4 2 4 3" xfId="2125" xr:uid="{00000000-0005-0000-0000-000083070000}"/>
    <cellStyle name="Normal 4 2 4 4" xfId="2126" xr:uid="{00000000-0005-0000-0000-000084070000}"/>
    <cellStyle name="Normal 4 2 4 5" xfId="2127" xr:uid="{00000000-0005-0000-0000-000085070000}"/>
    <cellStyle name="Normal 4 2 5" xfId="445" xr:uid="{00000000-0005-0000-0000-000086070000}"/>
    <cellStyle name="Normal 4 2 5 2" xfId="2128" xr:uid="{00000000-0005-0000-0000-000087070000}"/>
    <cellStyle name="Normal 4 2 5 3" xfId="2129" xr:uid="{00000000-0005-0000-0000-000088070000}"/>
    <cellStyle name="Normal 4 2 5 4" xfId="2130" xr:uid="{00000000-0005-0000-0000-000089070000}"/>
    <cellStyle name="Normal 4 2 6" xfId="2131" xr:uid="{00000000-0005-0000-0000-00008A070000}"/>
    <cellStyle name="Normal 4 2 7" xfId="2132" xr:uid="{00000000-0005-0000-0000-00008B070000}"/>
    <cellStyle name="Normal 4 2 8" xfId="2133" xr:uid="{00000000-0005-0000-0000-00008C070000}"/>
    <cellStyle name="Normal 4 3" xfId="64" xr:uid="{00000000-0005-0000-0000-00008D070000}"/>
    <cellStyle name="Normal 4 3 2" xfId="211" xr:uid="{00000000-0005-0000-0000-00008E070000}"/>
    <cellStyle name="Normal 4 3 2 2" xfId="354" xr:uid="{00000000-0005-0000-0000-00008F070000}"/>
    <cellStyle name="Normal 4 3 2 2 2" xfId="683" xr:uid="{00000000-0005-0000-0000-000090070000}"/>
    <cellStyle name="Normal 4 3 2 2 2 2" xfId="2134" xr:uid="{00000000-0005-0000-0000-000091070000}"/>
    <cellStyle name="Normal 4 3 2 2 2 3" xfId="2135" xr:uid="{00000000-0005-0000-0000-000092070000}"/>
    <cellStyle name="Normal 4 3 2 2 2 4" xfId="2136" xr:uid="{00000000-0005-0000-0000-000093070000}"/>
    <cellStyle name="Normal 4 3 2 2 3" xfId="2137" xr:uid="{00000000-0005-0000-0000-000094070000}"/>
    <cellStyle name="Normal 4 3 2 2 4" xfId="2138" xr:uid="{00000000-0005-0000-0000-000095070000}"/>
    <cellStyle name="Normal 4 3 2 2 5" xfId="2139" xr:uid="{00000000-0005-0000-0000-000096070000}"/>
    <cellStyle name="Normal 4 3 2 3" xfId="548" xr:uid="{00000000-0005-0000-0000-000097070000}"/>
    <cellStyle name="Normal 4 3 2 3 2" xfId="2140" xr:uid="{00000000-0005-0000-0000-000098070000}"/>
    <cellStyle name="Normal 4 3 2 3 3" xfId="2141" xr:uid="{00000000-0005-0000-0000-000099070000}"/>
    <cellStyle name="Normal 4 3 2 3 4" xfId="2142" xr:uid="{00000000-0005-0000-0000-00009A070000}"/>
    <cellStyle name="Normal 4 3 2 4" xfId="2143" xr:uid="{00000000-0005-0000-0000-00009B070000}"/>
    <cellStyle name="Normal 4 3 2 5" xfId="2144" xr:uid="{00000000-0005-0000-0000-00009C070000}"/>
    <cellStyle name="Normal 4 3 2 6" xfId="2145" xr:uid="{00000000-0005-0000-0000-00009D070000}"/>
    <cellStyle name="Normal 4 3 3" xfId="355" xr:uid="{00000000-0005-0000-0000-00009E070000}"/>
    <cellStyle name="Normal 4 3 3 2" xfId="684" xr:uid="{00000000-0005-0000-0000-00009F070000}"/>
    <cellStyle name="Normal 4 3 3 2 2" xfId="2146" xr:uid="{00000000-0005-0000-0000-0000A0070000}"/>
    <cellStyle name="Normal 4 3 3 2 3" xfId="2147" xr:uid="{00000000-0005-0000-0000-0000A1070000}"/>
    <cellStyle name="Normal 4 3 3 2 4" xfId="2148" xr:uid="{00000000-0005-0000-0000-0000A2070000}"/>
    <cellStyle name="Normal 4 3 3 3" xfId="2149" xr:uid="{00000000-0005-0000-0000-0000A3070000}"/>
    <cellStyle name="Normal 4 3 3 4" xfId="2150" xr:uid="{00000000-0005-0000-0000-0000A4070000}"/>
    <cellStyle name="Normal 4 3 3 5" xfId="2151" xr:uid="{00000000-0005-0000-0000-0000A5070000}"/>
    <cellStyle name="Normal 4 3 4" xfId="464" xr:uid="{00000000-0005-0000-0000-0000A6070000}"/>
    <cellStyle name="Normal 4 3 4 2" xfId="2152" xr:uid="{00000000-0005-0000-0000-0000A7070000}"/>
    <cellStyle name="Normal 4 3 4 3" xfId="2153" xr:uid="{00000000-0005-0000-0000-0000A8070000}"/>
    <cellStyle name="Normal 4 3 4 4" xfId="2154" xr:uid="{00000000-0005-0000-0000-0000A9070000}"/>
    <cellStyle name="Normal 4 3 5" xfId="2155" xr:uid="{00000000-0005-0000-0000-0000AA070000}"/>
    <cellStyle name="Normal 4 3 6" xfId="2156" xr:uid="{00000000-0005-0000-0000-0000AB070000}"/>
    <cellStyle name="Normal 4 3 7" xfId="2157" xr:uid="{00000000-0005-0000-0000-0000AC070000}"/>
    <cellStyle name="Normal 4 4" xfId="212" xr:uid="{00000000-0005-0000-0000-0000AD070000}"/>
    <cellStyle name="Normal 4 4 2" xfId="356" xr:uid="{00000000-0005-0000-0000-0000AE070000}"/>
    <cellStyle name="Normal 4 4 2 2" xfId="685" xr:uid="{00000000-0005-0000-0000-0000AF070000}"/>
    <cellStyle name="Normal 4 4 2 2 2" xfId="2158" xr:uid="{00000000-0005-0000-0000-0000B0070000}"/>
    <cellStyle name="Normal 4 4 2 2 3" xfId="2159" xr:uid="{00000000-0005-0000-0000-0000B1070000}"/>
    <cellStyle name="Normal 4 4 2 2 4" xfId="2160" xr:uid="{00000000-0005-0000-0000-0000B2070000}"/>
    <cellStyle name="Normal 4 4 2 3" xfId="2161" xr:uid="{00000000-0005-0000-0000-0000B3070000}"/>
    <cellStyle name="Normal 4 4 2 4" xfId="2162" xr:uid="{00000000-0005-0000-0000-0000B4070000}"/>
    <cellStyle name="Normal 4 4 2 5" xfId="2163" xr:uid="{00000000-0005-0000-0000-0000B5070000}"/>
    <cellStyle name="Normal 4 4 3" xfId="549" xr:uid="{00000000-0005-0000-0000-0000B6070000}"/>
    <cellStyle name="Normal 4 4 3 2" xfId="2164" xr:uid="{00000000-0005-0000-0000-0000B7070000}"/>
    <cellStyle name="Normal 4 4 3 3" xfId="2165" xr:uid="{00000000-0005-0000-0000-0000B8070000}"/>
    <cellStyle name="Normal 4 4 3 4" xfId="2166" xr:uid="{00000000-0005-0000-0000-0000B9070000}"/>
    <cellStyle name="Normal 4 4 4" xfId="2167" xr:uid="{00000000-0005-0000-0000-0000BA070000}"/>
    <cellStyle name="Normal 4 4 5" xfId="2168" xr:uid="{00000000-0005-0000-0000-0000BB070000}"/>
    <cellStyle name="Normal 4 4 6" xfId="2169" xr:uid="{00000000-0005-0000-0000-0000BC070000}"/>
    <cellStyle name="Normal 4 5" xfId="213" xr:uid="{00000000-0005-0000-0000-0000BD070000}"/>
    <cellStyle name="Normal 4 5 2" xfId="357" xr:uid="{00000000-0005-0000-0000-0000BE070000}"/>
    <cellStyle name="Normal 4 5 2 2" xfId="686" xr:uid="{00000000-0005-0000-0000-0000BF070000}"/>
    <cellStyle name="Normal 4 5 2 2 2" xfId="2170" xr:uid="{00000000-0005-0000-0000-0000C0070000}"/>
    <cellStyle name="Normal 4 5 2 2 3" xfId="2171" xr:uid="{00000000-0005-0000-0000-0000C1070000}"/>
    <cellStyle name="Normal 4 5 2 2 4" xfId="2172" xr:uid="{00000000-0005-0000-0000-0000C2070000}"/>
    <cellStyle name="Normal 4 5 2 3" xfId="2173" xr:uid="{00000000-0005-0000-0000-0000C3070000}"/>
    <cellStyle name="Normal 4 5 2 4" xfId="2174" xr:uid="{00000000-0005-0000-0000-0000C4070000}"/>
    <cellStyle name="Normal 4 5 2 5" xfId="2175" xr:uid="{00000000-0005-0000-0000-0000C5070000}"/>
    <cellStyle name="Normal 4 5 3" xfId="550" xr:uid="{00000000-0005-0000-0000-0000C6070000}"/>
    <cellStyle name="Normal 4 5 3 2" xfId="2176" xr:uid="{00000000-0005-0000-0000-0000C7070000}"/>
    <cellStyle name="Normal 4 5 3 3" xfId="2177" xr:uid="{00000000-0005-0000-0000-0000C8070000}"/>
    <cellStyle name="Normal 4 5 3 4" xfId="2178" xr:uid="{00000000-0005-0000-0000-0000C9070000}"/>
    <cellStyle name="Normal 4 5 4" xfId="2179" xr:uid="{00000000-0005-0000-0000-0000CA070000}"/>
    <cellStyle name="Normal 4 5 5" xfId="2180" xr:uid="{00000000-0005-0000-0000-0000CB070000}"/>
    <cellStyle name="Normal 4 5 6" xfId="2181" xr:uid="{00000000-0005-0000-0000-0000CC070000}"/>
    <cellStyle name="Normal 4 6" xfId="358" xr:uid="{00000000-0005-0000-0000-0000CD070000}"/>
    <cellStyle name="Normal 4 7" xfId="413" xr:uid="{00000000-0005-0000-0000-0000CE070000}"/>
    <cellStyle name="Normal 4 7 2" xfId="2182" xr:uid="{00000000-0005-0000-0000-0000CF070000}"/>
    <cellStyle name="Normal 4 7 3" xfId="2183" xr:uid="{00000000-0005-0000-0000-0000D0070000}"/>
    <cellStyle name="Normal 4 7 4" xfId="2184" xr:uid="{00000000-0005-0000-0000-0000D1070000}"/>
    <cellStyle name="Normal 4 8" xfId="427" xr:uid="{00000000-0005-0000-0000-0000D2070000}"/>
    <cellStyle name="Normal 4 8 2" xfId="2185" xr:uid="{00000000-0005-0000-0000-0000D3070000}"/>
    <cellStyle name="Normal 4 8 3" xfId="2186" xr:uid="{00000000-0005-0000-0000-0000D4070000}"/>
    <cellStyle name="Normal 4 8 4" xfId="2187" xr:uid="{00000000-0005-0000-0000-0000D5070000}"/>
    <cellStyle name="Normal 4 9" xfId="2188" xr:uid="{00000000-0005-0000-0000-0000D6070000}"/>
    <cellStyle name="Normal 5" xfId="3" xr:uid="{00000000-0005-0000-0000-0000D7070000}"/>
    <cellStyle name="Normal 5 10" xfId="2189" xr:uid="{00000000-0005-0000-0000-0000D8070000}"/>
    <cellStyle name="Normal 5 11" xfId="2190" xr:uid="{00000000-0005-0000-0000-0000D9070000}"/>
    <cellStyle name="Normal 5 12" xfId="2191" xr:uid="{00000000-0005-0000-0000-0000DA070000}"/>
    <cellStyle name="Normal 5 13" xfId="2192" xr:uid="{00000000-0005-0000-0000-0000DB070000}"/>
    <cellStyle name="Normal 5 14" xfId="2193" xr:uid="{00000000-0005-0000-0000-0000DC070000}"/>
    <cellStyle name="Normal 5 15" xfId="2194" xr:uid="{00000000-0005-0000-0000-0000DD070000}"/>
    <cellStyle name="Normal 5 2" xfId="32" xr:uid="{00000000-0005-0000-0000-0000DE070000}"/>
    <cellStyle name="Normal 5 2 2" xfId="71" xr:uid="{00000000-0005-0000-0000-0000DF070000}"/>
    <cellStyle name="Normal 5 2 2 2" xfId="214" xr:uid="{00000000-0005-0000-0000-0000E0070000}"/>
    <cellStyle name="Normal 5 2 2 2 2" xfId="359" xr:uid="{00000000-0005-0000-0000-0000E1070000}"/>
    <cellStyle name="Normal 5 2 2 2 2 2" xfId="687" xr:uid="{00000000-0005-0000-0000-0000E2070000}"/>
    <cellStyle name="Normal 5 2 2 2 2 2 2" xfId="2195" xr:uid="{00000000-0005-0000-0000-0000E3070000}"/>
    <cellStyle name="Normal 5 2 2 2 2 2 3" xfId="2196" xr:uid="{00000000-0005-0000-0000-0000E4070000}"/>
    <cellStyle name="Normal 5 2 2 2 2 2 4" xfId="2197" xr:uid="{00000000-0005-0000-0000-0000E5070000}"/>
    <cellStyle name="Normal 5 2 2 2 2 3" xfId="2198" xr:uid="{00000000-0005-0000-0000-0000E6070000}"/>
    <cellStyle name="Normal 5 2 2 2 2 4" xfId="2199" xr:uid="{00000000-0005-0000-0000-0000E7070000}"/>
    <cellStyle name="Normal 5 2 2 2 2 5" xfId="2200" xr:uid="{00000000-0005-0000-0000-0000E8070000}"/>
    <cellStyle name="Normal 5 2 2 2 3" xfId="551" xr:uid="{00000000-0005-0000-0000-0000E9070000}"/>
    <cellStyle name="Normal 5 2 2 2 3 2" xfId="2201" xr:uid="{00000000-0005-0000-0000-0000EA070000}"/>
    <cellStyle name="Normal 5 2 2 2 3 3" xfId="2202" xr:uid="{00000000-0005-0000-0000-0000EB070000}"/>
    <cellStyle name="Normal 5 2 2 2 3 4" xfId="2203" xr:uid="{00000000-0005-0000-0000-0000EC070000}"/>
    <cellStyle name="Normal 5 2 2 2 4" xfId="2204" xr:uid="{00000000-0005-0000-0000-0000ED070000}"/>
    <cellStyle name="Normal 5 2 2 2 5" xfId="2205" xr:uid="{00000000-0005-0000-0000-0000EE070000}"/>
    <cellStyle name="Normal 5 2 2 2 6" xfId="2206" xr:uid="{00000000-0005-0000-0000-0000EF070000}"/>
    <cellStyle name="Normal 5 2 2 3" xfId="360" xr:uid="{00000000-0005-0000-0000-0000F0070000}"/>
    <cellStyle name="Normal 5 2 2 3 2" xfId="688" xr:uid="{00000000-0005-0000-0000-0000F1070000}"/>
    <cellStyle name="Normal 5 2 2 3 2 2" xfId="2207" xr:uid="{00000000-0005-0000-0000-0000F2070000}"/>
    <cellStyle name="Normal 5 2 2 3 2 3" xfId="2208" xr:uid="{00000000-0005-0000-0000-0000F3070000}"/>
    <cellStyle name="Normal 5 2 2 3 2 4" xfId="2209" xr:uid="{00000000-0005-0000-0000-0000F4070000}"/>
    <cellStyle name="Normal 5 2 2 3 3" xfId="2210" xr:uid="{00000000-0005-0000-0000-0000F5070000}"/>
    <cellStyle name="Normal 5 2 2 3 4" xfId="2211" xr:uid="{00000000-0005-0000-0000-0000F6070000}"/>
    <cellStyle name="Normal 5 2 2 3 5" xfId="2212" xr:uid="{00000000-0005-0000-0000-0000F7070000}"/>
    <cellStyle name="Normal 5 2 2 4" xfId="471" xr:uid="{00000000-0005-0000-0000-0000F8070000}"/>
    <cellStyle name="Normal 5 2 2 4 2" xfId="2213" xr:uid="{00000000-0005-0000-0000-0000F9070000}"/>
    <cellStyle name="Normal 5 2 2 4 3" xfId="2214" xr:uid="{00000000-0005-0000-0000-0000FA070000}"/>
    <cellStyle name="Normal 5 2 2 4 4" xfId="2215" xr:uid="{00000000-0005-0000-0000-0000FB070000}"/>
    <cellStyle name="Normal 5 2 2 5" xfId="2216" xr:uid="{00000000-0005-0000-0000-0000FC070000}"/>
    <cellStyle name="Normal 5 2 2 6" xfId="2217" xr:uid="{00000000-0005-0000-0000-0000FD070000}"/>
    <cellStyle name="Normal 5 2 2 7" xfId="2218" xr:uid="{00000000-0005-0000-0000-0000FE070000}"/>
    <cellStyle name="Normal 5 2 3" xfId="215" xr:uid="{00000000-0005-0000-0000-0000FF070000}"/>
    <cellStyle name="Normal 5 2 3 2" xfId="361" xr:uid="{00000000-0005-0000-0000-000000080000}"/>
    <cellStyle name="Normal 5 2 3 2 2" xfId="689" xr:uid="{00000000-0005-0000-0000-000001080000}"/>
    <cellStyle name="Normal 5 2 3 2 2 2" xfId="2219" xr:uid="{00000000-0005-0000-0000-000002080000}"/>
    <cellStyle name="Normal 5 2 3 2 2 3" xfId="2220" xr:uid="{00000000-0005-0000-0000-000003080000}"/>
    <cellStyle name="Normal 5 2 3 2 2 4" xfId="2221" xr:uid="{00000000-0005-0000-0000-000004080000}"/>
    <cellStyle name="Normal 5 2 3 2 3" xfId="2222" xr:uid="{00000000-0005-0000-0000-000005080000}"/>
    <cellStyle name="Normal 5 2 3 2 4" xfId="2223" xr:uid="{00000000-0005-0000-0000-000006080000}"/>
    <cellStyle name="Normal 5 2 3 2 5" xfId="2224" xr:uid="{00000000-0005-0000-0000-000007080000}"/>
    <cellStyle name="Normal 5 2 3 3" xfId="552" xr:uid="{00000000-0005-0000-0000-000008080000}"/>
    <cellStyle name="Normal 5 2 3 3 2" xfId="2225" xr:uid="{00000000-0005-0000-0000-000009080000}"/>
    <cellStyle name="Normal 5 2 3 3 3" xfId="2226" xr:uid="{00000000-0005-0000-0000-00000A080000}"/>
    <cellStyle name="Normal 5 2 3 3 4" xfId="2227" xr:uid="{00000000-0005-0000-0000-00000B080000}"/>
    <cellStyle name="Normal 5 2 3 4" xfId="2228" xr:uid="{00000000-0005-0000-0000-00000C080000}"/>
    <cellStyle name="Normal 5 2 3 5" xfId="2229" xr:uid="{00000000-0005-0000-0000-00000D080000}"/>
    <cellStyle name="Normal 5 2 3 6" xfId="2230" xr:uid="{00000000-0005-0000-0000-00000E080000}"/>
    <cellStyle name="Normal 5 2 4" xfId="362" xr:uid="{00000000-0005-0000-0000-00000F080000}"/>
    <cellStyle name="Normal 5 2 4 2" xfId="690" xr:uid="{00000000-0005-0000-0000-000010080000}"/>
    <cellStyle name="Normal 5 2 4 2 2" xfId="2231" xr:uid="{00000000-0005-0000-0000-000011080000}"/>
    <cellStyle name="Normal 5 2 4 2 3" xfId="2232" xr:uid="{00000000-0005-0000-0000-000012080000}"/>
    <cellStyle name="Normal 5 2 4 2 4" xfId="2233" xr:uid="{00000000-0005-0000-0000-000013080000}"/>
    <cellStyle name="Normal 5 2 4 3" xfId="2234" xr:uid="{00000000-0005-0000-0000-000014080000}"/>
    <cellStyle name="Normal 5 2 4 4" xfId="2235" xr:uid="{00000000-0005-0000-0000-000015080000}"/>
    <cellStyle name="Normal 5 2 4 5" xfId="2236" xr:uid="{00000000-0005-0000-0000-000016080000}"/>
    <cellStyle name="Normal 5 2 5" xfId="434" xr:uid="{00000000-0005-0000-0000-000017080000}"/>
    <cellStyle name="Normal 5 2 5 2" xfId="2237" xr:uid="{00000000-0005-0000-0000-000018080000}"/>
    <cellStyle name="Normal 5 2 5 3" xfId="2238" xr:uid="{00000000-0005-0000-0000-000019080000}"/>
    <cellStyle name="Normal 5 2 5 4" xfId="2239" xr:uid="{00000000-0005-0000-0000-00001A080000}"/>
    <cellStyle name="Normal 5 2 6" xfId="2240" xr:uid="{00000000-0005-0000-0000-00001B080000}"/>
    <cellStyle name="Normal 5 2 7" xfId="2241" xr:uid="{00000000-0005-0000-0000-00001C080000}"/>
    <cellStyle name="Normal 5 2 8" xfId="2242" xr:uid="{00000000-0005-0000-0000-00001D080000}"/>
    <cellStyle name="Normal 5 3" xfId="53" xr:uid="{00000000-0005-0000-0000-00001E080000}"/>
    <cellStyle name="Normal 5 3 2" xfId="216" xr:uid="{00000000-0005-0000-0000-00001F080000}"/>
    <cellStyle name="Normal 5 3 2 2" xfId="363" xr:uid="{00000000-0005-0000-0000-000020080000}"/>
    <cellStyle name="Normal 5 3 2 2 2" xfId="691" xr:uid="{00000000-0005-0000-0000-000021080000}"/>
    <cellStyle name="Normal 5 3 2 2 2 2" xfId="2243" xr:uid="{00000000-0005-0000-0000-000022080000}"/>
    <cellStyle name="Normal 5 3 2 2 2 3" xfId="2244" xr:uid="{00000000-0005-0000-0000-000023080000}"/>
    <cellStyle name="Normal 5 3 2 2 2 4" xfId="2245" xr:uid="{00000000-0005-0000-0000-000024080000}"/>
    <cellStyle name="Normal 5 3 2 2 3" xfId="2246" xr:uid="{00000000-0005-0000-0000-000025080000}"/>
    <cellStyle name="Normal 5 3 2 2 4" xfId="2247" xr:uid="{00000000-0005-0000-0000-000026080000}"/>
    <cellStyle name="Normal 5 3 2 2 5" xfId="2248" xr:uid="{00000000-0005-0000-0000-000027080000}"/>
    <cellStyle name="Normal 5 3 2 3" xfId="553" xr:uid="{00000000-0005-0000-0000-000028080000}"/>
    <cellStyle name="Normal 5 3 2 3 2" xfId="2249" xr:uid="{00000000-0005-0000-0000-000029080000}"/>
    <cellStyle name="Normal 5 3 2 3 3" xfId="2250" xr:uid="{00000000-0005-0000-0000-00002A080000}"/>
    <cellStyle name="Normal 5 3 2 3 4" xfId="2251" xr:uid="{00000000-0005-0000-0000-00002B080000}"/>
    <cellStyle name="Normal 5 3 2 4" xfId="2252" xr:uid="{00000000-0005-0000-0000-00002C080000}"/>
    <cellStyle name="Normal 5 3 2 5" xfId="2253" xr:uid="{00000000-0005-0000-0000-00002D080000}"/>
    <cellStyle name="Normal 5 3 2 6" xfId="2254" xr:uid="{00000000-0005-0000-0000-00002E080000}"/>
    <cellStyle name="Normal 5 3 3" xfId="364" xr:uid="{00000000-0005-0000-0000-00002F080000}"/>
    <cellStyle name="Normal 5 3 3 2" xfId="692" xr:uid="{00000000-0005-0000-0000-000030080000}"/>
    <cellStyle name="Normal 5 3 3 2 2" xfId="2255" xr:uid="{00000000-0005-0000-0000-000031080000}"/>
    <cellStyle name="Normal 5 3 3 2 3" xfId="2256" xr:uid="{00000000-0005-0000-0000-000032080000}"/>
    <cellStyle name="Normal 5 3 3 2 4" xfId="2257" xr:uid="{00000000-0005-0000-0000-000033080000}"/>
    <cellStyle name="Normal 5 3 3 3" xfId="2258" xr:uid="{00000000-0005-0000-0000-000034080000}"/>
    <cellStyle name="Normal 5 3 3 4" xfId="2259" xr:uid="{00000000-0005-0000-0000-000035080000}"/>
    <cellStyle name="Normal 5 3 3 5" xfId="2260" xr:uid="{00000000-0005-0000-0000-000036080000}"/>
    <cellStyle name="Normal 5 3 4" xfId="453" xr:uid="{00000000-0005-0000-0000-000037080000}"/>
    <cellStyle name="Normal 5 3 4 2" xfId="2261" xr:uid="{00000000-0005-0000-0000-000038080000}"/>
    <cellStyle name="Normal 5 3 4 3" xfId="2262" xr:uid="{00000000-0005-0000-0000-000039080000}"/>
    <cellStyle name="Normal 5 3 4 4" xfId="2263" xr:uid="{00000000-0005-0000-0000-00003A080000}"/>
    <cellStyle name="Normal 5 3 5" xfId="2264" xr:uid="{00000000-0005-0000-0000-00003B080000}"/>
    <cellStyle name="Normal 5 3 6" xfId="2265" xr:uid="{00000000-0005-0000-0000-00003C080000}"/>
    <cellStyle name="Normal 5 3 7" xfId="2266" xr:uid="{00000000-0005-0000-0000-00003D080000}"/>
    <cellStyle name="Normal 5 4" xfId="217" xr:uid="{00000000-0005-0000-0000-00003E080000}"/>
    <cellStyle name="Normal 5 4 2" xfId="365" xr:uid="{00000000-0005-0000-0000-00003F080000}"/>
    <cellStyle name="Normal 5 4 2 2" xfId="693" xr:uid="{00000000-0005-0000-0000-000040080000}"/>
    <cellStyle name="Normal 5 4 2 2 2" xfId="2267" xr:uid="{00000000-0005-0000-0000-000041080000}"/>
    <cellStyle name="Normal 5 4 2 2 3" xfId="2268" xr:uid="{00000000-0005-0000-0000-000042080000}"/>
    <cellStyle name="Normal 5 4 2 2 4" xfId="2269" xr:uid="{00000000-0005-0000-0000-000043080000}"/>
    <cellStyle name="Normal 5 4 2 3" xfId="2270" xr:uid="{00000000-0005-0000-0000-000044080000}"/>
    <cellStyle name="Normal 5 4 2 4" xfId="2271" xr:uid="{00000000-0005-0000-0000-000045080000}"/>
    <cellStyle name="Normal 5 4 2 5" xfId="2272" xr:uid="{00000000-0005-0000-0000-000046080000}"/>
    <cellStyle name="Normal 5 4 3" xfId="554" xr:uid="{00000000-0005-0000-0000-000047080000}"/>
    <cellStyle name="Normal 5 4 3 2" xfId="2273" xr:uid="{00000000-0005-0000-0000-000048080000}"/>
    <cellStyle name="Normal 5 4 3 3" xfId="2274" xr:uid="{00000000-0005-0000-0000-000049080000}"/>
    <cellStyle name="Normal 5 4 3 4" xfId="2275" xr:uid="{00000000-0005-0000-0000-00004A080000}"/>
    <cellStyle name="Normal 5 4 4" xfId="2276" xr:uid="{00000000-0005-0000-0000-00004B080000}"/>
    <cellStyle name="Normal 5 4 5" xfId="2277" xr:uid="{00000000-0005-0000-0000-00004C080000}"/>
    <cellStyle name="Normal 5 4 6" xfId="2278" xr:uid="{00000000-0005-0000-0000-00004D080000}"/>
    <cellStyle name="Normal 5 5" xfId="218" xr:uid="{00000000-0005-0000-0000-00004E080000}"/>
    <cellStyle name="Normal 5 5 2" xfId="366" xr:uid="{00000000-0005-0000-0000-00004F080000}"/>
    <cellStyle name="Normal 5 5 2 2" xfId="694" xr:uid="{00000000-0005-0000-0000-000050080000}"/>
    <cellStyle name="Normal 5 5 2 2 2" xfId="2279" xr:uid="{00000000-0005-0000-0000-000051080000}"/>
    <cellStyle name="Normal 5 5 2 2 3" xfId="2280" xr:uid="{00000000-0005-0000-0000-000052080000}"/>
    <cellStyle name="Normal 5 5 2 2 4" xfId="2281" xr:uid="{00000000-0005-0000-0000-000053080000}"/>
    <cellStyle name="Normal 5 5 2 3" xfId="2282" xr:uid="{00000000-0005-0000-0000-000054080000}"/>
    <cellStyle name="Normal 5 5 2 4" xfId="2283" xr:uid="{00000000-0005-0000-0000-000055080000}"/>
    <cellStyle name="Normal 5 5 2 5" xfId="2284" xr:uid="{00000000-0005-0000-0000-000056080000}"/>
    <cellStyle name="Normal 5 5 3" xfId="555" xr:uid="{00000000-0005-0000-0000-000057080000}"/>
    <cellStyle name="Normal 5 5 3 2" xfId="2285" xr:uid="{00000000-0005-0000-0000-000058080000}"/>
    <cellStyle name="Normal 5 5 3 3" xfId="2286" xr:uid="{00000000-0005-0000-0000-000059080000}"/>
    <cellStyle name="Normal 5 5 3 4" xfId="2287" xr:uid="{00000000-0005-0000-0000-00005A080000}"/>
    <cellStyle name="Normal 5 5 4" xfId="2288" xr:uid="{00000000-0005-0000-0000-00005B080000}"/>
    <cellStyle name="Normal 5 5 5" xfId="2289" xr:uid="{00000000-0005-0000-0000-00005C080000}"/>
    <cellStyle name="Normal 5 5 6" xfId="2290" xr:uid="{00000000-0005-0000-0000-00005D080000}"/>
    <cellStyle name="Normal 5 6" xfId="241" xr:uid="{00000000-0005-0000-0000-00005E080000}"/>
    <cellStyle name="Normal 5 6 2" xfId="244" xr:uid="{00000000-0005-0000-0000-00005F080000}"/>
    <cellStyle name="Normal 5 6 2 2" xfId="576" xr:uid="{00000000-0005-0000-0000-000060080000}"/>
    <cellStyle name="Normal 5 6 2 2 2" xfId="2291" xr:uid="{00000000-0005-0000-0000-000061080000}"/>
    <cellStyle name="Normal 5 6 2 2 3" xfId="2292" xr:uid="{00000000-0005-0000-0000-000062080000}"/>
    <cellStyle name="Normal 5 6 2 2 4" xfId="2293" xr:uid="{00000000-0005-0000-0000-000063080000}"/>
    <cellStyle name="Normal 5 6 2 3" xfId="2294" xr:uid="{00000000-0005-0000-0000-000064080000}"/>
    <cellStyle name="Normal 5 6 2 4" xfId="2295" xr:uid="{00000000-0005-0000-0000-000065080000}"/>
    <cellStyle name="Normal 5 6 2 5" xfId="2296" xr:uid="{00000000-0005-0000-0000-000066080000}"/>
    <cellStyle name="Normal 5 6 2 6" xfId="2760" xr:uid="{00000000-0005-0000-0000-000067080000}"/>
    <cellStyle name="Normal 5 6 2 7" xfId="2761" xr:uid="{00000000-0005-0000-0000-000068080000}"/>
    <cellStyle name="Normal 5 6 3" xfId="575" xr:uid="{00000000-0005-0000-0000-000069080000}"/>
    <cellStyle name="Normal 5 6 3 2" xfId="2297" xr:uid="{00000000-0005-0000-0000-00006A080000}"/>
    <cellStyle name="Normal 5 6 3 3" xfId="2298" xr:uid="{00000000-0005-0000-0000-00006B080000}"/>
    <cellStyle name="Normal 5 6 3 4" xfId="2299" xr:uid="{00000000-0005-0000-0000-00006C080000}"/>
    <cellStyle name="Normal 5 6 4" xfId="2300" xr:uid="{00000000-0005-0000-0000-00006D080000}"/>
    <cellStyle name="Normal 5 6 5" xfId="2301" xr:uid="{00000000-0005-0000-0000-00006E080000}"/>
    <cellStyle name="Normal 5 6 6" xfId="2302" xr:uid="{00000000-0005-0000-0000-00006F080000}"/>
    <cellStyle name="Normal 5 7" xfId="367" xr:uid="{00000000-0005-0000-0000-000070080000}"/>
    <cellStyle name="Normal 5 8" xfId="402" xr:uid="{00000000-0005-0000-0000-000071080000}"/>
    <cellStyle name="Normal 5 8 2" xfId="2303" xr:uid="{00000000-0005-0000-0000-000072080000}"/>
    <cellStyle name="Normal 5 8 3" xfId="2304" xr:uid="{00000000-0005-0000-0000-000073080000}"/>
    <cellStyle name="Normal 5 8 4" xfId="2305" xr:uid="{00000000-0005-0000-0000-000074080000}"/>
    <cellStyle name="Normal 5 9" xfId="416" xr:uid="{00000000-0005-0000-0000-000075080000}"/>
    <cellStyle name="Normal 5 9 2" xfId="2306" xr:uid="{00000000-0005-0000-0000-000076080000}"/>
    <cellStyle name="Normal 5 9 3" xfId="2307" xr:uid="{00000000-0005-0000-0000-000077080000}"/>
    <cellStyle name="Normal 5 9 4" xfId="2308" xr:uid="{00000000-0005-0000-0000-000078080000}"/>
    <cellStyle name="Normal 6" xfId="5" xr:uid="{00000000-0005-0000-0000-000079080000}"/>
    <cellStyle name="Normal 6 10" xfId="2309" xr:uid="{00000000-0005-0000-0000-00007A080000}"/>
    <cellStyle name="Normal 6 11" xfId="2310" xr:uid="{00000000-0005-0000-0000-00007B080000}"/>
    <cellStyle name="Normal 6 12" xfId="2311" xr:uid="{00000000-0005-0000-0000-00007C080000}"/>
    <cellStyle name="Normal 6 13" xfId="2312" xr:uid="{00000000-0005-0000-0000-00007D080000}"/>
    <cellStyle name="Normal 6 14" xfId="2313" xr:uid="{00000000-0005-0000-0000-00007E080000}"/>
    <cellStyle name="Normal 6 2" xfId="34" xr:uid="{00000000-0005-0000-0000-00007F080000}"/>
    <cellStyle name="Normal 6 2 2" xfId="73" xr:uid="{00000000-0005-0000-0000-000080080000}"/>
    <cellStyle name="Normal 6 2 2 2" xfId="219" xr:uid="{00000000-0005-0000-0000-000081080000}"/>
    <cellStyle name="Normal 6 2 2 2 2" xfId="368" xr:uid="{00000000-0005-0000-0000-000082080000}"/>
    <cellStyle name="Normal 6 2 2 2 2 2" xfId="695" xr:uid="{00000000-0005-0000-0000-000083080000}"/>
    <cellStyle name="Normal 6 2 2 2 2 2 2" xfId="2314" xr:uid="{00000000-0005-0000-0000-000084080000}"/>
    <cellStyle name="Normal 6 2 2 2 2 2 3" xfId="2315" xr:uid="{00000000-0005-0000-0000-000085080000}"/>
    <cellStyle name="Normal 6 2 2 2 2 2 4" xfId="2316" xr:uid="{00000000-0005-0000-0000-000086080000}"/>
    <cellStyle name="Normal 6 2 2 2 2 3" xfId="2317" xr:uid="{00000000-0005-0000-0000-000087080000}"/>
    <cellStyle name="Normal 6 2 2 2 2 4" xfId="2318" xr:uid="{00000000-0005-0000-0000-000088080000}"/>
    <cellStyle name="Normal 6 2 2 2 2 5" xfId="2319" xr:uid="{00000000-0005-0000-0000-000089080000}"/>
    <cellStyle name="Normal 6 2 2 2 3" xfId="556" xr:uid="{00000000-0005-0000-0000-00008A080000}"/>
    <cellStyle name="Normal 6 2 2 2 3 2" xfId="2320" xr:uid="{00000000-0005-0000-0000-00008B080000}"/>
    <cellStyle name="Normal 6 2 2 2 3 3" xfId="2321" xr:uid="{00000000-0005-0000-0000-00008C080000}"/>
    <cellStyle name="Normal 6 2 2 2 3 4" xfId="2322" xr:uid="{00000000-0005-0000-0000-00008D080000}"/>
    <cellStyle name="Normal 6 2 2 2 4" xfId="2323" xr:uid="{00000000-0005-0000-0000-00008E080000}"/>
    <cellStyle name="Normal 6 2 2 2 5" xfId="2324" xr:uid="{00000000-0005-0000-0000-00008F080000}"/>
    <cellStyle name="Normal 6 2 2 2 6" xfId="2325" xr:uid="{00000000-0005-0000-0000-000090080000}"/>
    <cellStyle name="Normal 6 2 2 3" xfId="369" xr:uid="{00000000-0005-0000-0000-000091080000}"/>
    <cellStyle name="Normal 6 2 2 3 2" xfId="696" xr:uid="{00000000-0005-0000-0000-000092080000}"/>
    <cellStyle name="Normal 6 2 2 3 2 2" xfId="2326" xr:uid="{00000000-0005-0000-0000-000093080000}"/>
    <cellStyle name="Normal 6 2 2 3 2 3" xfId="2327" xr:uid="{00000000-0005-0000-0000-000094080000}"/>
    <cellStyle name="Normal 6 2 2 3 2 4" xfId="2328" xr:uid="{00000000-0005-0000-0000-000095080000}"/>
    <cellStyle name="Normal 6 2 2 3 3" xfId="2329" xr:uid="{00000000-0005-0000-0000-000096080000}"/>
    <cellStyle name="Normal 6 2 2 3 4" xfId="2330" xr:uid="{00000000-0005-0000-0000-000097080000}"/>
    <cellStyle name="Normal 6 2 2 3 5" xfId="2331" xr:uid="{00000000-0005-0000-0000-000098080000}"/>
    <cellStyle name="Normal 6 2 2 4" xfId="473" xr:uid="{00000000-0005-0000-0000-000099080000}"/>
    <cellStyle name="Normal 6 2 2 4 2" xfId="2332" xr:uid="{00000000-0005-0000-0000-00009A080000}"/>
    <cellStyle name="Normal 6 2 2 4 3" xfId="2333" xr:uid="{00000000-0005-0000-0000-00009B080000}"/>
    <cellStyle name="Normal 6 2 2 4 4" xfId="2334" xr:uid="{00000000-0005-0000-0000-00009C080000}"/>
    <cellStyle name="Normal 6 2 2 5" xfId="2335" xr:uid="{00000000-0005-0000-0000-00009D080000}"/>
    <cellStyle name="Normal 6 2 2 6" xfId="2336" xr:uid="{00000000-0005-0000-0000-00009E080000}"/>
    <cellStyle name="Normal 6 2 2 7" xfId="2337" xr:uid="{00000000-0005-0000-0000-00009F080000}"/>
    <cellStyle name="Normal 6 2 3" xfId="220" xr:uid="{00000000-0005-0000-0000-0000A0080000}"/>
    <cellStyle name="Normal 6 2 3 2" xfId="370" xr:uid="{00000000-0005-0000-0000-0000A1080000}"/>
    <cellStyle name="Normal 6 2 3 2 2" xfId="697" xr:uid="{00000000-0005-0000-0000-0000A2080000}"/>
    <cellStyle name="Normal 6 2 3 2 2 2" xfId="2338" xr:uid="{00000000-0005-0000-0000-0000A3080000}"/>
    <cellStyle name="Normal 6 2 3 2 2 3" xfId="2339" xr:uid="{00000000-0005-0000-0000-0000A4080000}"/>
    <cellStyle name="Normal 6 2 3 2 2 4" xfId="2340" xr:uid="{00000000-0005-0000-0000-0000A5080000}"/>
    <cellStyle name="Normal 6 2 3 2 3" xfId="2341" xr:uid="{00000000-0005-0000-0000-0000A6080000}"/>
    <cellStyle name="Normal 6 2 3 2 4" xfId="2342" xr:uid="{00000000-0005-0000-0000-0000A7080000}"/>
    <cellStyle name="Normal 6 2 3 2 5" xfId="2343" xr:uid="{00000000-0005-0000-0000-0000A8080000}"/>
    <cellStyle name="Normal 6 2 3 3" xfId="557" xr:uid="{00000000-0005-0000-0000-0000A9080000}"/>
    <cellStyle name="Normal 6 2 3 3 2" xfId="2344" xr:uid="{00000000-0005-0000-0000-0000AA080000}"/>
    <cellStyle name="Normal 6 2 3 3 3" xfId="2345" xr:uid="{00000000-0005-0000-0000-0000AB080000}"/>
    <cellStyle name="Normal 6 2 3 3 4" xfId="2346" xr:uid="{00000000-0005-0000-0000-0000AC080000}"/>
    <cellStyle name="Normal 6 2 3 4" xfId="2347" xr:uid="{00000000-0005-0000-0000-0000AD080000}"/>
    <cellStyle name="Normal 6 2 3 5" xfId="2348" xr:uid="{00000000-0005-0000-0000-0000AE080000}"/>
    <cellStyle name="Normal 6 2 3 6" xfId="2349" xr:uid="{00000000-0005-0000-0000-0000AF080000}"/>
    <cellStyle name="Normal 6 2 4" xfId="371" xr:uid="{00000000-0005-0000-0000-0000B0080000}"/>
    <cellStyle name="Normal 6 2 4 2" xfId="698" xr:uid="{00000000-0005-0000-0000-0000B1080000}"/>
    <cellStyle name="Normal 6 2 4 2 2" xfId="2350" xr:uid="{00000000-0005-0000-0000-0000B2080000}"/>
    <cellStyle name="Normal 6 2 4 2 3" xfId="2351" xr:uid="{00000000-0005-0000-0000-0000B3080000}"/>
    <cellStyle name="Normal 6 2 4 2 4" xfId="2352" xr:uid="{00000000-0005-0000-0000-0000B4080000}"/>
    <cellStyle name="Normal 6 2 4 3" xfId="2353" xr:uid="{00000000-0005-0000-0000-0000B5080000}"/>
    <cellStyle name="Normal 6 2 4 4" xfId="2354" xr:uid="{00000000-0005-0000-0000-0000B6080000}"/>
    <cellStyle name="Normal 6 2 4 5" xfId="2355" xr:uid="{00000000-0005-0000-0000-0000B7080000}"/>
    <cellStyle name="Normal 6 2 5" xfId="436" xr:uid="{00000000-0005-0000-0000-0000B8080000}"/>
    <cellStyle name="Normal 6 2 5 2" xfId="2356" xr:uid="{00000000-0005-0000-0000-0000B9080000}"/>
    <cellStyle name="Normal 6 2 5 3" xfId="2357" xr:uid="{00000000-0005-0000-0000-0000BA080000}"/>
    <cellStyle name="Normal 6 2 5 4" xfId="2358" xr:uid="{00000000-0005-0000-0000-0000BB080000}"/>
    <cellStyle name="Normal 6 2 6" xfId="2359" xr:uid="{00000000-0005-0000-0000-0000BC080000}"/>
    <cellStyle name="Normal 6 2 6 2" xfId="2360" xr:uid="{00000000-0005-0000-0000-0000BD080000}"/>
    <cellStyle name="Normal 6 2 7" xfId="2361" xr:uid="{00000000-0005-0000-0000-0000BE080000}"/>
    <cellStyle name="Normal 6 2 8" xfId="2362" xr:uid="{00000000-0005-0000-0000-0000BF080000}"/>
    <cellStyle name="Normal 6 3" xfId="55" xr:uid="{00000000-0005-0000-0000-0000C0080000}"/>
    <cellStyle name="Normal 6 3 2" xfId="221" xr:uid="{00000000-0005-0000-0000-0000C1080000}"/>
    <cellStyle name="Normal 6 3 2 2" xfId="372" xr:uid="{00000000-0005-0000-0000-0000C2080000}"/>
    <cellStyle name="Normal 6 3 2 2 2" xfId="699" xr:uid="{00000000-0005-0000-0000-0000C3080000}"/>
    <cellStyle name="Normal 6 3 2 2 2 2" xfId="2363" xr:uid="{00000000-0005-0000-0000-0000C4080000}"/>
    <cellStyle name="Normal 6 3 2 2 2 3" xfId="2364" xr:uid="{00000000-0005-0000-0000-0000C5080000}"/>
    <cellStyle name="Normal 6 3 2 2 2 4" xfId="2365" xr:uid="{00000000-0005-0000-0000-0000C6080000}"/>
    <cellStyle name="Normal 6 3 2 2 3" xfId="2366" xr:uid="{00000000-0005-0000-0000-0000C7080000}"/>
    <cellStyle name="Normal 6 3 2 2 4" xfId="2367" xr:uid="{00000000-0005-0000-0000-0000C8080000}"/>
    <cellStyle name="Normal 6 3 2 2 5" xfId="2368" xr:uid="{00000000-0005-0000-0000-0000C9080000}"/>
    <cellStyle name="Normal 6 3 2 3" xfId="558" xr:uid="{00000000-0005-0000-0000-0000CA080000}"/>
    <cellStyle name="Normal 6 3 2 3 2" xfId="2369" xr:uid="{00000000-0005-0000-0000-0000CB080000}"/>
    <cellStyle name="Normal 6 3 2 3 3" xfId="2370" xr:uid="{00000000-0005-0000-0000-0000CC080000}"/>
    <cellStyle name="Normal 6 3 2 3 4" xfId="2371" xr:uid="{00000000-0005-0000-0000-0000CD080000}"/>
    <cellStyle name="Normal 6 3 2 4" xfId="2372" xr:uid="{00000000-0005-0000-0000-0000CE080000}"/>
    <cellStyle name="Normal 6 3 2 5" xfId="2373" xr:uid="{00000000-0005-0000-0000-0000CF080000}"/>
    <cellStyle name="Normal 6 3 2 6" xfId="2374" xr:uid="{00000000-0005-0000-0000-0000D0080000}"/>
    <cellStyle name="Normal 6 3 3" xfId="373" xr:uid="{00000000-0005-0000-0000-0000D1080000}"/>
    <cellStyle name="Normal 6 3 3 2" xfId="700" xr:uid="{00000000-0005-0000-0000-0000D2080000}"/>
    <cellStyle name="Normal 6 3 3 2 2" xfId="2375" xr:uid="{00000000-0005-0000-0000-0000D3080000}"/>
    <cellStyle name="Normal 6 3 3 2 3" xfId="2376" xr:uid="{00000000-0005-0000-0000-0000D4080000}"/>
    <cellStyle name="Normal 6 3 3 2 4" xfId="2377" xr:uid="{00000000-0005-0000-0000-0000D5080000}"/>
    <cellStyle name="Normal 6 3 3 3" xfId="2378" xr:uid="{00000000-0005-0000-0000-0000D6080000}"/>
    <cellStyle name="Normal 6 3 3 4" xfId="2379" xr:uid="{00000000-0005-0000-0000-0000D7080000}"/>
    <cellStyle name="Normal 6 3 3 5" xfId="2380" xr:uid="{00000000-0005-0000-0000-0000D8080000}"/>
    <cellStyle name="Normal 6 3 4" xfId="455" xr:uid="{00000000-0005-0000-0000-0000D9080000}"/>
    <cellStyle name="Normal 6 3 4 2" xfId="2381" xr:uid="{00000000-0005-0000-0000-0000DA080000}"/>
    <cellStyle name="Normal 6 3 4 3" xfId="2382" xr:uid="{00000000-0005-0000-0000-0000DB080000}"/>
    <cellStyle name="Normal 6 3 4 4" xfId="2383" xr:uid="{00000000-0005-0000-0000-0000DC080000}"/>
    <cellStyle name="Normal 6 3 5" xfId="2384" xr:uid="{00000000-0005-0000-0000-0000DD080000}"/>
    <cellStyle name="Normal 6 3 6" xfId="2385" xr:uid="{00000000-0005-0000-0000-0000DE080000}"/>
    <cellStyle name="Normal 6 3 7" xfId="2386" xr:uid="{00000000-0005-0000-0000-0000DF080000}"/>
    <cellStyle name="Normal 6 4" xfId="222" xr:uid="{00000000-0005-0000-0000-0000E0080000}"/>
    <cellStyle name="Normal 6 5" xfId="223" xr:uid="{00000000-0005-0000-0000-0000E1080000}"/>
    <cellStyle name="Normal 6 5 2" xfId="374" xr:uid="{00000000-0005-0000-0000-0000E2080000}"/>
    <cellStyle name="Normal 6 5 2 2" xfId="701" xr:uid="{00000000-0005-0000-0000-0000E3080000}"/>
    <cellStyle name="Normal 6 5 2 2 2" xfId="2387" xr:uid="{00000000-0005-0000-0000-0000E4080000}"/>
    <cellStyle name="Normal 6 5 2 2 3" xfId="2388" xr:uid="{00000000-0005-0000-0000-0000E5080000}"/>
    <cellStyle name="Normal 6 5 2 2 4" xfId="2389" xr:uid="{00000000-0005-0000-0000-0000E6080000}"/>
    <cellStyle name="Normal 6 5 2 3" xfId="2390" xr:uid="{00000000-0005-0000-0000-0000E7080000}"/>
    <cellStyle name="Normal 6 5 2 4" xfId="2391" xr:uid="{00000000-0005-0000-0000-0000E8080000}"/>
    <cellStyle name="Normal 6 5 2 5" xfId="2392" xr:uid="{00000000-0005-0000-0000-0000E9080000}"/>
    <cellStyle name="Normal 6 5 3" xfId="559" xr:uid="{00000000-0005-0000-0000-0000EA080000}"/>
    <cellStyle name="Normal 6 5 3 2" xfId="2393" xr:uid="{00000000-0005-0000-0000-0000EB080000}"/>
    <cellStyle name="Normal 6 5 3 3" xfId="2394" xr:uid="{00000000-0005-0000-0000-0000EC080000}"/>
    <cellStyle name="Normal 6 5 3 4" xfId="2395" xr:uid="{00000000-0005-0000-0000-0000ED080000}"/>
    <cellStyle name="Normal 6 5 4" xfId="2396" xr:uid="{00000000-0005-0000-0000-0000EE080000}"/>
    <cellStyle name="Normal 6 5 5" xfId="2397" xr:uid="{00000000-0005-0000-0000-0000EF080000}"/>
    <cellStyle name="Normal 6 5 6" xfId="2398" xr:uid="{00000000-0005-0000-0000-0000F0080000}"/>
    <cellStyle name="Normal 6 6" xfId="224" xr:uid="{00000000-0005-0000-0000-0000F1080000}"/>
    <cellStyle name="Normal 6 6 2" xfId="375" xr:uid="{00000000-0005-0000-0000-0000F2080000}"/>
    <cellStyle name="Normal 6 6 2 2" xfId="702" xr:uid="{00000000-0005-0000-0000-0000F3080000}"/>
    <cellStyle name="Normal 6 6 2 2 2" xfId="2399" xr:uid="{00000000-0005-0000-0000-0000F4080000}"/>
    <cellStyle name="Normal 6 6 2 2 3" xfId="2400" xr:uid="{00000000-0005-0000-0000-0000F5080000}"/>
    <cellStyle name="Normal 6 6 2 2 4" xfId="2401" xr:uid="{00000000-0005-0000-0000-0000F6080000}"/>
    <cellStyle name="Normal 6 6 2 3" xfId="2402" xr:uid="{00000000-0005-0000-0000-0000F7080000}"/>
    <cellStyle name="Normal 6 6 2 4" xfId="2403" xr:uid="{00000000-0005-0000-0000-0000F8080000}"/>
    <cellStyle name="Normal 6 6 2 5" xfId="2404" xr:uid="{00000000-0005-0000-0000-0000F9080000}"/>
    <cellStyle name="Normal 6 6 3" xfId="560" xr:uid="{00000000-0005-0000-0000-0000FA080000}"/>
    <cellStyle name="Normal 6 6 3 2" xfId="2405" xr:uid="{00000000-0005-0000-0000-0000FB080000}"/>
    <cellStyle name="Normal 6 6 3 3" xfId="2406" xr:uid="{00000000-0005-0000-0000-0000FC080000}"/>
    <cellStyle name="Normal 6 6 3 4" xfId="2407" xr:uid="{00000000-0005-0000-0000-0000FD080000}"/>
    <cellStyle name="Normal 6 6 4" xfId="2408" xr:uid="{00000000-0005-0000-0000-0000FE080000}"/>
    <cellStyle name="Normal 6 6 5" xfId="2409" xr:uid="{00000000-0005-0000-0000-0000FF080000}"/>
    <cellStyle name="Normal 6 6 6" xfId="2410" xr:uid="{00000000-0005-0000-0000-000000090000}"/>
    <cellStyle name="Normal 6 7" xfId="404" xr:uid="{00000000-0005-0000-0000-000001090000}"/>
    <cellStyle name="Normal 6 7 2" xfId="2411" xr:uid="{00000000-0005-0000-0000-000002090000}"/>
    <cellStyle name="Normal 6 7 3" xfId="2412" xr:uid="{00000000-0005-0000-0000-000003090000}"/>
    <cellStyle name="Normal 6 7 4" xfId="2413" xr:uid="{00000000-0005-0000-0000-000004090000}"/>
    <cellStyle name="Normal 6 8" xfId="418" xr:uid="{00000000-0005-0000-0000-000005090000}"/>
    <cellStyle name="Normal 6 8 2" xfId="2414" xr:uid="{00000000-0005-0000-0000-000006090000}"/>
    <cellStyle name="Normal 6 8 3" xfId="2415" xr:uid="{00000000-0005-0000-0000-000007090000}"/>
    <cellStyle name="Normal 6 8 4" xfId="2416" xr:uid="{00000000-0005-0000-0000-000008090000}"/>
    <cellStyle name="Normal 6 9" xfId="2417" xr:uid="{00000000-0005-0000-0000-000009090000}"/>
    <cellStyle name="Normal 7" xfId="6" xr:uid="{00000000-0005-0000-0000-00000A090000}"/>
    <cellStyle name="Normal 7 10" xfId="2418" xr:uid="{00000000-0005-0000-0000-00000B090000}"/>
    <cellStyle name="Normal 7 11" xfId="2419" xr:uid="{00000000-0005-0000-0000-00000C090000}"/>
    <cellStyle name="Normal 7 12" xfId="2420" xr:uid="{00000000-0005-0000-0000-00000D090000}"/>
    <cellStyle name="Normal 7 13" xfId="2421" xr:uid="{00000000-0005-0000-0000-00000E090000}"/>
    <cellStyle name="Normal 7 14" xfId="2422" xr:uid="{00000000-0005-0000-0000-00000F090000}"/>
    <cellStyle name="Normal 7 2" xfId="35" xr:uid="{00000000-0005-0000-0000-000010090000}"/>
    <cellStyle name="Normal 7 2 2" xfId="74" xr:uid="{00000000-0005-0000-0000-000011090000}"/>
    <cellStyle name="Normal 7 2 2 2" xfId="225" xr:uid="{00000000-0005-0000-0000-000012090000}"/>
    <cellStyle name="Normal 7 2 2 2 2" xfId="376" xr:uid="{00000000-0005-0000-0000-000013090000}"/>
    <cellStyle name="Normal 7 2 2 2 2 2" xfId="703" xr:uid="{00000000-0005-0000-0000-000014090000}"/>
    <cellStyle name="Normal 7 2 2 2 2 2 2" xfId="2423" xr:uid="{00000000-0005-0000-0000-000015090000}"/>
    <cellStyle name="Normal 7 2 2 2 2 2 3" xfId="2424" xr:uid="{00000000-0005-0000-0000-000016090000}"/>
    <cellStyle name="Normal 7 2 2 2 2 2 4" xfId="2425" xr:uid="{00000000-0005-0000-0000-000017090000}"/>
    <cellStyle name="Normal 7 2 2 2 2 3" xfId="2426" xr:uid="{00000000-0005-0000-0000-000018090000}"/>
    <cellStyle name="Normal 7 2 2 2 2 4" xfId="2427" xr:uid="{00000000-0005-0000-0000-000019090000}"/>
    <cellStyle name="Normal 7 2 2 2 2 5" xfId="2428" xr:uid="{00000000-0005-0000-0000-00001A090000}"/>
    <cellStyle name="Normal 7 2 2 2 3" xfId="561" xr:uid="{00000000-0005-0000-0000-00001B090000}"/>
    <cellStyle name="Normal 7 2 2 2 3 2" xfId="2429" xr:uid="{00000000-0005-0000-0000-00001C090000}"/>
    <cellStyle name="Normal 7 2 2 2 3 3" xfId="2430" xr:uid="{00000000-0005-0000-0000-00001D090000}"/>
    <cellStyle name="Normal 7 2 2 2 3 4" xfId="2431" xr:uid="{00000000-0005-0000-0000-00001E090000}"/>
    <cellStyle name="Normal 7 2 2 2 4" xfId="2432" xr:uid="{00000000-0005-0000-0000-00001F090000}"/>
    <cellStyle name="Normal 7 2 2 2 5" xfId="2433" xr:uid="{00000000-0005-0000-0000-000020090000}"/>
    <cellStyle name="Normal 7 2 2 2 6" xfId="2434" xr:uid="{00000000-0005-0000-0000-000021090000}"/>
    <cellStyle name="Normal 7 2 2 3" xfId="377" xr:uid="{00000000-0005-0000-0000-000022090000}"/>
    <cellStyle name="Normal 7 2 2 3 2" xfId="704" xr:uid="{00000000-0005-0000-0000-000023090000}"/>
    <cellStyle name="Normal 7 2 2 3 2 2" xfId="2435" xr:uid="{00000000-0005-0000-0000-000024090000}"/>
    <cellStyle name="Normal 7 2 2 3 2 3" xfId="2436" xr:uid="{00000000-0005-0000-0000-000025090000}"/>
    <cellStyle name="Normal 7 2 2 3 2 4" xfId="2437" xr:uid="{00000000-0005-0000-0000-000026090000}"/>
    <cellStyle name="Normal 7 2 2 3 3" xfId="2438" xr:uid="{00000000-0005-0000-0000-000027090000}"/>
    <cellStyle name="Normal 7 2 2 3 4" xfId="2439" xr:uid="{00000000-0005-0000-0000-000028090000}"/>
    <cellStyle name="Normal 7 2 2 3 5" xfId="2440" xr:uid="{00000000-0005-0000-0000-000029090000}"/>
    <cellStyle name="Normal 7 2 2 4" xfId="474" xr:uid="{00000000-0005-0000-0000-00002A090000}"/>
    <cellStyle name="Normal 7 2 2 4 2" xfId="2441" xr:uid="{00000000-0005-0000-0000-00002B090000}"/>
    <cellStyle name="Normal 7 2 2 4 3" xfId="2442" xr:uid="{00000000-0005-0000-0000-00002C090000}"/>
    <cellStyle name="Normal 7 2 2 4 4" xfId="2443" xr:uid="{00000000-0005-0000-0000-00002D090000}"/>
    <cellStyle name="Normal 7 2 2 5" xfId="2444" xr:uid="{00000000-0005-0000-0000-00002E090000}"/>
    <cellStyle name="Normal 7 2 2 6" xfId="2445" xr:uid="{00000000-0005-0000-0000-00002F090000}"/>
    <cellStyle name="Normal 7 2 2 7" xfId="2446" xr:uid="{00000000-0005-0000-0000-000030090000}"/>
    <cellStyle name="Normal 7 2 3" xfId="226" xr:uid="{00000000-0005-0000-0000-000031090000}"/>
    <cellStyle name="Normal 7 2 3 2" xfId="378" xr:uid="{00000000-0005-0000-0000-000032090000}"/>
    <cellStyle name="Normal 7 2 3 2 2" xfId="705" xr:uid="{00000000-0005-0000-0000-000033090000}"/>
    <cellStyle name="Normal 7 2 3 2 2 2" xfId="2447" xr:uid="{00000000-0005-0000-0000-000034090000}"/>
    <cellStyle name="Normal 7 2 3 2 2 3" xfId="2448" xr:uid="{00000000-0005-0000-0000-000035090000}"/>
    <cellStyle name="Normal 7 2 3 2 2 4" xfId="2449" xr:uid="{00000000-0005-0000-0000-000036090000}"/>
    <cellStyle name="Normal 7 2 3 2 3" xfId="2450" xr:uid="{00000000-0005-0000-0000-000037090000}"/>
    <cellStyle name="Normal 7 2 3 2 4" xfId="2451" xr:uid="{00000000-0005-0000-0000-000038090000}"/>
    <cellStyle name="Normal 7 2 3 2 5" xfId="2452" xr:uid="{00000000-0005-0000-0000-000039090000}"/>
    <cellStyle name="Normal 7 2 3 3" xfId="562" xr:uid="{00000000-0005-0000-0000-00003A090000}"/>
    <cellStyle name="Normal 7 2 3 3 2" xfId="2453" xr:uid="{00000000-0005-0000-0000-00003B090000}"/>
    <cellStyle name="Normal 7 2 3 3 3" xfId="2454" xr:uid="{00000000-0005-0000-0000-00003C090000}"/>
    <cellStyle name="Normal 7 2 3 3 4" xfId="2455" xr:uid="{00000000-0005-0000-0000-00003D090000}"/>
    <cellStyle name="Normal 7 2 3 4" xfId="2456" xr:uid="{00000000-0005-0000-0000-00003E090000}"/>
    <cellStyle name="Normal 7 2 3 5" xfId="2457" xr:uid="{00000000-0005-0000-0000-00003F090000}"/>
    <cellStyle name="Normal 7 2 3 6" xfId="2458" xr:uid="{00000000-0005-0000-0000-000040090000}"/>
    <cellStyle name="Normal 7 2 4" xfId="379" xr:uid="{00000000-0005-0000-0000-000041090000}"/>
    <cellStyle name="Normal 7 2 4 2" xfId="706" xr:uid="{00000000-0005-0000-0000-000042090000}"/>
    <cellStyle name="Normal 7 2 4 2 2" xfId="2459" xr:uid="{00000000-0005-0000-0000-000043090000}"/>
    <cellStyle name="Normal 7 2 4 2 3" xfId="2460" xr:uid="{00000000-0005-0000-0000-000044090000}"/>
    <cellStyle name="Normal 7 2 4 2 4" xfId="2461" xr:uid="{00000000-0005-0000-0000-000045090000}"/>
    <cellStyle name="Normal 7 2 4 3" xfId="2462" xr:uid="{00000000-0005-0000-0000-000046090000}"/>
    <cellStyle name="Normal 7 2 4 4" xfId="2463" xr:uid="{00000000-0005-0000-0000-000047090000}"/>
    <cellStyle name="Normal 7 2 4 5" xfId="2464" xr:uid="{00000000-0005-0000-0000-000048090000}"/>
    <cellStyle name="Normal 7 2 5" xfId="437" xr:uid="{00000000-0005-0000-0000-000049090000}"/>
    <cellStyle name="Normal 7 2 5 2" xfId="2465" xr:uid="{00000000-0005-0000-0000-00004A090000}"/>
    <cellStyle name="Normal 7 2 5 3" xfId="2466" xr:uid="{00000000-0005-0000-0000-00004B090000}"/>
    <cellStyle name="Normal 7 2 5 4" xfId="2467" xr:uid="{00000000-0005-0000-0000-00004C090000}"/>
    <cellStyle name="Normal 7 2 6" xfId="2468" xr:uid="{00000000-0005-0000-0000-00004D090000}"/>
    <cellStyle name="Normal 7 2 7" xfId="2469" xr:uid="{00000000-0005-0000-0000-00004E090000}"/>
    <cellStyle name="Normal 7 2 8" xfId="2470" xr:uid="{00000000-0005-0000-0000-00004F090000}"/>
    <cellStyle name="Normal 7 3" xfId="56" xr:uid="{00000000-0005-0000-0000-000050090000}"/>
    <cellStyle name="Normal 7 3 2" xfId="227" xr:uid="{00000000-0005-0000-0000-000051090000}"/>
    <cellStyle name="Normal 7 3 2 2" xfId="380" xr:uid="{00000000-0005-0000-0000-000052090000}"/>
    <cellStyle name="Normal 7 3 2 2 2" xfId="707" xr:uid="{00000000-0005-0000-0000-000053090000}"/>
    <cellStyle name="Normal 7 3 2 2 2 2" xfId="2471" xr:uid="{00000000-0005-0000-0000-000054090000}"/>
    <cellStyle name="Normal 7 3 2 2 2 3" xfId="2472" xr:uid="{00000000-0005-0000-0000-000055090000}"/>
    <cellStyle name="Normal 7 3 2 2 2 4" xfId="2473" xr:uid="{00000000-0005-0000-0000-000056090000}"/>
    <cellStyle name="Normal 7 3 2 2 3" xfId="2474" xr:uid="{00000000-0005-0000-0000-000057090000}"/>
    <cellStyle name="Normal 7 3 2 2 4" xfId="2475" xr:uid="{00000000-0005-0000-0000-000058090000}"/>
    <cellStyle name="Normal 7 3 2 2 5" xfId="2476" xr:uid="{00000000-0005-0000-0000-000059090000}"/>
    <cellStyle name="Normal 7 3 2 3" xfId="563" xr:uid="{00000000-0005-0000-0000-00005A090000}"/>
    <cellStyle name="Normal 7 3 2 3 2" xfId="2477" xr:uid="{00000000-0005-0000-0000-00005B090000}"/>
    <cellStyle name="Normal 7 3 2 3 3" xfId="2478" xr:uid="{00000000-0005-0000-0000-00005C090000}"/>
    <cellStyle name="Normal 7 3 2 3 4" xfId="2479" xr:uid="{00000000-0005-0000-0000-00005D090000}"/>
    <cellStyle name="Normal 7 3 2 4" xfId="2480" xr:uid="{00000000-0005-0000-0000-00005E090000}"/>
    <cellStyle name="Normal 7 3 2 5" xfId="2481" xr:uid="{00000000-0005-0000-0000-00005F090000}"/>
    <cellStyle name="Normal 7 3 2 6" xfId="2482" xr:uid="{00000000-0005-0000-0000-000060090000}"/>
    <cellStyle name="Normal 7 3 3" xfId="381" xr:uid="{00000000-0005-0000-0000-000061090000}"/>
    <cellStyle name="Normal 7 3 3 2" xfId="708" xr:uid="{00000000-0005-0000-0000-000062090000}"/>
    <cellStyle name="Normal 7 3 3 2 2" xfId="2483" xr:uid="{00000000-0005-0000-0000-000063090000}"/>
    <cellStyle name="Normal 7 3 3 2 3" xfId="2484" xr:uid="{00000000-0005-0000-0000-000064090000}"/>
    <cellStyle name="Normal 7 3 3 2 4" xfId="2485" xr:uid="{00000000-0005-0000-0000-000065090000}"/>
    <cellStyle name="Normal 7 3 3 3" xfId="2486" xr:uid="{00000000-0005-0000-0000-000066090000}"/>
    <cellStyle name="Normal 7 3 3 4" xfId="2487" xr:uid="{00000000-0005-0000-0000-000067090000}"/>
    <cellStyle name="Normal 7 3 3 5" xfId="2488" xr:uid="{00000000-0005-0000-0000-000068090000}"/>
    <cellStyle name="Normal 7 3 4" xfId="456" xr:uid="{00000000-0005-0000-0000-000069090000}"/>
    <cellStyle name="Normal 7 3 4 2" xfId="2489" xr:uid="{00000000-0005-0000-0000-00006A090000}"/>
    <cellStyle name="Normal 7 3 4 3" xfId="2490" xr:uid="{00000000-0005-0000-0000-00006B090000}"/>
    <cellStyle name="Normal 7 3 4 4" xfId="2491" xr:uid="{00000000-0005-0000-0000-00006C090000}"/>
    <cellStyle name="Normal 7 3 5" xfId="2492" xr:uid="{00000000-0005-0000-0000-00006D090000}"/>
    <cellStyle name="Normal 7 3 6" xfId="2493" xr:uid="{00000000-0005-0000-0000-00006E090000}"/>
    <cellStyle name="Normal 7 3 7" xfId="2494" xr:uid="{00000000-0005-0000-0000-00006F090000}"/>
    <cellStyle name="Normal 7 4" xfId="228" xr:uid="{00000000-0005-0000-0000-000070090000}"/>
    <cellStyle name="Normal 7 4 2" xfId="382" xr:uid="{00000000-0005-0000-0000-000071090000}"/>
    <cellStyle name="Normal 7 4 2 2" xfId="709" xr:uid="{00000000-0005-0000-0000-000072090000}"/>
    <cellStyle name="Normal 7 4 2 2 2" xfId="2495" xr:uid="{00000000-0005-0000-0000-000073090000}"/>
    <cellStyle name="Normal 7 4 2 2 3" xfId="2496" xr:uid="{00000000-0005-0000-0000-000074090000}"/>
    <cellStyle name="Normal 7 4 2 2 4" xfId="2497" xr:uid="{00000000-0005-0000-0000-000075090000}"/>
    <cellStyle name="Normal 7 4 2 3" xfId="2498" xr:uid="{00000000-0005-0000-0000-000076090000}"/>
    <cellStyle name="Normal 7 4 2 4" xfId="2499" xr:uid="{00000000-0005-0000-0000-000077090000}"/>
    <cellStyle name="Normal 7 4 2 5" xfId="2500" xr:uid="{00000000-0005-0000-0000-000078090000}"/>
    <cellStyle name="Normal 7 4 3" xfId="564" xr:uid="{00000000-0005-0000-0000-000079090000}"/>
    <cellStyle name="Normal 7 4 3 2" xfId="2501" xr:uid="{00000000-0005-0000-0000-00007A090000}"/>
    <cellStyle name="Normal 7 4 3 3" xfId="2502" xr:uid="{00000000-0005-0000-0000-00007B090000}"/>
    <cellStyle name="Normal 7 4 3 4" xfId="2503" xr:uid="{00000000-0005-0000-0000-00007C090000}"/>
    <cellStyle name="Normal 7 4 4" xfId="2504" xr:uid="{00000000-0005-0000-0000-00007D090000}"/>
    <cellStyle name="Normal 7 4 5" xfId="2505" xr:uid="{00000000-0005-0000-0000-00007E090000}"/>
    <cellStyle name="Normal 7 4 6" xfId="2506" xr:uid="{00000000-0005-0000-0000-00007F090000}"/>
    <cellStyle name="Normal 7 5" xfId="229" xr:uid="{00000000-0005-0000-0000-000080090000}"/>
    <cellStyle name="Normal 7 5 2" xfId="383" xr:uid="{00000000-0005-0000-0000-000081090000}"/>
    <cellStyle name="Normal 7 5 2 2" xfId="710" xr:uid="{00000000-0005-0000-0000-000082090000}"/>
    <cellStyle name="Normal 7 5 2 2 2" xfId="2507" xr:uid="{00000000-0005-0000-0000-000083090000}"/>
    <cellStyle name="Normal 7 5 2 2 3" xfId="2508" xr:uid="{00000000-0005-0000-0000-000084090000}"/>
    <cellStyle name="Normal 7 5 2 2 4" xfId="2509" xr:uid="{00000000-0005-0000-0000-000085090000}"/>
    <cellStyle name="Normal 7 5 2 3" xfId="2510" xr:uid="{00000000-0005-0000-0000-000086090000}"/>
    <cellStyle name="Normal 7 5 2 4" xfId="2511" xr:uid="{00000000-0005-0000-0000-000087090000}"/>
    <cellStyle name="Normal 7 5 2 5" xfId="2512" xr:uid="{00000000-0005-0000-0000-000088090000}"/>
    <cellStyle name="Normal 7 5 3" xfId="565" xr:uid="{00000000-0005-0000-0000-000089090000}"/>
    <cellStyle name="Normal 7 5 3 2" xfId="2513" xr:uid="{00000000-0005-0000-0000-00008A090000}"/>
    <cellStyle name="Normal 7 5 3 3" xfId="2514" xr:uid="{00000000-0005-0000-0000-00008B090000}"/>
    <cellStyle name="Normal 7 5 3 4" xfId="2515" xr:uid="{00000000-0005-0000-0000-00008C090000}"/>
    <cellStyle name="Normal 7 5 4" xfId="2516" xr:uid="{00000000-0005-0000-0000-00008D090000}"/>
    <cellStyle name="Normal 7 5 5" xfId="2517" xr:uid="{00000000-0005-0000-0000-00008E090000}"/>
    <cellStyle name="Normal 7 5 6" xfId="2518" xr:uid="{00000000-0005-0000-0000-00008F090000}"/>
    <cellStyle name="Normal 7 6" xfId="384" xr:uid="{00000000-0005-0000-0000-000090090000}"/>
    <cellStyle name="Normal 7 7" xfId="405" xr:uid="{00000000-0005-0000-0000-000091090000}"/>
    <cellStyle name="Normal 7 7 2" xfId="2519" xr:uid="{00000000-0005-0000-0000-000092090000}"/>
    <cellStyle name="Normal 7 7 3" xfId="2520" xr:uid="{00000000-0005-0000-0000-000093090000}"/>
    <cellStyle name="Normal 7 7 4" xfId="2521" xr:uid="{00000000-0005-0000-0000-000094090000}"/>
    <cellStyle name="Normal 7 8" xfId="419" xr:uid="{00000000-0005-0000-0000-000095090000}"/>
    <cellStyle name="Normal 7 8 2" xfId="2522" xr:uid="{00000000-0005-0000-0000-000096090000}"/>
    <cellStyle name="Normal 7 8 3" xfId="2523" xr:uid="{00000000-0005-0000-0000-000097090000}"/>
    <cellStyle name="Normal 7 8 4" xfId="2524" xr:uid="{00000000-0005-0000-0000-000098090000}"/>
    <cellStyle name="Normal 7 9" xfId="2525" xr:uid="{00000000-0005-0000-0000-000099090000}"/>
    <cellStyle name="Normal 8" xfId="4" xr:uid="{00000000-0005-0000-0000-00009A090000}"/>
    <cellStyle name="Normal 8 10" xfId="2526" xr:uid="{00000000-0005-0000-0000-00009B090000}"/>
    <cellStyle name="Normal 8 11" xfId="2527" xr:uid="{00000000-0005-0000-0000-00009C090000}"/>
    <cellStyle name="Normal 8 12" xfId="2528" xr:uid="{00000000-0005-0000-0000-00009D090000}"/>
    <cellStyle name="Normal 8 13" xfId="2529" xr:uid="{00000000-0005-0000-0000-00009E090000}"/>
    <cellStyle name="Normal 8 2" xfId="33" xr:uid="{00000000-0005-0000-0000-00009F090000}"/>
    <cellStyle name="Normal 8 2 2" xfId="72" xr:uid="{00000000-0005-0000-0000-0000A0090000}"/>
    <cellStyle name="Normal 8 2 2 2" xfId="230" xr:uid="{00000000-0005-0000-0000-0000A1090000}"/>
    <cellStyle name="Normal 8 2 2 2 2" xfId="385" xr:uid="{00000000-0005-0000-0000-0000A2090000}"/>
    <cellStyle name="Normal 8 2 2 2 2 2" xfId="711" xr:uid="{00000000-0005-0000-0000-0000A3090000}"/>
    <cellStyle name="Normal 8 2 2 2 2 2 2" xfId="2530" xr:uid="{00000000-0005-0000-0000-0000A4090000}"/>
    <cellStyle name="Normal 8 2 2 2 2 2 3" xfId="2531" xr:uid="{00000000-0005-0000-0000-0000A5090000}"/>
    <cellStyle name="Normal 8 2 2 2 2 2 4" xfId="2532" xr:uid="{00000000-0005-0000-0000-0000A6090000}"/>
    <cellStyle name="Normal 8 2 2 2 2 3" xfId="2533" xr:uid="{00000000-0005-0000-0000-0000A7090000}"/>
    <cellStyle name="Normal 8 2 2 2 2 4" xfId="2534" xr:uid="{00000000-0005-0000-0000-0000A8090000}"/>
    <cellStyle name="Normal 8 2 2 2 2 5" xfId="2535" xr:uid="{00000000-0005-0000-0000-0000A9090000}"/>
    <cellStyle name="Normal 8 2 2 2 3" xfId="566" xr:uid="{00000000-0005-0000-0000-0000AA090000}"/>
    <cellStyle name="Normal 8 2 2 2 3 2" xfId="2536" xr:uid="{00000000-0005-0000-0000-0000AB090000}"/>
    <cellStyle name="Normal 8 2 2 2 3 3" xfId="2537" xr:uid="{00000000-0005-0000-0000-0000AC090000}"/>
    <cellStyle name="Normal 8 2 2 2 3 4" xfId="2538" xr:uid="{00000000-0005-0000-0000-0000AD090000}"/>
    <cellStyle name="Normal 8 2 2 2 4" xfId="2539" xr:uid="{00000000-0005-0000-0000-0000AE090000}"/>
    <cellStyle name="Normal 8 2 2 2 5" xfId="2540" xr:uid="{00000000-0005-0000-0000-0000AF090000}"/>
    <cellStyle name="Normal 8 2 2 2 6" xfId="2541" xr:uid="{00000000-0005-0000-0000-0000B0090000}"/>
    <cellStyle name="Normal 8 2 2 3" xfId="386" xr:uid="{00000000-0005-0000-0000-0000B1090000}"/>
    <cellStyle name="Normal 8 2 2 3 2" xfId="712" xr:uid="{00000000-0005-0000-0000-0000B2090000}"/>
    <cellStyle name="Normal 8 2 2 3 2 2" xfId="2542" xr:uid="{00000000-0005-0000-0000-0000B3090000}"/>
    <cellStyle name="Normal 8 2 2 3 2 3" xfId="2543" xr:uid="{00000000-0005-0000-0000-0000B4090000}"/>
    <cellStyle name="Normal 8 2 2 3 2 4" xfId="2544" xr:uid="{00000000-0005-0000-0000-0000B5090000}"/>
    <cellStyle name="Normal 8 2 2 3 3" xfId="2545" xr:uid="{00000000-0005-0000-0000-0000B6090000}"/>
    <cellStyle name="Normal 8 2 2 3 4" xfId="2546" xr:uid="{00000000-0005-0000-0000-0000B7090000}"/>
    <cellStyle name="Normal 8 2 2 3 5" xfId="2547" xr:uid="{00000000-0005-0000-0000-0000B8090000}"/>
    <cellStyle name="Normal 8 2 2 4" xfId="472" xr:uid="{00000000-0005-0000-0000-0000B9090000}"/>
    <cellStyle name="Normal 8 2 2 4 2" xfId="2548" xr:uid="{00000000-0005-0000-0000-0000BA090000}"/>
    <cellStyle name="Normal 8 2 2 4 3" xfId="2549" xr:uid="{00000000-0005-0000-0000-0000BB090000}"/>
    <cellStyle name="Normal 8 2 2 4 4" xfId="2550" xr:uid="{00000000-0005-0000-0000-0000BC090000}"/>
    <cellStyle name="Normal 8 2 2 5" xfId="2551" xr:uid="{00000000-0005-0000-0000-0000BD090000}"/>
    <cellStyle name="Normal 8 2 2 6" xfId="2552" xr:uid="{00000000-0005-0000-0000-0000BE090000}"/>
    <cellStyle name="Normal 8 2 2 7" xfId="2553" xr:uid="{00000000-0005-0000-0000-0000BF090000}"/>
    <cellStyle name="Normal 8 2 3" xfId="231" xr:uid="{00000000-0005-0000-0000-0000C0090000}"/>
    <cellStyle name="Normal 8 2 3 2" xfId="387" xr:uid="{00000000-0005-0000-0000-0000C1090000}"/>
    <cellStyle name="Normal 8 2 3 2 2" xfId="713" xr:uid="{00000000-0005-0000-0000-0000C2090000}"/>
    <cellStyle name="Normal 8 2 3 2 2 2" xfId="2554" xr:uid="{00000000-0005-0000-0000-0000C3090000}"/>
    <cellStyle name="Normal 8 2 3 2 2 3" xfId="2555" xr:uid="{00000000-0005-0000-0000-0000C4090000}"/>
    <cellStyle name="Normal 8 2 3 2 2 4" xfId="2556" xr:uid="{00000000-0005-0000-0000-0000C5090000}"/>
    <cellStyle name="Normal 8 2 3 2 3" xfId="2557" xr:uid="{00000000-0005-0000-0000-0000C6090000}"/>
    <cellStyle name="Normal 8 2 3 2 4" xfId="2558" xr:uid="{00000000-0005-0000-0000-0000C7090000}"/>
    <cellStyle name="Normal 8 2 3 2 5" xfId="2559" xr:uid="{00000000-0005-0000-0000-0000C8090000}"/>
    <cellStyle name="Normal 8 2 3 3" xfId="567" xr:uid="{00000000-0005-0000-0000-0000C9090000}"/>
    <cellStyle name="Normal 8 2 3 3 2" xfId="2560" xr:uid="{00000000-0005-0000-0000-0000CA090000}"/>
    <cellStyle name="Normal 8 2 3 3 3" xfId="2561" xr:uid="{00000000-0005-0000-0000-0000CB090000}"/>
    <cellStyle name="Normal 8 2 3 3 4" xfId="2562" xr:uid="{00000000-0005-0000-0000-0000CC090000}"/>
    <cellStyle name="Normal 8 2 3 4" xfId="2563" xr:uid="{00000000-0005-0000-0000-0000CD090000}"/>
    <cellStyle name="Normal 8 2 3 5" xfId="2564" xr:uid="{00000000-0005-0000-0000-0000CE090000}"/>
    <cellStyle name="Normal 8 2 3 6" xfId="2565" xr:uid="{00000000-0005-0000-0000-0000CF090000}"/>
    <cellStyle name="Normal 8 2 4" xfId="388" xr:uid="{00000000-0005-0000-0000-0000D0090000}"/>
    <cellStyle name="Normal 8 2 4 2" xfId="714" xr:uid="{00000000-0005-0000-0000-0000D1090000}"/>
    <cellStyle name="Normal 8 2 4 2 2" xfId="2566" xr:uid="{00000000-0005-0000-0000-0000D2090000}"/>
    <cellStyle name="Normal 8 2 4 2 3" xfId="2567" xr:uid="{00000000-0005-0000-0000-0000D3090000}"/>
    <cellStyle name="Normal 8 2 4 2 4" xfId="2568" xr:uid="{00000000-0005-0000-0000-0000D4090000}"/>
    <cellStyle name="Normal 8 2 4 3" xfId="2569" xr:uid="{00000000-0005-0000-0000-0000D5090000}"/>
    <cellStyle name="Normal 8 2 4 4" xfId="2570" xr:uid="{00000000-0005-0000-0000-0000D6090000}"/>
    <cellStyle name="Normal 8 2 4 5" xfId="2571" xr:uid="{00000000-0005-0000-0000-0000D7090000}"/>
    <cellStyle name="Normal 8 2 5" xfId="435" xr:uid="{00000000-0005-0000-0000-0000D8090000}"/>
    <cellStyle name="Normal 8 2 5 2" xfId="2572" xr:uid="{00000000-0005-0000-0000-0000D9090000}"/>
    <cellStyle name="Normal 8 2 5 3" xfId="2573" xr:uid="{00000000-0005-0000-0000-0000DA090000}"/>
    <cellStyle name="Normal 8 2 5 4" xfId="2574" xr:uid="{00000000-0005-0000-0000-0000DB090000}"/>
    <cellStyle name="Normal 8 2 6" xfId="2575" xr:uid="{00000000-0005-0000-0000-0000DC090000}"/>
    <cellStyle name="Normal 8 2 7" xfId="2576" xr:uid="{00000000-0005-0000-0000-0000DD090000}"/>
    <cellStyle name="Normal 8 2 8" xfId="2577" xr:uid="{00000000-0005-0000-0000-0000DE090000}"/>
    <cellStyle name="Normal 8 3" xfId="54" xr:uid="{00000000-0005-0000-0000-0000DF090000}"/>
    <cellStyle name="Normal 8 3 2" xfId="232" xr:uid="{00000000-0005-0000-0000-0000E0090000}"/>
    <cellStyle name="Normal 8 3 2 2" xfId="389" xr:uid="{00000000-0005-0000-0000-0000E1090000}"/>
    <cellStyle name="Normal 8 3 2 2 2" xfId="715" xr:uid="{00000000-0005-0000-0000-0000E2090000}"/>
    <cellStyle name="Normal 8 3 2 2 2 2" xfId="2578" xr:uid="{00000000-0005-0000-0000-0000E3090000}"/>
    <cellStyle name="Normal 8 3 2 2 2 3" xfId="2579" xr:uid="{00000000-0005-0000-0000-0000E4090000}"/>
    <cellStyle name="Normal 8 3 2 2 2 4" xfId="2580" xr:uid="{00000000-0005-0000-0000-0000E5090000}"/>
    <cellStyle name="Normal 8 3 2 2 3" xfId="2581" xr:uid="{00000000-0005-0000-0000-0000E6090000}"/>
    <cellStyle name="Normal 8 3 2 2 4" xfId="2582" xr:uid="{00000000-0005-0000-0000-0000E7090000}"/>
    <cellStyle name="Normal 8 3 2 2 5" xfId="2583" xr:uid="{00000000-0005-0000-0000-0000E8090000}"/>
    <cellStyle name="Normal 8 3 2 3" xfId="568" xr:uid="{00000000-0005-0000-0000-0000E9090000}"/>
    <cellStyle name="Normal 8 3 2 3 2" xfId="2584" xr:uid="{00000000-0005-0000-0000-0000EA090000}"/>
    <cellStyle name="Normal 8 3 2 3 3" xfId="2585" xr:uid="{00000000-0005-0000-0000-0000EB090000}"/>
    <cellStyle name="Normal 8 3 2 3 4" xfId="2586" xr:uid="{00000000-0005-0000-0000-0000EC090000}"/>
    <cellStyle name="Normal 8 3 2 4" xfId="2587" xr:uid="{00000000-0005-0000-0000-0000ED090000}"/>
    <cellStyle name="Normal 8 3 2 5" xfId="2588" xr:uid="{00000000-0005-0000-0000-0000EE090000}"/>
    <cellStyle name="Normal 8 3 2 6" xfId="2589" xr:uid="{00000000-0005-0000-0000-0000EF090000}"/>
    <cellStyle name="Normal 8 3 3" xfId="390" xr:uid="{00000000-0005-0000-0000-0000F0090000}"/>
    <cellStyle name="Normal 8 3 3 2" xfId="716" xr:uid="{00000000-0005-0000-0000-0000F1090000}"/>
    <cellStyle name="Normal 8 3 3 2 2" xfId="2590" xr:uid="{00000000-0005-0000-0000-0000F2090000}"/>
    <cellStyle name="Normal 8 3 3 2 3" xfId="2591" xr:uid="{00000000-0005-0000-0000-0000F3090000}"/>
    <cellStyle name="Normal 8 3 3 2 4" xfId="2592" xr:uid="{00000000-0005-0000-0000-0000F4090000}"/>
    <cellStyle name="Normal 8 3 3 3" xfId="2593" xr:uid="{00000000-0005-0000-0000-0000F5090000}"/>
    <cellStyle name="Normal 8 3 3 4" xfId="2594" xr:uid="{00000000-0005-0000-0000-0000F6090000}"/>
    <cellStyle name="Normal 8 3 3 5" xfId="2595" xr:uid="{00000000-0005-0000-0000-0000F7090000}"/>
    <cellStyle name="Normal 8 3 4" xfId="454" xr:uid="{00000000-0005-0000-0000-0000F8090000}"/>
    <cellStyle name="Normal 8 3 4 2" xfId="2596" xr:uid="{00000000-0005-0000-0000-0000F9090000}"/>
    <cellStyle name="Normal 8 3 4 3" xfId="2597" xr:uid="{00000000-0005-0000-0000-0000FA090000}"/>
    <cellStyle name="Normal 8 3 4 4" xfId="2598" xr:uid="{00000000-0005-0000-0000-0000FB090000}"/>
    <cellStyle name="Normal 8 3 5" xfId="2599" xr:uid="{00000000-0005-0000-0000-0000FC090000}"/>
    <cellStyle name="Normal 8 3 6" xfId="2600" xr:uid="{00000000-0005-0000-0000-0000FD090000}"/>
    <cellStyle name="Normal 8 3 7" xfId="2601" xr:uid="{00000000-0005-0000-0000-0000FE090000}"/>
    <cellStyle name="Normal 8 4" xfId="140" xr:uid="{00000000-0005-0000-0000-0000FF090000}"/>
    <cellStyle name="Normal 8 4 2" xfId="391" xr:uid="{00000000-0005-0000-0000-0000000A0000}"/>
    <cellStyle name="Normal 8 4 2 2" xfId="717" xr:uid="{00000000-0005-0000-0000-0000010A0000}"/>
    <cellStyle name="Normal 8 4 2 2 2" xfId="2602" xr:uid="{00000000-0005-0000-0000-0000020A0000}"/>
    <cellStyle name="Normal 8 4 2 2 3" xfId="2603" xr:uid="{00000000-0005-0000-0000-0000030A0000}"/>
    <cellStyle name="Normal 8 4 2 2 4" xfId="2604" xr:uid="{00000000-0005-0000-0000-0000040A0000}"/>
    <cellStyle name="Normal 8 4 2 3" xfId="2605" xr:uid="{00000000-0005-0000-0000-0000050A0000}"/>
    <cellStyle name="Normal 8 4 2 4" xfId="2606" xr:uid="{00000000-0005-0000-0000-0000060A0000}"/>
    <cellStyle name="Normal 8 4 2 5" xfId="2607" xr:uid="{00000000-0005-0000-0000-0000070A0000}"/>
    <cellStyle name="Normal 8 5" xfId="233" xr:uid="{00000000-0005-0000-0000-0000080A0000}"/>
    <cellStyle name="Normal 8 5 2" xfId="392" xr:uid="{00000000-0005-0000-0000-0000090A0000}"/>
    <cellStyle name="Normal 8 5 2 2" xfId="718" xr:uid="{00000000-0005-0000-0000-00000A0A0000}"/>
    <cellStyle name="Normal 8 5 2 2 2" xfId="2608" xr:uid="{00000000-0005-0000-0000-00000B0A0000}"/>
    <cellStyle name="Normal 8 5 2 2 3" xfId="2609" xr:uid="{00000000-0005-0000-0000-00000C0A0000}"/>
    <cellStyle name="Normal 8 5 2 2 4" xfId="2610" xr:uid="{00000000-0005-0000-0000-00000D0A0000}"/>
    <cellStyle name="Normal 8 5 2 3" xfId="2611" xr:uid="{00000000-0005-0000-0000-00000E0A0000}"/>
    <cellStyle name="Normal 8 5 2 4" xfId="2612" xr:uid="{00000000-0005-0000-0000-00000F0A0000}"/>
    <cellStyle name="Normal 8 5 2 5" xfId="2613" xr:uid="{00000000-0005-0000-0000-0000100A0000}"/>
    <cellStyle name="Normal 8 5 3" xfId="569" xr:uid="{00000000-0005-0000-0000-0000110A0000}"/>
    <cellStyle name="Normal 8 5 3 2" xfId="2614" xr:uid="{00000000-0005-0000-0000-0000120A0000}"/>
    <cellStyle name="Normal 8 5 3 3" xfId="2615" xr:uid="{00000000-0005-0000-0000-0000130A0000}"/>
    <cellStyle name="Normal 8 5 3 4" xfId="2616" xr:uid="{00000000-0005-0000-0000-0000140A0000}"/>
    <cellStyle name="Normal 8 5 4" xfId="2617" xr:uid="{00000000-0005-0000-0000-0000150A0000}"/>
    <cellStyle name="Normal 8 5 5" xfId="2618" xr:uid="{00000000-0005-0000-0000-0000160A0000}"/>
    <cellStyle name="Normal 8 5 6" xfId="2619" xr:uid="{00000000-0005-0000-0000-0000170A0000}"/>
    <cellStyle name="Normal 8 6" xfId="403" xr:uid="{00000000-0005-0000-0000-0000180A0000}"/>
    <cellStyle name="Normal 8 6 2" xfId="2620" xr:uid="{00000000-0005-0000-0000-0000190A0000}"/>
    <cellStyle name="Normal 8 6 3" xfId="2621" xr:uid="{00000000-0005-0000-0000-00001A0A0000}"/>
    <cellStyle name="Normal 8 6 4" xfId="2622" xr:uid="{00000000-0005-0000-0000-00001B0A0000}"/>
    <cellStyle name="Normal 8 7" xfId="417" xr:uid="{00000000-0005-0000-0000-00001C0A0000}"/>
    <cellStyle name="Normal 8 7 2" xfId="2623" xr:uid="{00000000-0005-0000-0000-00001D0A0000}"/>
    <cellStyle name="Normal 8 7 3" xfId="2624" xr:uid="{00000000-0005-0000-0000-00001E0A0000}"/>
    <cellStyle name="Normal 8 7 4" xfId="2625" xr:uid="{00000000-0005-0000-0000-00001F0A0000}"/>
    <cellStyle name="Normal 8 8" xfId="2626" xr:uid="{00000000-0005-0000-0000-0000200A0000}"/>
    <cellStyle name="Normal 8 8 2" xfId="2627" xr:uid="{00000000-0005-0000-0000-0000210A0000}"/>
    <cellStyle name="Normal 8 9" xfId="2628" xr:uid="{00000000-0005-0000-0000-0000220A0000}"/>
    <cellStyle name="Normal 9" xfId="7" xr:uid="{00000000-0005-0000-0000-0000230A0000}"/>
    <cellStyle name="Normal 9 10" xfId="2629" xr:uid="{00000000-0005-0000-0000-0000240A0000}"/>
    <cellStyle name="Normal 9 11" xfId="2630" xr:uid="{00000000-0005-0000-0000-0000250A0000}"/>
    <cellStyle name="Normal 9 12" xfId="2631" xr:uid="{00000000-0005-0000-0000-0000260A0000}"/>
    <cellStyle name="Normal 9 13" xfId="2632" xr:uid="{00000000-0005-0000-0000-0000270A0000}"/>
    <cellStyle name="Normal 9 2" xfId="36" xr:uid="{00000000-0005-0000-0000-0000280A0000}"/>
    <cellStyle name="Normal 9 2 2" xfId="75" xr:uid="{00000000-0005-0000-0000-0000290A0000}"/>
    <cellStyle name="Normal 9 2 2 2" xfId="234" xr:uid="{00000000-0005-0000-0000-00002A0A0000}"/>
    <cellStyle name="Normal 9 2 2 2 2" xfId="393" xr:uid="{00000000-0005-0000-0000-00002B0A0000}"/>
    <cellStyle name="Normal 9 2 2 2 2 2" xfId="719" xr:uid="{00000000-0005-0000-0000-00002C0A0000}"/>
    <cellStyle name="Normal 9 2 2 2 2 2 2" xfId="2633" xr:uid="{00000000-0005-0000-0000-00002D0A0000}"/>
    <cellStyle name="Normal 9 2 2 2 2 2 3" xfId="2634" xr:uid="{00000000-0005-0000-0000-00002E0A0000}"/>
    <cellStyle name="Normal 9 2 2 2 2 2 4" xfId="2635" xr:uid="{00000000-0005-0000-0000-00002F0A0000}"/>
    <cellStyle name="Normal 9 2 2 2 2 3" xfId="2636" xr:uid="{00000000-0005-0000-0000-0000300A0000}"/>
    <cellStyle name="Normal 9 2 2 2 2 4" xfId="2637" xr:uid="{00000000-0005-0000-0000-0000310A0000}"/>
    <cellStyle name="Normal 9 2 2 2 2 5" xfId="2638" xr:uid="{00000000-0005-0000-0000-0000320A0000}"/>
    <cellStyle name="Normal 9 2 2 2 3" xfId="570" xr:uid="{00000000-0005-0000-0000-0000330A0000}"/>
    <cellStyle name="Normal 9 2 2 2 3 2" xfId="2639" xr:uid="{00000000-0005-0000-0000-0000340A0000}"/>
    <cellStyle name="Normal 9 2 2 2 3 3" xfId="2640" xr:uid="{00000000-0005-0000-0000-0000350A0000}"/>
    <cellStyle name="Normal 9 2 2 2 3 4" xfId="2641" xr:uid="{00000000-0005-0000-0000-0000360A0000}"/>
    <cellStyle name="Normal 9 2 2 2 4" xfId="2642" xr:uid="{00000000-0005-0000-0000-0000370A0000}"/>
    <cellStyle name="Normal 9 2 2 2 5" xfId="2643" xr:uid="{00000000-0005-0000-0000-0000380A0000}"/>
    <cellStyle name="Normal 9 2 2 2 6" xfId="2644" xr:uid="{00000000-0005-0000-0000-0000390A0000}"/>
    <cellStyle name="Normal 9 2 2 3" xfId="394" xr:uid="{00000000-0005-0000-0000-00003A0A0000}"/>
    <cellStyle name="Normal 9 2 2 3 2" xfId="720" xr:uid="{00000000-0005-0000-0000-00003B0A0000}"/>
    <cellStyle name="Normal 9 2 2 3 2 2" xfId="2645" xr:uid="{00000000-0005-0000-0000-00003C0A0000}"/>
    <cellStyle name="Normal 9 2 2 3 2 3" xfId="2646" xr:uid="{00000000-0005-0000-0000-00003D0A0000}"/>
    <cellStyle name="Normal 9 2 2 3 2 4" xfId="2647" xr:uid="{00000000-0005-0000-0000-00003E0A0000}"/>
    <cellStyle name="Normal 9 2 2 3 3" xfId="2648" xr:uid="{00000000-0005-0000-0000-00003F0A0000}"/>
    <cellStyle name="Normal 9 2 2 3 4" xfId="2649" xr:uid="{00000000-0005-0000-0000-0000400A0000}"/>
    <cellStyle name="Normal 9 2 2 3 5" xfId="2650" xr:uid="{00000000-0005-0000-0000-0000410A0000}"/>
    <cellStyle name="Normal 9 2 2 4" xfId="475" xr:uid="{00000000-0005-0000-0000-0000420A0000}"/>
    <cellStyle name="Normal 9 2 2 4 2" xfId="2651" xr:uid="{00000000-0005-0000-0000-0000430A0000}"/>
    <cellStyle name="Normal 9 2 2 4 3" xfId="2652" xr:uid="{00000000-0005-0000-0000-0000440A0000}"/>
    <cellStyle name="Normal 9 2 2 4 4" xfId="2653" xr:uid="{00000000-0005-0000-0000-0000450A0000}"/>
    <cellStyle name="Normal 9 2 2 5" xfId="2654" xr:uid="{00000000-0005-0000-0000-0000460A0000}"/>
    <cellStyle name="Normal 9 2 2 6" xfId="2655" xr:uid="{00000000-0005-0000-0000-0000470A0000}"/>
    <cellStyle name="Normal 9 2 2 7" xfId="2656" xr:uid="{00000000-0005-0000-0000-0000480A0000}"/>
    <cellStyle name="Normal 9 2 3" xfId="235" xr:uid="{00000000-0005-0000-0000-0000490A0000}"/>
    <cellStyle name="Normal 9 2 3 2" xfId="395" xr:uid="{00000000-0005-0000-0000-00004A0A0000}"/>
    <cellStyle name="Normal 9 2 3 2 2" xfId="721" xr:uid="{00000000-0005-0000-0000-00004B0A0000}"/>
    <cellStyle name="Normal 9 2 3 2 2 2" xfId="2657" xr:uid="{00000000-0005-0000-0000-00004C0A0000}"/>
    <cellStyle name="Normal 9 2 3 2 2 3" xfId="2658" xr:uid="{00000000-0005-0000-0000-00004D0A0000}"/>
    <cellStyle name="Normal 9 2 3 2 2 4" xfId="2659" xr:uid="{00000000-0005-0000-0000-00004E0A0000}"/>
    <cellStyle name="Normal 9 2 3 2 3" xfId="2660" xr:uid="{00000000-0005-0000-0000-00004F0A0000}"/>
    <cellStyle name="Normal 9 2 3 2 4" xfId="2661" xr:uid="{00000000-0005-0000-0000-0000500A0000}"/>
    <cellStyle name="Normal 9 2 3 2 5" xfId="2662" xr:uid="{00000000-0005-0000-0000-0000510A0000}"/>
    <cellStyle name="Normal 9 2 3 3" xfId="571" xr:uid="{00000000-0005-0000-0000-0000520A0000}"/>
    <cellStyle name="Normal 9 2 3 3 2" xfId="2663" xr:uid="{00000000-0005-0000-0000-0000530A0000}"/>
    <cellStyle name="Normal 9 2 3 3 3" xfId="2664" xr:uid="{00000000-0005-0000-0000-0000540A0000}"/>
    <cellStyle name="Normal 9 2 3 3 4" xfId="2665" xr:uid="{00000000-0005-0000-0000-0000550A0000}"/>
    <cellStyle name="Normal 9 2 3 4" xfId="2666" xr:uid="{00000000-0005-0000-0000-0000560A0000}"/>
    <cellStyle name="Normal 9 2 3 4 2" xfId="2738" xr:uid="{00000000-0005-0000-0000-0000570A0000}"/>
    <cellStyle name="Normal 9 2 3 4 3" xfId="2759" xr:uid="{00000000-0005-0000-0000-0000580A0000}"/>
    <cellStyle name="Normal 9 2 3 5" xfId="2667" xr:uid="{00000000-0005-0000-0000-0000590A0000}"/>
    <cellStyle name="Normal 9 2 3 6" xfId="2668" xr:uid="{00000000-0005-0000-0000-00005A0A0000}"/>
    <cellStyle name="Normal 9 2 4" xfId="396" xr:uid="{00000000-0005-0000-0000-00005B0A0000}"/>
    <cellStyle name="Normal 9 2 4 2" xfId="722" xr:uid="{00000000-0005-0000-0000-00005C0A0000}"/>
    <cellStyle name="Normal 9 2 4 2 2" xfId="2669" xr:uid="{00000000-0005-0000-0000-00005D0A0000}"/>
    <cellStyle name="Normal 9 2 4 2 3" xfId="2670" xr:uid="{00000000-0005-0000-0000-00005E0A0000}"/>
    <cellStyle name="Normal 9 2 4 2 4" xfId="2671" xr:uid="{00000000-0005-0000-0000-00005F0A0000}"/>
    <cellStyle name="Normal 9 2 4 3" xfId="2672" xr:uid="{00000000-0005-0000-0000-0000600A0000}"/>
    <cellStyle name="Normal 9 2 4 4" xfId="2673" xr:uid="{00000000-0005-0000-0000-0000610A0000}"/>
    <cellStyle name="Normal 9 2 4 5" xfId="2674" xr:uid="{00000000-0005-0000-0000-0000620A0000}"/>
    <cellStyle name="Normal 9 2 5" xfId="438" xr:uid="{00000000-0005-0000-0000-0000630A0000}"/>
    <cellStyle name="Normal 9 2 5 2" xfId="2675" xr:uid="{00000000-0005-0000-0000-0000640A0000}"/>
    <cellStyle name="Normal 9 2 5 3" xfId="2676" xr:uid="{00000000-0005-0000-0000-0000650A0000}"/>
    <cellStyle name="Normal 9 2 5 4" xfId="2677" xr:uid="{00000000-0005-0000-0000-0000660A0000}"/>
    <cellStyle name="Normal 9 2 6" xfId="2678" xr:uid="{00000000-0005-0000-0000-0000670A0000}"/>
    <cellStyle name="Normal 9 2 7" xfId="2679" xr:uid="{00000000-0005-0000-0000-0000680A0000}"/>
    <cellStyle name="Normal 9 2 8" xfId="2680" xr:uid="{00000000-0005-0000-0000-0000690A0000}"/>
    <cellStyle name="Normal 9 3" xfId="57" xr:uid="{00000000-0005-0000-0000-00006A0A0000}"/>
    <cellStyle name="Normal 9 3 2" xfId="236" xr:uid="{00000000-0005-0000-0000-00006B0A0000}"/>
    <cellStyle name="Normal 9 3 2 2" xfId="397" xr:uid="{00000000-0005-0000-0000-00006C0A0000}"/>
    <cellStyle name="Normal 9 3 2 2 2" xfId="723" xr:uid="{00000000-0005-0000-0000-00006D0A0000}"/>
    <cellStyle name="Normal 9 3 2 2 2 2" xfId="2681" xr:uid="{00000000-0005-0000-0000-00006E0A0000}"/>
    <cellStyle name="Normal 9 3 2 2 2 3" xfId="2682" xr:uid="{00000000-0005-0000-0000-00006F0A0000}"/>
    <cellStyle name="Normal 9 3 2 2 2 4" xfId="2683" xr:uid="{00000000-0005-0000-0000-0000700A0000}"/>
    <cellStyle name="Normal 9 3 2 2 3" xfId="2684" xr:uid="{00000000-0005-0000-0000-0000710A0000}"/>
    <cellStyle name="Normal 9 3 2 2 4" xfId="2685" xr:uid="{00000000-0005-0000-0000-0000720A0000}"/>
    <cellStyle name="Normal 9 3 2 2 5" xfId="2686" xr:uid="{00000000-0005-0000-0000-0000730A0000}"/>
    <cellStyle name="Normal 9 3 2 3" xfId="572" xr:uid="{00000000-0005-0000-0000-0000740A0000}"/>
    <cellStyle name="Normal 9 3 2 3 2" xfId="2687" xr:uid="{00000000-0005-0000-0000-0000750A0000}"/>
    <cellStyle name="Normal 9 3 2 3 3" xfId="2688" xr:uid="{00000000-0005-0000-0000-0000760A0000}"/>
    <cellStyle name="Normal 9 3 2 3 4" xfId="2689" xr:uid="{00000000-0005-0000-0000-0000770A0000}"/>
    <cellStyle name="Normal 9 3 2 4" xfId="2690" xr:uid="{00000000-0005-0000-0000-0000780A0000}"/>
    <cellStyle name="Normal 9 3 2 5" xfId="2691" xr:uid="{00000000-0005-0000-0000-0000790A0000}"/>
    <cellStyle name="Normal 9 3 2 6" xfId="2692" xr:uid="{00000000-0005-0000-0000-00007A0A0000}"/>
    <cellStyle name="Normal 9 3 3" xfId="398" xr:uid="{00000000-0005-0000-0000-00007B0A0000}"/>
    <cellStyle name="Normal 9 3 3 2" xfId="724" xr:uid="{00000000-0005-0000-0000-00007C0A0000}"/>
    <cellStyle name="Normal 9 3 3 2 2" xfId="2693" xr:uid="{00000000-0005-0000-0000-00007D0A0000}"/>
    <cellStyle name="Normal 9 3 3 2 3" xfId="2694" xr:uid="{00000000-0005-0000-0000-00007E0A0000}"/>
    <cellStyle name="Normal 9 3 3 2 4" xfId="2695" xr:uid="{00000000-0005-0000-0000-00007F0A0000}"/>
    <cellStyle name="Normal 9 3 3 3" xfId="2696" xr:uid="{00000000-0005-0000-0000-0000800A0000}"/>
    <cellStyle name="Normal 9 3 3 4" xfId="2697" xr:uid="{00000000-0005-0000-0000-0000810A0000}"/>
    <cellStyle name="Normal 9 3 3 5" xfId="2698" xr:uid="{00000000-0005-0000-0000-0000820A0000}"/>
    <cellStyle name="Normal 9 3 4" xfId="457" xr:uid="{00000000-0005-0000-0000-0000830A0000}"/>
    <cellStyle name="Normal 9 3 4 2" xfId="2699" xr:uid="{00000000-0005-0000-0000-0000840A0000}"/>
    <cellStyle name="Normal 9 3 4 3" xfId="2700" xr:uid="{00000000-0005-0000-0000-0000850A0000}"/>
    <cellStyle name="Normal 9 3 4 4" xfId="2701" xr:uid="{00000000-0005-0000-0000-0000860A0000}"/>
    <cellStyle name="Normal 9 3 5" xfId="2702" xr:uid="{00000000-0005-0000-0000-0000870A0000}"/>
    <cellStyle name="Normal 9 3 6" xfId="2703" xr:uid="{00000000-0005-0000-0000-0000880A0000}"/>
    <cellStyle name="Normal 9 3 7" xfId="2704" xr:uid="{00000000-0005-0000-0000-0000890A0000}"/>
    <cellStyle name="Normal 9 4" xfId="237" xr:uid="{00000000-0005-0000-0000-00008A0A0000}"/>
    <cellStyle name="Normal 9 4 2" xfId="399" xr:uid="{00000000-0005-0000-0000-00008B0A0000}"/>
    <cellStyle name="Normal 9 4 2 2" xfId="725" xr:uid="{00000000-0005-0000-0000-00008C0A0000}"/>
    <cellStyle name="Normal 9 4 2 2 2" xfId="2705" xr:uid="{00000000-0005-0000-0000-00008D0A0000}"/>
    <cellStyle name="Normal 9 4 2 2 3" xfId="2706" xr:uid="{00000000-0005-0000-0000-00008E0A0000}"/>
    <cellStyle name="Normal 9 4 2 2 4" xfId="2707" xr:uid="{00000000-0005-0000-0000-00008F0A0000}"/>
    <cellStyle name="Normal 9 4 2 3" xfId="2708" xr:uid="{00000000-0005-0000-0000-0000900A0000}"/>
    <cellStyle name="Normal 9 4 2 4" xfId="2709" xr:uid="{00000000-0005-0000-0000-0000910A0000}"/>
    <cellStyle name="Normal 9 4 2 5" xfId="2710" xr:uid="{00000000-0005-0000-0000-0000920A0000}"/>
    <cellStyle name="Normal 9 4 3" xfId="573" xr:uid="{00000000-0005-0000-0000-0000930A0000}"/>
    <cellStyle name="Normal 9 4 3 2" xfId="2711" xr:uid="{00000000-0005-0000-0000-0000940A0000}"/>
    <cellStyle name="Normal 9 4 3 3" xfId="2712" xr:uid="{00000000-0005-0000-0000-0000950A0000}"/>
    <cellStyle name="Normal 9 4 3 4" xfId="2713" xr:uid="{00000000-0005-0000-0000-0000960A0000}"/>
    <cellStyle name="Normal 9 4 4" xfId="2714" xr:uid="{00000000-0005-0000-0000-0000970A0000}"/>
    <cellStyle name="Normal 9 4 5" xfId="2715" xr:uid="{00000000-0005-0000-0000-0000980A0000}"/>
    <cellStyle name="Normal 9 4 6" xfId="2716" xr:uid="{00000000-0005-0000-0000-0000990A0000}"/>
    <cellStyle name="Normal 9 5" xfId="400" xr:uid="{00000000-0005-0000-0000-00009A0A0000}"/>
    <cellStyle name="Normal 9 5 2" xfId="726" xr:uid="{00000000-0005-0000-0000-00009B0A0000}"/>
    <cellStyle name="Normal 9 5 2 2" xfId="2717" xr:uid="{00000000-0005-0000-0000-00009C0A0000}"/>
    <cellStyle name="Normal 9 5 2 3" xfId="2718" xr:uid="{00000000-0005-0000-0000-00009D0A0000}"/>
    <cellStyle name="Normal 9 5 2 4" xfId="2719" xr:uid="{00000000-0005-0000-0000-00009E0A0000}"/>
    <cellStyle name="Normal 9 5 3" xfId="2720" xr:uid="{00000000-0005-0000-0000-00009F0A0000}"/>
    <cellStyle name="Normal 9 5 4" xfId="2721" xr:uid="{00000000-0005-0000-0000-0000A00A0000}"/>
    <cellStyle name="Normal 9 5 5" xfId="2722" xr:uid="{00000000-0005-0000-0000-0000A10A0000}"/>
    <cellStyle name="Normal 9 6" xfId="406" xr:uid="{00000000-0005-0000-0000-0000A20A0000}"/>
    <cellStyle name="Normal 9 6 2" xfId="2723" xr:uid="{00000000-0005-0000-0000-0000A30A0000}"/>
    <cellStyle name="Normal 9 6 3" xfId="2724" xr:uid="{00000000-0005-0000-0000-0000A40A0000}"/>
    <cellStyle name="Normal 9 6 4" xfId="2725" xr:uid="{00000000-0005-0000-0000-0000A50A0000}"/>
    <cellStyle name="Normal 9 7" xfId="420" xr:uid="{00000000-0005-0000-0000-0000A60A0000}"/>
    <cellStyle name="Normal 9 7 2" xfId="2726" xr:uid="{00000000-0005-0000-0000-0000A70A0000}"/>
    <cellStyle name="Normal 9 7 3" xfId="2727" xr:uid="{00000000-0005-0000-0000-0000A80A0000}"/>
    <cellStyle name="Normal 9 7 4" xfId="2728" xr:uid="{00000000-0005-0000-0000-0000A90A0000}"/>
    <cellStyle name="Normal 9 8" xfId="2729" xr:uid="{00000000-0005-0000-0000-0000AA0A0000}"/>
    <cellStyle name="Normal 9 9" xfId="2730" xr:uid="{00000000-0005-0000-0000-0000AB0A0000}"/>
    <cellStyle name="Normal_2595StoveFRCost" xfId="401" xr:uid="{00000000-0005-0000-0000-0000AC0A0000}"/>
    <cellStyle name="Normal_Sheet2" xfId="22" xr:uid="{00000000-0005-0000-0000-0000AD0A0000}"/>
    <cellStyle name="Note 2" xfId="134" xr:uid="{00000000-0005-0000-0000-0000AE0A0000}"/>
    <cellStyle name="Note 2 2" xfId="2731" xr:uid="{00000000-0005-0000-0000-0000AF0A0000}"/>
    <cellStyle name="Output 2" xfId="135" xr:uid="{00000000-0005-0000-0000-0000B00A0000}"/>
    <cellStyle name="Output 2 2" xfId="740" xr:uid="{00000000-0005-0000-0000-0000B10A0000}"/>
    <cellStyle name="Per cent 2" xfId="240" xr:uid="{00000000-0005-0000-0000-0000B20A0000}"/>
    <cellStyle name="Per cent 2 2" xfId="243" xr:uid="{00000000-0005-0000-0000-0000B30A0000}"/>
    <cellStyle name="Percent" xfId="2" builtinId="5"/>
    <cellStyle name="Percent 10" xfId="96" xr:uid="{00000000-0005-0000-0000-0000B50A0000}"/>
    <cellStyle name="Percent 10 2" xfId="776" xr:uid="{00000000-0005-0000-0000-0000B60A0000}"/>
    <cellStyle name="Percent 15" xfId="777" xr:uid="{00000000-0005-0000-0000-0000B70A0000}"/>
    <cellStyle name="Percent 2" xfId="52" xr:uid="{00000000-0005-0000-0000-0000B80A0000}"/>
    <cellStyle name="Percent 2 2" xfId="741" xr:uid="{00000000-0005-0000-0000-0000B90A0000}"/>
    <cellStyle name="Percent 2 2 2" xfId="742" xr:uid="{00000000-0005-0000-0000-0000BA0A0000}"/>
    <cellStyle name="Percent 2 2 3" xfId="743" xr:uid="{00000000-0005-0000-0000-0000BB0A0000}"/>
    <cellStyle name="Percent 2 2 4" xfId="744" xr:uid="{00000000-0005-0000-0000-0000BC0A0000}"/>
    <cellStyle name="Percent 2 3" xfId="745" xr:uid="{00000000-0005-0000-0000-0000BD0A0000}"/>
    <cellStyle name="Percent 2 4" xfId="746" xr:uid="{00000000-0005-0000-0000-0000BE0A0000}"/>
    <cellStyle name="Percent 2 5" xfId="747" xr:uid="{00000000-0005-0000-0000-0000BF0A0000}"/>
    <cellStyle name="Percent 2 6" xfId="748" xr:uid="{00000000-0005-0000-0000-0000C00A0000}"/>
    <cellStyle name="Percent 3" xfId="14" xr:uid="{00000000-0005-0000-0000-0000C10A0000}"/>
    <cellStyle name="Percent 4" xfId="778" xr:uid="{00000000-0005-0000-0000-0000C20A0000}"/>
    <cellStyle name="Percent 4 2" xfId="749" xr:uid="{00000000-0005-0000-0000-0000C30A0000}"/>
    <cellStyle name="Percent 5" xfId="779" xr:uid="{00000000-0005-0000-0000-0000C40A0000}"/>
    <cellStyle name="Percent 6" xfId="780" xr:uid="{00000000-0005-0000-0000-0000C50A0000}"/>
    <cellStyle name="Title 2" xfId="136" xr:uid="{00000000-0005-0000-0000-0000C60A0000}"/>
    <cellStyle name="Total 2" xfId="137" xr:uid="{00000000-0005-0000-0000-0000C70A0000}"/>
    <cellStyle name="Total 2 2" xfId="750" xr:uid="{00000000-0005-0000-0000-0000C80A0000}"/>
    <cellStyle name="Warning Text 2" xfId="138" xr:uid="{00000000-0005-0000-0000-0000C90A0000}"/>
    <cellStyle name="常规_Sheet4_1" xfId="781" xr:uid="{00000000-0005-0000-0000-0000CA0A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4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4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4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4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4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4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0</xdr:colOff>
      <xdr:row>1</xdr:row>
      <xdr:rowOff>0</xdr:rowOff>
    </xdr:from>
    <xdr:to>
      <xdr:col>34</xdr:col>
      <xdr:colOff>714375</xdr:colOff>
      <xdr:row>3</xdr:row>
      <xdr:rowOff>114300</xdr:rowOff>
    </xdr:to>
    <xdr:pic>
      <xdr:nvPicPr>
        <xdr:cNvPr id="2" name="Picture 3" descr="logo_dashboard">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705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avindra\Assignments\AI%20Data\4964_C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SP\4252%20oxygen%20enrich%20BF3\4252-Aug'22%20GM%20C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TE\Ravindra\Assignments\DSP\4964%20%20Relining%20of%20Stoves%20of%20BF%233%20DSP\Working%20File%2040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cost"/>
      <sheetName val="Escalation"/>
      <sheetName val="CC"/>
      <sheetName val="GM"/>
      <sheetName val="cash flow (Old)"/>
      <sheetName val="FA"/>
      <sheetName val="Gross Margin(Pre revised)"/>
      <sheetName val="CashFlow"/>
      <sheetName val="Gross Margin"/>
      <sheetName val="Cash Flow"/>
      <sheetName val="Fin. Summary"/>
      <sheetName val="MoM"/>
      <sheetName val="Pkg Cost"/>
      <sheetName val="Pie Chart"/>
      <sheetName val="CTE Rate"/>
      <sheetName val="Scope change from R1"/>
      <sheetName val="Civil scope change from R1"/>
      <sheetName val="Sheet1"/>
    </sheetNames>
    <sheetDataSet>
      <sheetData sheetId="0"/>
      <sheetData sheetId="1">
        <row r="18">
          <cell r="F18">
            <v>1.1231178033658105</v>
          </cell>
        </row>
        <row r="19">
          <cell r="F19">
            <v>1.1161971830985915</v>
          </cell>
        </row>
        <row r="20">
          <cell r="F20">
            <v>1.0987868284228768</v>
          </cell>
        </row>
        <row r="21">
          <cell r="F21">
            <v>1.0427631578947369</v>
          </cell>
        </row>
        <row r="22">
          <cell r="F22">
            <v>1.0736663844199832</v>
          </cell>
        </row>
        <row r="23">
          <cell r="F23">
            <v>1.0393442622950819</v>
          </cell>
        </row>
        <row r="25">
          <cell r="F25">
            <v>1.1201413427561837</v>
          </cell>
        </row>
        <row r="26">
          <cell r="F26">
            <v>1.0152121697357885</v>
          </cell>
        </row>
        <row r="27">
          <cell r="F27">
            <v>1.1433724075743912</v>
          </cell>
        </row>
        <row r="28">
          <cell r="F28">
            <v>1.0742049469964663</v>
          </cell>
        </row>
        <row r="29">
          <cell r="F29">
            <v>1.0987868284228768</v>
          </cell>
        </row>
        <row r="30">
          <cell r="F30">
            <v>1.1221238938053097</v>
          </cell>
        </row>
        <row r="45">
          <cell r="F45">
            <v>1.2446280991735537</v>
          </cell>
        </row>
        <row r="46">
          <cell r="F46">
            <v>1.1756440281030445</v>
          </cell>
        </row>
        <row r="47">
          <cell r="F47">
            <v>1.1331828442437923</v>
          </cell>
        </row>
        <row r="48">
          <cell r="F48">
            <v>1.0480167014613779</v>
          </cell>
        </row>
        <row r="82">
          <cell r="F82">
            <v>1.0675067506750675</v>
          </cell>
        </row>
        <row r="83">
          <cell r="F83">
            <v>0.99580184718723763</v>
          </cell>
        </row>
        <row r="84">
          <cell r="F84">
            <v>1.0162810625535561</v>
          </cell>
        </row>
        <row r="85">
          <cell r="F85">
            <v>0.98915763135946611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Capcost"/>
      <sheetName val="GM"/>
      <sheetName val="cash flow"/>
      <sheetName val="FA"/>
      <sheetName val="Pkg Cost"/>
      <sheetName val="MOM"/>
    </sheetNames>
    <sheetDataSet>
      <sheetData sheetId="0"/>
      <sheetData sheetId="1">
        <row r="17">
          <cell r="AZ17">
            <v>6.453910237453484</v>
          </cell>
        </row>
        <row r="101">
          <cell r="K101" t="str">
            <v>DURGAPUR STEEL PLANT</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capcost(GST)"/>
      <sheetName val="TE"/>
      <sheetName val="cashflow"/>
      <sheetName val="Finan.summary"/>
      <sheetName val="MOM"/>
      <sheetName val="Initial MOM"/>
      <sheetName val="Comp"/>
      <sheetName val="Basis Pollution"/>
      <sheetName val="Capcost Pollution"/>
      <sheetName val="ccfg3&amp;4"/>
    </sheetNames>
    <sheetDataSet>
      <sheetData sheetId="0"/>
      <sheetData sheetId="1">
        <row r="1">
          <cell r="E1" t="str">
            <v>S T E E L   A U T H O R I T Y   OF   I N D I A    L I M I T E D</v>
          </cell>
        </row>
        <row r="10">
          <cell r="BK10">
            <v>0</v>
          </cell>
        </row>
        <row r="11">
          <cell r="BK11">
            <v>0</v>
          </cell>
        </row>
        <row r="12">
          <cell r="BK12">
            <v>0</v>
          </cell>
        </row>
        <row r="14">
          <cell r="BK14">
            <v>0</v>
          </cell>
        </row>
      </sheetData>
      <sheetData sheetId="2"/>
      <sheetData sheetId="3"/>
      <sheetData sheetId="4">
        <row r="24">
          <cell r="E24">
            <v>1</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7" Type="http://schemas.openxmlformats.org/officeDocument/2006/relationships/drawing" Target="../drawings/drawing2.xm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printerSettings" Target="../printerSettings/printerSettings5.bin"/><Relationship Id="rId5" Type="http://schemas.openxmlformats.org/officeDocument/2006/relationships/hyperlink" Target="mailto:=@if(+N10*$K$11*$K$12%3e0,n10*$K$11*$K$12,0)" TargetMode="External"/><Relationship Id="rId4" Type="http://schemas.openxmlformats.org/officeDocument/2006/relationships/hyperlink" Target="mailto:=@if(+N10*$K$11*$K$12%3e0,n10*$K$11*$K$12,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2"/>
  <sheetViews>
    <sheetView showZeros="0" zoomScale="86" zoomScaleNormal="86" workbookViewId="0">
      <selection activeCell="E154" sqref="E154"/>
    </sheetView>
  </sheetViews>
  <sheetFormatPr defaultColWidth="8.88671875" defaultRowHeight="15" x14ac:dyDescent="0.2"/>
  <cols>
    <col min="1" max="1" width="3.44140625" style="805" customWidth="1"/>
    <col min="2" max="2" width="33.109375" style="113" customWidth="1"/>
    <col min="3" max="3" width="6.21875" style="113" customWidth="1"/>
    <col min="4" max="4" width="8.109375" style="866" customWidth="1"/>
    <col min="5" max="5" width="14.109375" style="113" customWidth="1"/>
    <col min="6" max="6" width="13.6640625" style="113" customWidth="1"/>
    <col min="7" max="7" width="13.21875" style="113" customWidth="1"/>
    <col min="8" max="8" width="13.44140625" style="113" customWidth="1"/>
    <col min="9" max="9" width="39.5546875" style="113" customWidth="1"/>
    <col min="10" max="10" width="29.21875" style="113" customWidth="1"/>
    <col min="11" max="11" width="44.5546875" style="113" customWidth="1"/>
    <col min="12" max="12" width="14" style="113" customWidth="1"/>
    <col min="13" max="13" width="15.109375" style="113" customWidth="1"/>
    <col min="14" max="14" width="16.33203125" style="113" customWidth="1"/>
    <col min="15" max="15" width="9" style="113" bestFit="1" customWidth="1"/>
    <col min="16" max="256" width="8.88671875" style="113"/>
    <col min="257" max="257" width="3.44140625" style="113" customWidth="1"/>
    <col min="258" max="258" width="33.109375" style="113" customWidth="1"/>
    <col min="259" max="259" width="6.21875" style="113" customWidth="1"/>
    <col min="260" max="260" width="8.109375" style="113" customWidth="1"/>
    <col min="261" max="261" width="14.109375" style="113" customWidth="1"/>
    <col min="262" max="262" width="13.6640625" style="113" customWidth="1"/>
    <col min="263" max="263" width="13.21875" style="113" customWidth="1"/>
    <col min="264" max="264" width="13.44140625" style="113" customWidth="1"/>
    <col min="265" max="265" width="39.5546875" style="113" customWidth="1"/>
    <col min="266" max="266" width="26" style="113" customWidth="1"/>
    <col min="267" max="267" width="44.5546875" style="113" customWidth="1"/>
    <col min="268" max="268" width="14" style="113" customWidth="1"/>
    <col min="269" max="269" width="15.109375" style="113" customWidth="1"/>
    <col min="270" max="270" width="16.33203125" style="113" customWidth="1"/>
    <col min="271" max="271" width="9" style="113" bestFit="1" customWidth="1"/>
    <col min="272" max="512" width="8.88671875" style="113"/>
    <col min="513" max="513" width="3.44140625" style="113" customWidth="1"/>
    <col min="514" max="514" width="33.109375" style="113" customWidth="1"/>
    <col min="515" max="515" width="6.21875" style="113" customWidth="1"/>
    <col min="516" max="516" width="8.109375" style="113" customWidth="1"/>
    <col min="517" max="517" width="14.109375" style="113" customWidth="1"/>
    <col min="518" max="518" width="13.6640625" style="113" customWidth="1"/>
    <col min="519" max="519" width="13.21875" style="113" customWidth="1"/>
    <col min="520" max="520" width="13.44140625" style="113" customWidth="1"/>
    <col min="521" max="521" width="39.5546875" style="113" customWidth="1"/>
    <col min="522" max="522" width="26" style="113" customWidth="1"/>
    <col min="523" max="523" width="44.5546875" style="113" customWidth="1"/>
    <col min="524" max="524" width="14" style="113" customWidth="1"/>
    <col min="525" max="525" width="15.109375" style="113" customWidth="1"/>
    <col min="526" max="526" width="16.33203125" style="113" customWidth="1"/>
    <col min="527" max="527" width="9" style="113" bestFit="1" customWidth="1"/>
    <col min="528" max="768" width="8.88671875" style="113"/>
    <col min="769" max="769" width="3.44140625" style="113" customWidth="1"/>
    <col min="770" max="770" width="33.109375" style="113" customWidth="1"/>
    <col min="771" max="771" width="6.21875" style="113" customWidth="1"/>
    <col min="772" max="772" width="8.109375" style="113" customWidth="1"/>
    <col min="773" max="773" width="14.109375" style="113" customWidth="1"/>
    <col min="774" max="774" width="13.6640625" style="113" customWidth="1"/>
    <col min="775" max="775" width="13.21875" style="113" customWidth="1"/>
    <col min="776" max="776" width="13.44140625" style="113" customWidth="1"/>
    <col min="777" max="777" width="39.5546875" style="113" customWidth="1"/>
    <col min="778" max="778" width="26" style="113" customWidth="1"/>
    <col min="779" max="779" width="44.5546875" style="113" customWidth="1"/>
    <col min="780" max="780" width="14" style="113" customWidth="1"/>
    <col min="781" max="781" width="15.109375" style="113" customWidth="1"/>
    <col min="782" max="782" width="16.33203125" style="113" customWidth="1"/>
    <col min="783" max="783" width="9" style="113" bestFit="1" customWidth="1"/>
    <col min="784" max="1024" width="8.88671875" style="113"/>
    <col min="1025" max="1025" width="3.44140625" style="113" customWidth="1"/>
    <col min="1026" max="1026" width="33.109375" style="113" customWidth="1"/>
    <col min="1027" max="1027" width="6.21875" style="113" customWidth="1"/>
    <col min="1028" max="1028" width="8.109375" style="113" customWidth="1"/>
    <col min="1029" max="1029" width="14.109375" style="113" customWidth="1"/>
    <col min="1030" max="1030" width="13.6640625" style="113" customWidth="1"/>
    <col min="1031" max="1031" width="13.21875" style="113" customWidth="1"/>
    <col min="1032" max="1032" width="13.44140625" style="113" customWidth="1"/>
    <col min="1033" max="1033" width="39.5546875" style="113" customWidth="1"/>
    <col min="1034" max="1034" width="26" style="113" customWidth="1"/>
    <col min="1035" max="1035" width="44.5546875" style="113" customWidth="1"/>
    <col min="1036" max="1036" width="14" style="113" customWidth="1"/>
    <col min="1037" max="1037" width="15.109375" style="113" customWidth="1"/>
    <col min="1038" max="1038" width="16.33203125" style="113" customWidth="1"/>
    <col min="1039" max="1039" width="9" style="113" bestFit="1" customWidth="1"/>
    <col min="1040" max="1280" width="8.88671875" style="113"/>
    <col min="1281" max="1281" width="3.44140625" style="113" customWidth="1"/>
    <col min="1282" max="1282" width="33.109375" style="113" customWidth="1"/>
    <col min="1283" max="1283" width="6.21875" style="113" customWidth="1"/>
    <col min="1284" max="1284" width="8.109375" style="113" customWidth="1"/>
    <col min="1285" max="1285" width="14.109375" style="113" customWidth="1"/>
    <col min="1286" max="1286" width="13.6640625" style="113" customWidth="1"/>
    <col min="1287" max="1287" width="13.21875" style="113" customWidth="1"/>
    <col min="1288" max="1288" width="13.44140625" style="113" customWidth="1"/>
    <col min="1289" max="1289" width="39.5546875" style="113" customWidth="1"/>
    <col min="1290" max="1290" width="26" style="113" customWidth="1"/>
    <col min="1291" max="1291" width="44.5546875" style="113" customWidth="1"/>
    <col min="1292" max="1292" width="14" style="113" customWidth="1"/>
    <col min="1293" max="1293" width="15.109375" style="113" customWidth="1"/>
    <col min="1294" max="1294" width="16.33203125" style="113" customWidth="1"/>
    <col min="1295" max="1295" width="9" style="113" bestFit="1" customWidth="1"/>
    <col min="1296" max="1536" width="8.88671875" style="113"/>
    <col min="1537" max="1537" width="3.44140625" style="113" customWidth="1"/>
    <col min="1538" max="1538" width="33.109375" style="113" customWidth="1"/>
    <col min="1539" max="1539" width="6.21875" style="113" customWidth="1"/>
    <col min="1540" max="1540" width="8.109375" style="113" customWidth="1"/>
    <col min="1541" max="1541" width="14.109375" style="113" customWidth="1"/>
    <col min="1542" max="1542" width="13.6640625" style="113" customWidth="1"/>
    <col min="1543" max="1543" width="13.21875" style="113" customWidth="1"/>
    <col min="1544" max="1544" width="13.44140625" style="113" customWidth="1"/>
    <col min="1545" max="1545" width="39.5546875" style="113" customWidth="1"/>
    <col min="1546" max="1546" width="26" style="113" customWidth="1"/>
    <col min="1547" max="1547" width="44.5546875" style="113" customWidth="1"/>
    <col min="1548" max="1548" width="14" style="113" customWidth="1"/>
    <col min="1549" max="1549" width="15.109375" style="113" customWidth="1"/>
    <col min="1550" max="1550" width="16.33203125" style="113" customWidth="1"/>
    <col min="1551" max="1551" width="9" style="113" bestFit="1" customWidth="1"/>
    <col min="1552" max="1792" width="8.88671875" style="113"/>
    <col min="1793" max="1793" width="3.44140625" style="113" customWidth="1"/>
    <col min="1794" max="1794" width="33.109375" style="113" customWidth="1"/>
    <col min="1795" max="1795" width="6.21875" style="113" customWidth="1"/>
    <col min="1796" max="1796" width="8.109375" style="113" customWidth="1"/>
    <col min="1797" max="1797" width="14.109375" style="113" customWidth="1"/>
    <col min="1798" max="1798" width="13.6640625" style="113" customWidth="1"/>
    <col min="1799" max="1799" width="13.21875" style="113" customWidth="1"/>
    <col min="1800" max="1800" width="13.44140625" style="113" customWidth="1"/>
    <col min="1801" max="1801" width="39.5546875" style="113" customWidth="1"/>
    <col min="1802" max="1802" width="26" style="113" customWidth="1"/>
    <col min="1803" max="1803" width="44.5546875" style="113" customWidth="1"/>
    <col min="1804" max="1804" width="14" style="113" customWidth="1"/>
    <col min="1805" max="1805" width="15.109375" style="113" customWidth="1"/>
    <col min="1806" max="1806" width="16.33203125" style="113" customWidth="1"/>
    <col min="1807" max="1807" width="9" style="113" bestFit="1" customWidth="1"/>
    <col min="1808" max="2048" width="8.88671875" style="113"/>
    <col min="2049" max="2049" width="3.44140625" style="113" customWidth="1"/>
    <col min="2050" max="2050" width="33.109375" style="113" customWidth="1"/>
    <col min="2051" max="2051" width="6.21875" style="113" customWidth="1"/>
    <col min="2052" max="2052" width="8.109375" style="113" customWidth="1"/>
    <col min="2053" max="2053" width="14.109375" style="113" customWidth="1"/>
    <col min="2054" max="2054" width="13.6640625" style="113" customWidth="1"/>
    <col min="2055" max="2055" width="13.21875" style="113" customWidth="1"/>
    <col min="2056" max="2056" width="13.44140625" style="113" customWidth="1"/>
    <col min="2057" max="2057" width="39.5546875" style="113" customWidth="1"/>
    <col min="2058" max="2058" width="26" style="113" customWidth="1"/>
    <col min="2059" max="2059" width="44.5546875" style="113" customWidth="1"/>
    <col min="2060" max="2060" width="14" style="113" customWidth="1"/>
    <col min="2061" max="2061" width="15.109375" style="113" customWidth="1"/>
    <col min="2062" max="2062" width="16.33203125" style="113" customWidth="1"/>
    <col min="2063" max="2063" width="9" style="113" bestFit="1" customWidth="1"/>
    <col min="2064" max="2304" width="8.88671875" style="113"/>
    <col min="2305" max="2305" width="3.44140625" style="113" customWidth="1"/>
    <col min="2306" max="2306" width="33.109375" style="113" customWidth="1"/>
    <col min="2307" max="2307" width="6.21875" style="113" customWidth="1"/>
    <col min="2308" max="2308" width="8.109375" style="113" customWidth="1"/>
    <col min="2309" max="2309" width="14.109375" style="113" customWidth="1"/>
    <col min="2310" max="2310" width="13.6640625" style="113" customWidth="1"/>
    <col min="2311" max="2311" width="13.21875" style="113" customWidth="1"/>
    <col min="2312" max="2312" width="13.44140625" style="113" customWidth="1"/>
    <col min="2313" max="2313" width="39.5546875" style="113" customWidth="1"/>
    <col min="2314" max="2314" width="26" style="113" customWidth="1"/>
    <col min="2315" max="2315" width="44.5546875" style="113" customWidth="1"/>
    <col min="2316" max="2316" width="14" style="113" customWidth="1"/>
    <col min="2317" max="2317" width="15.109375" style="113" customWidth="1"/>
    <col min="2318" max="2318" width="16.33203125" style="113" customWidth="1"/>
    <col min="2319" max="2319" width="9" style="113" bestFit="1" customWidth="1"/>
    <col min="2320" max="2560" width="8.88671875" style="113"/>
    <col min="2561" max="2561" width="3.44140625" style="113" customWidth="1"/>
    <col min="2562" max="2562" width="33.109375" style="113" customWidth="1"/>
    <col min="2563" max="2563" width="6.21875" style="113" customWidth="1"/>
    <col min="2564" max="2564" width="8.109375" style="113" customWidth="1"/>
    <col min="2565" max="2565" width="14.109375" style="113" customWidth="1"/>
    <col min="2566" max="2566" width="13.6640625" style="113" customWidth="1"/>
    <col min="2567" max="2567" width="13.21875" style="113" customWidth="1"/>
    <col min="2568" max="2568" width="13.44140625" style="113" customWidth="1"/>
    <col min="2569" max="2569" width="39.5546875" style="113" customWidth="1"/>
    <col min="2570" max="2570" width="26" style="113" customWidth="1"/>
    <col min="2571" max="2571" width="44.5546875" style="113" customWidth="1"/>
    <col min="2572" max="2572" width="14" style="113" customWidth="1"/>
    <col min="2573" max="2573" width="15.109375" style="113" customWidth="1"/>
    <col min="2574" max="2574" width="16.33203125" style="113" customWidth="1"/>
    <col min="2575" max="2575" width="9" style="113" bestFit="1" customWidth="1"/>
    <col min="2576" max="2816" width="8.88671875" style="113"/>
    <col min="2817" max="2817" width="3.44140625" style="113" customWidth="1"/>
    <col min="2818" max="2818" width="33.109375" style="113" customWidth="1"/>
    <col min="2819" max="2819" width="6.21875" style="113" customWidth="1"/>
    <col min="2820" max="2820" width="8.109375" style="113" customWidth="1"/>
    <col min="2821" max="2821" width="14.109375" style="113" customWidth="1"/>
    <col min="2822" max="2822" width="13.6640625" style="113" customWidth="1"/>
    <col min="2823" max="2823" width="13.21875" style="113" customWidth="1"/>
    <col min="2824" max="2824" width="13.44140625" style="113" customWidth="1"/>
    <col min="2825" max="2825" width="39.5546875" style="113" customWidth="1"/>
    <col min="2826" max="2826" width="26" style="113" customWidth="1"/>
    <col min="2827" max="2827" width="44.5546875" style="113" customWidth="1"/>
    <col min="2828" max="2828" width="14" style="113" customWidth="1"/>
    <col min="2829" max="2829" width="15.109375" style="113" customWidth="1"/>
    <col min="2830" max="2830" width="16.33203125" style="113" customWidth="1"/>
    <col min="2831" max="2831" width="9" style="113" bestFit="1" customWidth="1"/>
    <col min="2832" max="3072" width="8.88671875" style="113"/>
    <col min="3073" max="3073" width="3.44140625" style="113" customWidth="1"/>
    <col min="3074" max="3074" width="33.109375" style="113" customWidth="1"/>
    <col min="3075" max="3075" width="6.21875" style="113" customWidth="1"/>
    <col min="3076" max="3076" width="8.109375" style="113" customWidth="1"/>
    <col min="3077" max="3077" width="14.109375" style="113" customWidth="1"/>
    <col min="3078" max="3078" width="13.6640625" style="113" customWidth="1"/>
    <col min="3079" max="3079" width="13.21875" style="113" customWidth="1"/>
    <col min="3080" max="3080" width="13.44140625" style="113" customWidth="1"/>
    <col min="3081" max="3081" width="39.5546875" style="113" customWidth="1"/>
    <col min="3082" max="3082" width="26" style="113" customWidth="1"/>
    <col min="3083" max="3083" width="44.5546875" style="113" customWidth="1"/>
    <col min="3084" max="3084" width="14" style="113" customWidth="1"/>
    <col min="3085" max="3085" width="15.109375" style="113" customWidth="1"/>
    <col min="3086" max="3086" width="16.33203125" style="113" customWidth="1"/>
    <col min="3087" max="3087" width="9" style="113" bestFit="1" customWidth="1"/>
    <col min="3088" max="3328" width="8.88671875" style="113"/>
    <col min="3329" max="3329" width="3.44140625" style="113" customWidth="1"/>
    <col min="3330" max="3330" width="33.109375" style="113" customWidth="1"/>
    <col min="3331" max="3331" width="6.21875" style="113" customWidth="1"/>
    <col min="3332" max="3332" width="8.109375" style="113" customWidth="1"/>
    <col min="3333" max="3333" width="14.109375" style="113" customWidth="1"/>
    <col min="3334" max="3334" width="13.6640625" style="113" customWidth="1"/>
    <col min="3335" max="3335" width="13.21875" style="113" customWidth="1"/>
    <col min="3336" max="3336" width="13.44140625" style="113" customWidth="1"/>
    <col min="3337" max="3337" width="39.5546875" style="113" customWidth="1"/>
    <col min="3338" max="3338" width="26" style="113" customWidth="1"/>
    <col min="3339" max="3339" width="44.5546875" style="113" customWidth="1"/>
    <col min="3340" max="3340" width="14" style="113" customWidth="1"/>
    <col min="3341" max="3341" width="15.109375" style="113" customWidth="1"/>
    <col min="3342" max="3342" width="16.33203125" style="113" customWidth="1"/>
    <col min="3343" max="3343" width="9" style="113" bestFit="1" customWidth="1"/>
    <col min="3344" max="3584" width="8.88671875" style="113"/>
    <col min="3585" max="3585" width="3.44140625" style="113" customWidth="1"/>
    <col min="3586" max="3586" width="33.109375" style="113" customWidth="1"/>
    <col min="3587" max="3587" width="6.21875" style="113" customWidth="1"/>
    <col min="3588" max="3588" width="8.109375" style="113" customWidth="1"/>
    <col min="3589" max="3589" width="14.109375" style="113" customWidth="1"/>
    <col min="3590" max="3590" width="13.6640625" style="113" customWidth="1"/>
    <col min="3591" max="3591" width="13.21875" style="113" customWidth="1"/>
    <col min="3592" max="3592" width="13.44140625" style="113" customWidth="1"/>
    <col min="3593" max="3593" width="39.5546875" style="113" customWidth="1"/>
    <col min="3594" max="3594" width="26" style="113" customWidth="1"/>
    <col min="3595" max="3595" width="44.5546875" style="113" customWidth="1"/>
    <col min="3596" max="3596" width="14" style="113" customWidth="1"/>
    <col min="3597" max="3597" width="15.109375" style="113" customWidth="1"/>
    <col min="3598" max="3598" width="16.33203125" style="113" customWidth="1"/>
    <col min="3599" max="3599" width="9" style="113" bestFit="1" customWidth="1"/>
    <col min="3600" max="3840" width="8.88671875" style="113"/>
    <col min="3841" max="3841" width="3.44140625" style="113" customWidth="1"/>
    <col min="3842" max="3842" width="33.109375" style="113" customWidth="1"/>
    <col min="3843" max="3843" width="6.21875" style="113" customWidth="1"/>
    <col min="3844" max="3844" width="8.109375" style="113" customWidth="1"/>
    <col min="3845" max="3845" width="14.109375" style="113" customWidth="1"/>
    <col min="3846" max="3846" width="13.6640625" style="113" customWidth="1"/>
    <col min="3847" max="3847" width="13.21875" style="113" customWidth="1"/>
    <col min="3848" max="3848" width="13.44140625" style="113" customWidth="1"/>
    <col min="3849" max="3849" width="39.5546875" style="113" customWidth="1"/>
    <col min="3850" max="3850" width="26" style="113" customWidth="1"/>
    <col min="3851" max="3851" width="44.5546875" style="113" customWidth="1"/>
    <col min="3852" max="3852" width="14" style="113" customWidth="1"/>
    <col min="3853" max="3853" width="15.109375" style="113" customWidth="1"/>
    <col min="3854" max="3854" width="16.33203125" style="113" customWidth="1"/>
    <col min="3855" max="3855" width="9" style="113" bestFit="1" customWidth="1"/>
    <col min="3856" max="4096" width="8.88671875" style="113"/>
    <col min="4097" max="4097" width="3.44140625" style="113" customWidth="1"/>
    <col min="4098" max="4098" width="33.109375" style="113" customWidth="1"/>
    <col min="4099" max="4099" width="6.21875" style="113" customWidth="1"/>
    <col min="4100" max="4100" width="8.109375" style="113" customWidth="1"/>
    <col min="4101" max="4101" width="14.109375" style="113" customWidth="1"/>
    <col min="4102" max="4102" width="13.6640625" style="113" customWidth="1"/>
    <col min="4103" max="4103" width="13.21875" style="113" customWidth="1"/>
    <col min="4104" max="4104" width="13.44140625" style="113" customWidth="1"/>
    <col min="4105" max="4105" width="39.5546875" style="113" customWidth="1"/>
    <col min="4106" max="4106" width="26" style="113" customWidth="1"/>
    <col min="4107" max="4107" width="44.5546875" style="113" customWidth="1"/>
    <col min="4108" max="4108" width="14" style="113" customWidth="1"/>
    <col min="4109" max="4109" width="15.109375" style="113" customWidth="1"/>
    <col min="4110" max="4110" width="16.33203125" style="113" customWidth="1"/>
    <col min="4111" max="4111" width="9" style="113" bestFit="1" customWidth="1"/>
    <col min="4112" max="4352" width="8.88671875" style="113"/>
    <col min="4353" max="4353" width="3.44140625" style="113" customWidth="1"/>
    <col min="4354" max="4354" width="33.109375" style="113" customWidth="1"/>
    <col min="4355" max="4355" width="6.21875" style="113" customWidth="1"/>
    <col min="4356" max="4356" width="8.109375" style="113" customWidth="1"/>
    <col min="4357" max="4357" width="14.109375" style="113" customWidth="1"/>
    <col min="4358" max="4358" width="13.6640625" style="113" customWidth="1"/>
    <col min="4359" max="4359" width="13.21875" style="113" customWidth="1"/>
    <col min="4360" max="4360" width="13.44140625" style="113" customWidth="1"/>
    <col min="4361" max="4361" width="39.5546875" style="113" customWidth="1"/>
    <col min="4362" max="4362" width="26" style="113" customWidth="1"/>
    <col min="4363" max="4363" width="44.5546875" style="113" customWidth="1"/>
    <col min="4364" max="4364" width="14" style="113" customWidth="1"/>
    <col min="4365" max="4365" width="15.109375" style="113" customWidth="1"/>
    <col min="4366" max="4366" width="16.33203125" style="113" customWidth="1"/>
    <col min="4367" max="4367" width="9" style="113" bestFit="1" customWidth="1"/>
    <col min="4368" max="4608" width="8.88671875" style="113"/>
    <col min="4609" max="4609" width="3.44140625" style="113" customWidth="1"/>
    <col min="4610" max="4610" width="33.109375" style="113" customWidth="1"/>
    <col min="4611" max="4611" width="6.21875" style="113" customWidth="1"/>
    <col min="4612" max="4612" width="8.109375" style="113" customWidth="1"/>
    <col min="4613" max="4613" width="14.109375" style="113" customWidth="1"/>
    <col min="4614" max="4614" width="13.6640625" style="113" customWidth="1"/>
    <col min="4615" max="4615" width="13.21875" style="113" customWidth="1"/>
    <col min="4616" max="4616" width="13.44140625" style="113" customWidth="1"/>
    <col min="4617" max="4617" width="39.5546875" style="113" customWidth="1"/>
    <col min="4618" max="4618" width="26" style="113" customWidth="1"/>
    <col min="4619" max="4619" width="44.5546875" style="113" customWidth="1"/>
    <col min="4620" max="4620" width="14" style="113" customWidth="1"/>
    <col min="4621" max="4621" width="15.109375" style="113" customWidth="1"/>
    <col min="4622" max="4622" width="16.33203125" style="113" customWidth="1"/>
    <col min="4623" max="4623" width="9" style="113" bestFit="1" customWidth="1"/>
    <col min="4624" max="4864" width="8.88671875" style="113"/>
    <col min="4865" max="4865" width="3.44140625" style="113" customWidth="1"/>
    <col min="4866" max="4866" width="33.109375" style="113" customWidth="1"/>
    <col min="4867" max="4867" width="6.21875" style="113" customWidth="1"/>
    <col min="4868" max="4868" width="8.109375" style="113" customWidth="1"/>
    <col min="4869" max="4869" width="14.109375" style="113" customWidth="1"/>
    <col min="4870" max="4870" width="13.6640625" style="113" customWidth="1"/>
    <col min="4871" max="4871" width="13.21875" style="113" customWidth="1"/>
    <col min="4872" max="4872" width="13.44140625" style="113" customWidth="1"/>
    <col min="4873" max="4873" width="39.5546875" style="113" customWidth="1"/>
    <col min="4874" max="4874" width="26" style="113" customWidth="1"/>
    <col min="4875" max="4875" width="44.5546875" style="113" customWidth="1"/>
    <col min="4876" max="4876" width="14" style="113" customWidth="1"/>
    <col min="4877" max="4877" width="15.109375" style="113" customWidth="1"/>
    <col min="4878" max="4878" width="16.33203125" style="113" customWidth="1"/>
    <col min="4879" max="4879" width="9" style="113" bestFit="1" customWidth="1"/>
    <col min="4880" max="5120" width="8.88671875" style="113"/>
    <col min="5121" max="5121" width="3.44140625" style="113" customWidth="1"/>
    <col min="5122" max="5122" width="33.109375" style="113" customWidth="1"/>
    <col min="5123" max="5123" width="6.21875" style="113" customWidth="1"/>
    <col min="5124" max="5124" width="8.109375" style="113" customWidth="1"/>
    <col min="5125" max="5125" width="14.109375" style="113" customWidth="1"/>
    <col min="5126" max="5126" width="13.6640625" style="113" customWidth="1"/>
    <col min="5127" max="5127" width="13.21875" style="113" customWidth="1"/>
    <col min="5128" max="5128" width="13.44140625" style="113" customWidth="1"/>
    <col min="5129" max="5129" width="39.5546875" style="113" customWidth="1"/>
    <col min="5130" max="5130" width="26" style="113" customWidth="1"/>
    <col min="5131" max="5131" width="44.5546875" style="113" customWidth="1"/>
    <col min="5132" max="5132" width="14" style="113" customWidth="1"/>
    <col min="5133" max="5133" width="15.109375" style="113" customWidth="1"/>
    <col min="5134" max="5134" width="16.33203125" style="113" customWidth="1"/>
    <col min="5135" max="5135" width="9" style="113" bestFit="1" customWidth="1"/>
    <col min="5136" max="5376" width="8.88671875" style="113"/>
    <col min="5377" max="5377" width="3.44140625" style="113" customWidth="1"/>
    <col min="5378" max="5378" width="33.109375" style="113" customWidth="1"/>
    <col min="5379" max="5379" width="6.21875" style="113" customWidth="1"/>
    <col min="5380" max="5380" width="8.109375" style="113" customWidth="1"/>
    <col min="5381" max="5381" width="14.109375" style="113" customWidth="1"/>
    <col min="5382" max="5382" width="13.6640625" style="113" customWidth="1"/>
    <col min="5383" max="5383" width="13.21875" style="113" customWidth="1"/>
    <col min="5384" max="5384" width="13.44140625" style="113" customWidth="1"/>
    <col min="5385" max="5385" width="39.5546875" style="113" customWidth="1"/>
    <col min="5386" max="5386" width="26" style="113" customWidth="1"/>
    <col min="5387" max="5387" width="44.5546875" style="113" customWidth="1"/>
    <col min="5388" max="5388" width="14" style="113" customWidth="1"/>
    <col min="5389" max="5389" width="15.109375" style="113" customWidth="1"/>
    <col min="5390" max="5390" width="16.33203125" style="113" customWidth="1"/>
    <col min="5391" max="5391" width="9" style="113" bestFit="1" customWidth="1"/>
    <col min="5392" max="5632" width="8.88671875" style="113"/>
    <col min="5633" max="5633" width="3.44140625" style="113" customWidth="1"/>
    <col min="5634" max="5634" width="33.109375" style="113" customWidth="1"/>
    <col min="5635" max="5635" width="6.21875" style="113" customWidth="1"/>
    <col min="5636" max="5636" width="8.109375" style="113" customWidth="1"/>
    <col min="5637" max="5637" width="14.109375" style="113" customWidth="1"/>
    <col min="5638" max="5638" width="13.6640625" style="113" customWidth="1"/>
    <col min="5639" max="5639" width="13.21875" style="113" customWidth="1"/>
    <col min="5640" max="5640" width="13.44140625" style="113" customWidth="1"/>
    <col min="5641" max="5641" width="39.5546875" style="113" customWidth="1"/>
    <col min="5642" max="5642" width="26" style="113" customWidth="1"/>
    <col min="5643" max="5643" width="44.5546875" style="113" customWidth="1"/>
    <col min="5644" max="5644" width="14" style="113" customWidth="1"/>
    <col min="5645" max="5645" width="15.109375" style="113" customWidth="1"/>
    <col min="5646" max="5646" width="16.33203125" style="113" customWidth="1"/>
    <col min="5647" max="5647" width="9" style="113" bestFit="1" customWidth="1"/>
    <col min="5648" max="5888" width="8.88671875" style="113"/>
    <col min="5889" max="5889" width="3.44140625" style="113" customWidth="1"/>
    <col min="5890" max="5890" width="33.109375" style="113" customWidth="1"/>
    <col min="5891" max="5891" width="6.21875" style="113" customWidth="1"/>
    <col min="5892" max="5892" width="8.109375" style="113" customWidth="1"/>
    <col min="5893" max="5893" width="14.109375" style="113" customWidth="1"/>
    <col min="5894" max="5894" width="13.6640625" style="113" customWidth="1"/>
    <col min="5895" max="5895" width="13.21875" style="113" customWidth="1"/>
    <col min="5896" max="5896" width="13.44140625" style="113" customWidth="1"/>
    <col min="5897" max="5897" width="39.5546875" style="113" customWidth="1"/>
    <col min="5898" max="5898" width="26" style="113" customWidth="1"/>
    <col min="5899" max="5899" width="44.5546875" style="113" customWidth="1"/>
    <col min="5900" max="5900" width="14" style="113" customWidth="1"/>
    <col min="5901" max="5901" width="15.109375" style="113" customWidth="1"/>
    <col min="5902" max="5902" width="16.33203125" style="113" customWidth="1"/>
    <col min="5903" max="5903" width="9" style="113" bestFit="1" customWidth="1"/>
    <col min="5904" max="6144" width="8.88671875" style="113"/>
    <col min="6145" max="6145" width="3.44140625" style="113" customWidth="1"/>
    <col min="6146" max="6146" width="33.109375" style="113" customWidth="1"/>
    <col min="6147" max="6147" width="6.21875" style="113" customWidth="1"/>
    <col min="6148" max="6148" width="8.109375" style="113" customWidth="1"/>
    <col min="6149" max="6149" width="14.109375" style="113" customWidth="1"/>
    <col min="6150" max="6150" width="13.6640625" style="113" customWidth="1"/>
    <col min="6151" max="6151" width="13.21875" style="113" customWidth="1"/>
    <col min="6152" max="6152" width="13.44140625" style="113" customWidth="1"/>
    <col min="6153" max="6153" width="39.5546875" style="113" customWidth="1"/>
    <col min="6154" max="6154" width="26" style="113" customWidth="1"/>
    <col min="6155" max="6155" width="44.5546875" style="113" customWidth="1"/>
    <col min="6156" max="6156" width="14" style="113" customWidth="1"/>
    <col min="6157" max="6157" width="15.109375" style="113" customWidth="1"/>
    <col min="6158" max="6158" width="16.33203125" style="113" customWidth="1"/>
    <col min="6159" max="6159" width="9" style="113" bestFit="1" customWidth="1"/>
    <col min="6160" max="6400" width="8.88671875" style="113"/>
    <col min="6401" max="6401" width="3.44140625" style="113" customWidth="1"/>
    <col min="6402" max="6402" width="33.109375" style="113" customWidth="1"/>
    <col min="6403" max="6403" width="6.21875" style="113" customWidth="1"/>
    <col min="6404" max="6404" width="8.109375" style="113" customWidth="1"/>
    <col min="6405" max="6405" width="14.109375" style="113" customWidth="1"/>
    <col min="6406" max="6406" width="13.6640625" style="113" customWidth="1"/>
    <col min="6407" max="6407" width="13.21875" style="113" customWidth="1"/>
    <col min="6408" max="6408" width="13.44140625" style="113" customWidth="1"/>
    <col min="6409" max="6409" width="39.5546875" style="113" customWidth="1"/>
    <col min="6410" max="6410" width="26" style="113" customWidth="1"/>
    <col min="6411" max="6411" width="44.5546875" style="113" customWidth="1"/>
    <col min="6412" max="6412" width="14" style="113" customWidth="1"/>
    <col min="6413" max="6413" width="15.109375" style="113" customWidth="1"/>
    <col min="6414" max="6414" width="16.33203125" style="113" customWidth="1"/>
    <col min="6415" max="6415" width="9" style="113" bestFit="1" customWidth="1"/>
    <col min="6416" max="6656" width="8.88671875" style="113"/>
    <col min="6657" max="6657" width="3.44140625" style="113" customWidth="1"/>
    <col min="6658" max="6658" width="33.109375" style="113" customWidth="1"/>
    <col min="6659" max="6659" width="6.21875" style="113" customWidth="1"/>
    <col min="6660" max="6660" width="8.109375" style="113" customWidth="1"/>
    <col min="6661" max="6661" width="14.109375" style="113" customWidth="1"/>
    <col min="6662" max="6662" width="13.6640625" style="113" customWidth="1"/>
    <col min="6663" max="6663" width="13.21875" style="113" customWidth="1"/>
    <col min="6664" max="6664" width="13.44140625" style="113" customWidth="1"/>
    <col min="6665" max="6665" width="39.5546875" style="113" customWidth="1"/>
    <col min="6666" max="6666" width="26" style="113" customWidth="1"/>
    <col min="6667" max="6667" width="44.5546875" style="113" customWidth="1"/>
    <col min="6668" max="6668" width="14" style="113" customWidth="1"/>
    <col min="6669" max="6669" width="15.109375" style="113" customWidth="1"/>
    <col min="6670" max="6670" width="16.33203125" style="113" customWidth="1"/>
    <col min="6671" max="6671" width="9" style="113" bestFit="1" customWidth="1"/>
    <col min="6672" max="6912" width="8.88671875" style="113"/>
    <col min="6913" max="6913" width="3.44140625" style="113" customWidth="1"/>
    <col min="6914" max="6914" width="33.109375" style="113" customWidth="1"/>
    <col min="6915" max="6915" width="6.21875" style="113" customWidth="1"/>
    <col min="6916" max="6916" width="8.109375" style="113" customWidth="1"/>
    <col min="6917" max="6917" width="14.109375" style="113" customWidth="1"/>
    <col min="6918" max="6918" width="13.6640625" style="113" customWidth="1"/>
    <col min="6919" max="6919" width="13.21875" style="113" customWidth="1"/>
    <col min="6920" max="6920" width="13.44140625" style="113" customWidth="1"/>
    <col min="6921" max="6921" width="39.5546875" style="113" customWidth="1"/>
    <col min="6922" max="6922" width="26" style="113" customWidth="1"/>
    <col min="6923" max="6923" width="44.5546875" style="113" customWidth="1"/>
    <col min="6924" max="6924" width="14" style="113" customWidth="1"/>
    <col min="6925" max="6925" width="15.109375" style="113" customWidth="1"/>
    <col min="6926" max="6926" width="16.33203125" style="113" customWidth="1"/>
    <col min="6927" max="6927" width="9" style="113" bestFit="1" customWidth="1"/>
    <col min="6928" max="7168" width="8.88671875" style="113"/>
    <col min="7169" max="7169" width="3.44140625" style="113" customWidth="1"/>
    <col min="7170" max="7170" width="33.109375" style="113" customWidth="1"/>
    <col min="7171" max="7171" width="6.21875" style="113" customWidth="1"/>
    <col min="7172" max="7172" width="8.109375" style="113" customWidth="1"/>
    <col min="7173" max="7173" width="14.109375" style="113" customWidth="1"/>
    <col min="7174" max="7174" width="13.6640625" style="113" customWidth="1"/>
    <col min="7175" max="7175" width="13.21875" style="113" customWidth="1"/>
    <col min="7176" max="7176" width="13.44140625" style="113" customWidth="1"/>
    <col min="7177" max="7177" width="39.5546875" style="113" customWidth="1"/>
    <col min="7178" max="7178" width="26" style="113" customWidth="1"/>
    <col min="7179" max="7179" width="44.5546875" style="113" customWidth="1"/>
    <col min="7180" max="7180" width="14" style="113" customWidth="1"/>
    <col min="7181" max="7181" width="15.109375" style="113" customWidth="1"/>
    <col min="7182" max="7182" width="16.33203125" style="113" customWidth="1"/>
    <col min="7183" max="7183" width="9" style="113" bestFit="1" customWidth="1"/>
    <col min="7184" max="7424" width="8.88671875" style="113"/>
    <col min="7425" max="7425" width="3.44140625" style="113" customWidth="1"/>
    <col min="7426" max="7426" width="33.109375" style="113" customWidth="1"/>
    <col min="7427" max="7427" width="6.21875" style="113" customWidth="1"/>
    <col min="7428" max="7428" width="8.109375" style="113" customWidth="1"/>
    <col min="7429" max="7429" width="14.109375" style="113" customWidth="1"/>
    <col min="7430" max="7430" width="13.6640625" style="113" customWidth="1"/>
    <col min="7431" max="7431" width="13.21875" style="113" customWidth="1"/>
    <col min="7432" max="7432" width="13.44140625" style="113" customWidth="1"/>
    <col min="7433" max="7433" width="39.5546875" style="113" customWidth="1"/>
    <col min="7434" max="7434" width="26" style="113" customWidth="1"/>
    <col min="7435" max="7435" width="44.5546875" style="113" customWidth="1"/>
    <col min="7436" max="7436" width="14" style="113" customWidth="1"/>
    <col min="7437" max="7437" width="15.109375" style="113" customWidth="1"/>
    <col min="7438" max="7438" width="16.33203125" style="113" customWidth="1"/>
    <col min="7439" max="7439" width="9" style="113" bestFit="1" customWidth="1"/>
    <col min="7440" max="7680" width="8.88671875" style="113"/>
    <col min="7681" max="7681" width="3.44140625" style="113" customWidth="1"/>
    <col min="7682" max="7682" width="33.109375" style="113" customWidth="1"/>
    <col min="7683" max="7683" width="6.21875" style="113" customWidth="1"/>
    <col min="7684" max="7684" width="8.109375" style="113" customWidth="1"/>
    <col min="7685" max="7685" width="14.109375" style="113" customWidth="1"/>
    <col min="7686" max="7686" width="13.6640625" style="113" customWidth="1"/>
    <col min="7687" max="7687" width="13.21875" style="113" customWidth="1"/>
    <col min="7688" max="7688" width="13.44140625" style="113" customWidth="1"/>
    <col min="7689" max="7689" width="39.5546875" style="113" customWidth="1"/>
    <col min="7690" max="7690" width="26" style="113" customWidth="1"/>
    <col min="7691" max="7691" width="44.5546875" style="113" customWidth="1"/>
    <col min="7692" max="7692" width="14" style="113" customWidth="1"/>
    <col min="7693" max="7693" width="15.109375" style="113" customWidth="1"/>
    <col min="7694" max="7694" width="16.33203125" style="113" customWidth="1"/>
    <col min="7695" max="7695" width="9" style="113" bestFit="1" customWidth="1"/>
    <col min="7696" max="7936" width="8.88671875" style="113"/>
    <col min="7937" max="7937" width="3.44140625" style="113" customWidth="1"/>
    <col min="7938" max="7938" width="33.109375" style="113" customWidth="1"/>
    <col min="7939" max="7939" width="6.21875" style="113" customWidth="1"/>
    <col min="7940" max="7940" width="8.109375" style="113" customWidth="1"/>
    <col min="7941" max="7941" width="14.109375" style="113" customWidth="1"/>
    <col min="7942" max="7942" width="13.6640625" style="113" customWidth="1"/>
    <col min="7943" max="7943" width="13.21875" style="113" customWidth="1"/>
    <col min="7944" max="7944" width="13.44140625" style="113" customWidth="1"/>
    <col min="7945" max="7945" width="39.5546875" style="113" customWidth="1"/>
    <col min="7946" max="7946" width="26" style="113" customWidth="1"/>
    <col min="7947" max="7947" width="44.5546875" style="113" customWidth="1"/>
    <col min="7948" max="7948" width="14" style="113" customWidth="1"/>
    <col min="7949" max="7949" width="15.109375" style="113" customWidth="1"/>
    <col min="7950" max="7950" width="16.33203125" style="113" customWidth="1"/>
    <col min="7951" max="7951" width="9" style="113" bestFit="1" customWidth="1"/>
    <col min="7952" max="8192" width="8.88671875" style="113"/>
    <col min="8193" max="8193" width="3.44140625" style="113" customWidth="1"/>
    <col min="8194" max="8194" width="33.109375" style="113" customWidth="1"/>
    <col min="8195" max="8195" width="6.21875" style="113" customWidth="1"/>
    <col min="8196" max="8196" width="8.109375" style="113" customWidth="1"/>
    <col min="8197" max="8197" width="14.109375" style="113" customWidth="1"/>
    <col min="8198" max="8198" width="13.6640625" style="113" customWidth="1"/>
    <col min="8199" max="8199" width="13.21875" style="113" customWidth="1"/>
    <col min="8200" max="8200" width="13.44140625" style="113" customWidth="1"/>
    <col min="8201" max="8201" width="39.5546875" style="113" customWidth="1"/>
    <col min="8202" max="8202" width="26" style="113" customWidth="1"/>
    <col min="8203" max="8203" width="44.5546875" style="113" customWidth="1"/>
    <col min="8204" max="8204" width="14" style="113" customWidth="1"/>
    <col min="8205" max="8205" width="15.109375" style="113" customWidth="1"/>
    <col min="8206" max="8206" width="16.33203125" style="113" customWidth="1"/>
    <col min="8207" max="8207" width="9" style="113" bestFit="1" customWidth="1"/>
    <col min="8208" max="8448" width="8.88671875" style="113"/>
    <col min="8449" max="8449" width="3.44140625" style="113" customWidth="1"/>
    <col min="8450" max="8450" width="33.109375" style="113" customWidth="1"/>
    <col min="8451" max="8451" width="6.21875" style="113" customWidth="1"/>
    <col min="8452" max="8452" width="8.109375" style="113" customWidth="1"/>
    <col min="8453" max="8453" width="14.109375" style="113" customWidth="1"/>
    <col min="8454" max="8454" width="13.6640625" style="113" customWidth="1"/>
    <col min="8455" max="8455" width="13.21875" style="113" customWidth="1"/>
    <col min="8456" max="8456" width="13.44140625" style="113" customWidth="1"/>
    <col min="8457" max="8457" width="39.5546875" style="113" customWidth="1"/>
    <col min="8458" max="8458" width="26" style="113" customWidth="1"/>
    <col min="8459" max="8459" width="44.5546875" style="113" customWidth="1"/>
    <col min="8460" max="8460" width="14" style="113" customWidth="1"/>
    <col min="8461" max="8461" width="15.109375" style="113" customWidth="1"/>
    <col min="8462" max="8462" width="16.33203125" style="113" customWidth="1"/>
    <col min="8463" max="8463" width="9" style="113" bestFit="1" customWidth="1"/>
    <col min="8464" max="8704" width="8.88671875" style="113"/>
    <col min="8705" max="8705" width="3.44140625" style="113" customWidth="1"/>
    <col min="8706" max="8706" width="33.109375" style="113" customWidth="1"/>
    <col min="8707" max="8707" width="6.21875" style="113" customWidth="1"/>
    <col min="8708" max="8708" width="8.109375" style="113" customWidth="1"/>
    <col min="8709" max="8709" width="14.109375" style="113" customWidth="1"/>
    <col min="8710" max="8710" width="13.6640625" style="113" customWidth="1"/>
    <col min="8711" max="8711" width="13.21875" style="113" customWidth="1"/>
    <col min="8712" max="8712" width="13.44140625" style="113" customWidth="1"/>
    <col min="8713" max="8713" width="39.5546875" style="113" customWidth="1"/>
    <col min="8714" max="8714" width="26" style="113" customWidth="1"/>
    <col min="8715" max="8715" width="44.5546875" style="113" customWidth="1"/>
    <col min="8716" max="8716" width="14" style="113" customWidth="1"/>
    <col min="8717" max="8717" width="15.109375" style="113" customWidth="1"/>
    <col min="8718" max="8718" width="16.33203125" style="113" customWidth="1"/>
    <col min="8719" max="8719" width="9" style="113" bestFit="1" customWidth="1"/>
    <col min="8720" max="8960" width="8.88671875" style="113"/>
    <col min="8961" max="8961" width="3.44140625" style="113" customWidth="1"/>
    <col min="8962" max="8962" width="33.109375" style="113" customWidth="1"/>
    <col min="8963" max="8963" width="6.21875" style="113" customWidth="1"/>
    <col min="8964" max="8964" width="8.109375" style="113" customWidth="1"/>
    <col min="8965" max="8965" width="14.109375" style="113" customWidth="1"/>
    <col min="8966" max="8966" width="13.6640625" style="113" customWidth="1"/>
    <col min="8967" max="8967" width="13.21875" style="113" customWidth="1"/>
    <col min="8968" max="8968" width="13.44140625" style="113" customWidth="1"/>
    <col min="8969" max="8969" width="39.5546875" style="113" customWidth="1"/>
    <col min="8970" max="8970" width="26" style="113" customWidth="1"/>
    <col min="8971" max="8971" width="44.5546875" style="113" customWidth="1"/>
    <col min="8972" max="8972" width="14" style="113" customWidth="1"/>
    <col min="8973" max="8973" width="15.109375" style="113" customWidth="1"/>
    <col min="8974" max="8974" width="16.33203125" style="113" customWidth="1"/>
    <col min="8975" max="8975" width="9" style="113" bestFit="1" customWidth="1"/>
    <col min="8976" max="9216" width="8.88671875" style="113"/>
    <col min="9217" max="9217" width="3.44140625" style="113" customWidth="1"/>
    <col min="9218" max="9218" width="33.109375" style="113" customWidth="1"/>
    <col min="9219" max="9219" width="6.21875" style="113" customWidth="1"/>
    <col min="9220" max="9220" width="8.109375" style="113" customWidth="1"/>
    <col min="9221" max="9221" width="14.109375" style="113" customWidth="1"/>
    <col min="9222" max="9222" width="13.6640625" style="113" customWidth="1"/>
    <col min="9223" max="9223" width="13.21875" style="113" customWidth="1"/>
    <col min="9224" max="9224" width="13.44140625" style="113" customWidth="1"/>
    <col min="9225" max="9225" width="39.5546875" style="113" customWidth="1"/>
    <col min="9226" max="9226" width="26" style="113" customWidth="1"/>
    <col min="9227" max="9227" width="44.5546875" style="113" customWidth="1"/>
    <col min="9228" max="9228" width="14" style="113" customWidth="1"/>
    <col min="9229" max="9229" width="15.109375" style="113" customWidth="1"/>
    <col min="9230" max="9230" width="16.33203125" style="113" customWidth="1"/>
    <col min="9231" max="9231" width="9" style="113" bestFit="1" customWidth="1"/>
    <col min="9232" max="9472" width="8.88671875" style="113"/>
    <col min="9473" max="9473" width="3.44140625" style="113" customWidth="1"/>
    <col min="9474" max="9474" width="33.109375" style="113" customWidth="1"/>
    <col min="9475" max="9475" width="6.21875" style="113" customWidth="1"/>
    <col min="9476" max="9476" width="8.109375" style="113" customWidth="1"/>
    <col min="9477" max="9477" width="14.109375" style="113" customWidth="1"/>
    <col min="9478" max="9478" width="13.6640625" style="113" customWidth="1"/>
    <col min="9479" max="9479" width="13.21875" style="113" customWidth="1"/>
    <col min="9480" max="9480" width="13.44140625" style="113" customWidth="1"/>
    <col min="9481" max="9481" width="39.5546875" style="113" customWidth="1"/>
    <col min="9482" max="9482" width="26" style="113" customWidth="1"/>
    <col min="9483" max="9483" width="44.5546875" style="113" customWidth="1"/>
    <col min="9484" max="9484" width="14" style="113" customWidth="1"/>
    <col min="9485" max="9485" width="15.109375" style="113" customWidth="1"/>
    <col min="9486" max="9486" width="16.33203125" style="113" customWidth="1"/>
    <col min="9487" max="9487" width="9" style="113" bestFit="1" customWidth="1"/>
    <col min="9488" max="9728" width="8.88671875" style="113"/>
    <col min="9729" max="9729" width="3.44140625" style="113" customWidth="1"/>
    <col min="9730" max="9730" width="33.109375" style="113" customWidth="1"/>
    <col min="9731" max="9731" width="6.21875" style="113" customWidth="1"/>
    <col min="9732" max="9732" width="8.109375" style="113" customWidth="1"/>
    <col min="9733" max="9733" width="14.109375" style="113" customWidth="1"/>
    <col min="9734" max="9734" width="13.6640625" style="113" customWidth="1"/>
    <col min="9735" max="9735" width="13.21875" style="113" customWidth="1"/>
    <col min="9736" max="9736" width="13.44140625" style="113" customWidth="1"/>
    <col min="9737" max="9737" width="39.5546875" style="113" customWidth="1"/>
    <col min="9738" max="9738" width="26" style="113" customWidth="1"/>
    <col min="9739" max="9739" width="44.5546875" style="113" customWidth="1"/>
    <col min="9740" max="9740" width="14" style="113" customWidth="1"/>
    <col min="9741" max="9741" width="15.109375" style="113" customWidth="1"/>
    <col min="9742" max="9742" width="16.33203125" style="113" customWidth="1"/>
    <col min="9743" max="9743" width="9" style="113" bestFit="1" customWidth="1"/>
    <col min="9744" max="9984" width="8.88671875" style="113"/>
    <col min="9985" max="9985" width="3.44140625" style="113" customWidth="1"/>
    <col min="9986" max="9986" width="33.109375" style="113" customWidth="1"/>
    <col min="9987" max="9987" width="6.21875" style="113" customWidth="1"/>
    <col min="9988" max="9988" width="8.109375" style="113" customWidth="1"/>
    <col min="9989" max="9989" width="14.109375" style="113" customWidth="1"/>
    <col min="9990" max="9990" width="13.6640625" style="113" customWidth="1"/>
    <col min="9991" max="9991" width="13.21875" style="113" customWidth="1"/>
    <col min="9992" max="9992" width="13.44140625" style="113" customWidth="1"/>
    <col min="9993" max="9993" width="39.5546875" style="113" customWidth="1"/>
    <col min="9994" max="9994" width="26" style="113" customWidth="1"/>
    <col min="9995" max="9995" width="44.5546875" style="113" customWidth="1"/>
    <col min="9996" max="9996" width="14" style="113" customWidth="1"/>
    <col min="9997" max="9997" width="15.109375" style="113" customWidth="1"/>
    <col min="9998" max="9998" width="16.33203125" style="113" customWidth="1"/>
    <col min="9999" max="9999" width="9" style="113" bestFit="1" customWidth="1"/>
    <col min="10000" max="10240" width="8.88671875" style="113"/>
    <col min="10241" max="10241" width="3.44140625" style="113" customWidth="1"/>
    <col min="10242" max="10242" width="33.109375" style="113" customWidth="1"/>
    <col min="10243" max="10243" width="6.21875" style="113" customWidth="1"/>
    <col min="10244" max="10244" width="8.109375" style="113" customWidth="1"/>
    <col min="10245" max="10245" width="14.109375" style="113" customWidth="1"/>
    <col min="10246" max="10246" width="13.6640625" style="113" customWidth="1"/>
    <col min="10247" max="10247" width="13.21875" style="113" customWidth="1"/>
    <col min="10248" max="10248" width="13.44140625" style="113" customWidth="1"/>
    <col min="10249" max="10249" width="39.5546875" style="113" customWidth="1"/>
    <col min="10250" max="10250" width="26" style="113" customWidth="1"/>
    <col min="10251" max="10251" width="44.5546875" style="113" customWidth="1"/>
    <col min="10252" max="10252" width="14" style="113" customWidth="1"/>
    <col min="10253" max="10253" width="15.109375" style="113" customWidth="1"/>
    <col min="10254" max="10254" width="16.33203125" style="113" customWidth="1"/>
    <col min="10255" max="10255" width="9" style="113" bestFit="1" customWidth="1"/>
    <col min="10256" max="10496" width="8.88671875" style="113"/>
    <col min="10497" max="10497" width="3.44140625" style="113" customWidth="1"/>
    <col min="10498" max="10498" width="33.109375" style="113" customWidth="1"/>
    <col min="10499" max="10499" width="6.21875" style="113" customWidth="1"/>
    <col min="10500" max="10500" width="8.109375" style="113" customWidth="1"/>
    <col min="10501" max="10501" width="14.109375" style="113" customWidth="1"/>
    <col min="10502" max="10502" width="13.6640625" style="113" customWidth="1"/>
    <col min="10503" max="10503" width="13.21875" style="113" customWidth="1"/>
    <col min="10504" max="10504" width="13.44140625" style="113" customWidth="1"/>
    <col min="10505" max="10505" width="39.5546875" style="113" customWidth="1"/>
    <col min="10506" max="10506" width="26" style="113" customWidth="1"/>
    <col min="10507" max="10507" width="44.5546875" style="113" customWidth="1"/>
    <col min="10508" max="10508" width="14" style="113" customWidth="1"/>
    <col min="10509" max="10509" width="15.109375" style="113" customWidth="1"/>
    <col min="10510" max="10510" width="16.33203125" style="113" customWidth="1"/>
    <col min="10511" max="10511" width="9" style="113" bestFit="1" customWidth="1"/>
    <col min="10512" max="10752" width="8.88671875" style="113"/>
    <col min="10753" max="10753" width="3.44140625" style="113" customWidth="1"/>
    <col min="10754" max="10754" width="33.109375" style="113" customWidth="1"/>
    <col min="10755" max="10755" width="6.21875" style="113" customWidth="1"/>
    <col min="10756" max="10756" width="8.109375" style="113" customWidth="1"/>
    <col min="10757" max="10757" width="14.109375" style="113" customWidth="1"/>
    <col min="10758" max="10758" width="13.6640625" style="113" customWidth="1"/>
    <col min="10759" max="10759" width="13.21875" style="113" customWidth="1"/>
    <col min="10760" max="10760" width="13.44140625" style="113" customWidth="1"/>
    <col min="10761" max="10761" width="39.5546875" style="113" customWidth="1"/>
    <col min="10762" max="10762" width="26" style="113" customWidth="1"/>
    <col min="10763" max="10763" width="44.5546875" style="113" customWidth="1"/>
    <col min="10764" max="10764" width="14" style="113" customWidth="1"/>
    <col min="10765" max="10765" width="15.109375" style="113" customWidth="1"/>
    <col min="10766" max="10766" width="16.33203125" style="113" customWidth="1"/>
    <col min="10767" max="10767" width="9" style="113" bestFit="1" customWidth="1"/>
    <col min="10768" max="11008" width="8.88671875" style="113"/>
    <col min="11009" max="11009" width="3.44140625" style="113" customWidth="1"/>
    <col min="11010" max="11010" width="33.109375" style="113" customWidth="1"/>
    <col min="11011" max="11011" width="6.21875" style="113" customWidth="1"/>
    <col min="11012" max="11012" width="8.109375" style="113" customWidth="1"/>
    <col min="11013" max="11013" width="14.109375" style="113" customWidth="1"/>
    <col min="11014" max="11014" width="13.6640625" style="113" customWidth="1"/>
    <col min="11015" max="11015" width="13.21875" style="113" customWidth="1"/>
    <col min="11016" max="11016" width="13.44140625" style="113" customWidth="1"/>
    <col min="11017" max="11017" width="39.5546875" style="113" customWidth="1"/>
    <col min="11018" max="11018" width="26" style="113" customWidth="1"/>
    <col min="11019" max="11019" width="44.5546875" style="113" customWidth="1"/>
    <col min="11020" max="11020" width="14" style="113" customWidth="1"/>
    <col min="11021" max="11021" width="15.109375" style="113" customWidth="1"/>
    <col min="11022" max="11022" width="16.33203125" style="113" customWidth="1"/>
    <col min="11023" max="11023" width="9" style="113" bestFit="1" customWidth="1"/>
    <col min="11024" max="11264" width="8.88671875" style="113"/>
    <col min="11265" max="11265" width="3.44140625" style="113" customWidth="1"/>
    <col min="11266" max="11266" width="33.109375" style="113" customWidth="1"/>
    <col min="11267" max="11267" width="6.21875" style="113" customWidth="1"/>
    <col min="11268" max="11268" width="8.109375" style="113" customWidth="1"/>
    <col min="11269" max="11269" width="14.109375" style="113" customWidth="1"/>
    <col min="11270" max="11270" width="13.6640625" style="113" customWidth="1"/>
    <col min="11271" max="11271" width="13.21875" style="113" customWidth="1"/>
    <col min="11272" max="11272" width="13.44140625" style="113" customWidth="1"/>
    <col min="11273" max="11273" width="39.5546875" style="113" customWidth="1"/>
    <col min="11274" max="11274" width="26" style="113" customWidth="1"/>
    <col min="11275" max="11275" width="44.5546875" style="113" customWidth="1"/>
    <col min="11276" max="11276" width="14" style="113" customWidth="1"/>
    <col min="11277" max="11277" width="15.109375" style="113" customWidth="1"/>
    <col min="11278" max="11278" width="16.33203125" style="113" customWidth="1"/>
    <col min="11279" max="11279" width="9" style="113" bestFit="1" customWidth="1"/>
    <col min="11280" max="11520" width="8.88671875" style="113"/>
    <col min="11521" max="11521" width="3.44140625" style="113" customWidth="1"/>
    <col min="11522" max="11522" width="33.109375" style="113" customWidth="1"/>
    <col min="11523" max="11523" width="6.21875" style="113" customWidth="1"/>
    <col min="11524" max="11524" width="8.109375" style="113" customWidth="1"/>
    <col min="11525" max="11525" width="14.109375" style="113" customWidth="1"/>
    <col min="11526" max="11526" width="13.6640625" style="113" customWidth="1"/>
    <col min="11527" max="11527" width="13.21875" style="113" customWidth="1"/>
    <col min="11528" max="11528" width="13.44140625" style="113" customWidth="1"/>
    <col min="11529" max="11529" width="39.5546875" style="113" customWidth="1"/>
    <col min="11530" max="11530" width="26" style="113" customWidth="1"/>
    <col min="11531" max="11531" width="44.5546875" style="113" customWidth="1"/>
    <col min="11532" max="11532" width="14" style="113" customWidth="1"/>
    <col min="11533" max="11533" width="15.109375" style="113" customWidth="1"/>
    <col min="11534" max="11534" width="16.33203125" style="113" customWidth="1"/>
    <col min="11535" max="11535" width="9" style="113" bestFit="1" customWidth="1"/>
    <col min="11536" max="11776" width="8.88671875" style="113"/>
    <col min="11777" max="11777" width="3.44140625" style="113" customWidth="1"/>
    <col min="11778" max="11778" width="33.109375" style="113" customWidth="1"/>
    <col min="11779" max="11779" width="6.21875" style="113" customWidth="1"/>
    <col min="11780" max="11780" width="8.109375" style="113" customWidth="1"/>
    <col min="11781" max="11781" width="14.109375" style="113" customWidth="1"/>
    <col min="11782" max="11782" width="13.6640625" style="113" customWidth="1"/>
    <col min="11783" max="11783" width="13.21875" style="113" customWidth="1"/>
    <col min="11784" max="11784" width="13.44140625" style="113" customWidth="1"/>
    <col min="11785" max="11785" width="39.5546875" style="113" customWidth="1"/>
    <col min="11786" max="11786" width="26" style="113" customWidth="1"/>
    <col min="11787" max="11787" width="44.5546875" style="113" customWidth="1"/>
    <col min="11788" max="11788" width="14" style="113" customWidth="1"/>
    <col min="11789" max="11789" width="15.109375" style="113" customWidth="1"/>
    <col min="11790" max="11790" width="16.33203125" style="113" customWidth="1"/>
    <col min="11791" max="11791" width="9" style="113" bestFit="1" customWidth="1"/>
    <col min="11792" max="12032" width="8.88671875" style="113"/>
    <col min="12033" max="12033" width="3.44140625" style="113" customWidth="1"/>
    <col min="12034" max="12034" width="33.109375" style="113" customWidth="1"/>
    <col min="12035" max="12035" width="6.21875" style="113" customWidth="1"/>
    <col min="12036" max="12036" width="8.109375" style="113" customWidth="1"/>
    <col min="12037" max="12037" width="14.109375" style="113" customWidth="1"/>
    <col min="12038" max="12038" width="13.6640625" style="113" customWidth="1"/>
    <col min="12039" max="12039" width="13.21875" style="113" customWidth="1"/>
    <col min="12040" max="12040" width="13.44140625" style="113" customWidth="1"/>
    <col min="12041" max="12041" width="39.5546875" style="113" customWidth="1"/>
    <col min="12042" max="12042" width="26" style="113" customWidth="1"/>
    <col min="12043" max="12043" width="44.5546875" style="113" customWidth="1"/>
    <col min="12044" max="12044" width="14" style="113" customWidth="1"/>
    <col min="12045" max="12045" width="15.109375" style="113" customWidth="1"/>
    <col min="12046" max="12046" width="16.33203125" style="113" customWidth="1"/>
    <col min="12047" max="12047" width="9" style="113" bestFit="1" customWidth="1"/>
    <col min="12048" max="12288" width="8.88671875" style="113"/>
    <col min="12289" max="12289" width="3.44140625" style="113" customWidth="1"/>
    <col min="12290" max="12290" width="33.109375" style="113" customWidth="1"/>
    <col min="12291" max="12291" width="6.21875" style="113" customWidth="1"/>
    <col min="12292" max="12292" width="8.109375" style="113" customWidth="1"/>
    <col min="12293" max="12293" width="14.109375" style="113" customWidth="1"/>
    <col min="12294" max="12294" width="13.6640625" style="113" customWidth="1"/>
    <col min="12295" max="12295" width="13.21875" style="113" customWidth="1"/>
    <col min="12296" max="12296" width="13.44140625" style="113" customWidth="1"/>
    <col min="12297" max="12297" width="39.5546875" style="113" customWidth="1"/>
    <col min="12298" max="12298" width="26" style="113" customWidth="1"/>
    <col min="12299" max="12299" width="44.5546875" style="113" customWidth="1"/>
    <col min="12300" max="12300" width="14" style="113" customWidth="1"/>
    <col min="12301" max="12301" width="15.109375" style="113" customWidth="1"/>
    <col min="12302" max="12302" width="16.33203125" style="113" customWidth="1"/>
    <col min="12303" max="12303" width="9" style="113" bestFit="1" customWidth="1"/>
    <col min="12304" max="12544" width="8.88671875" style="113"/>
    <col min="12545" max="12545" width="3.44140625" style="113" customWidth="1"/>
    <col min="12546" max="12546" width="33.109375" style="113" customWidth="1"/>
    <col min="12547" max="12547" width="6.21875" style="113" customWidth="1"/>
    <col min="12548" max="12548" width="8.109375" style="113" customWidth="1"/>
    <col min="12549" max="12549" width="14.109375" style="113" customWidth="1"/>
    <col min="12550" max="12550" width="13.6640625" style="113" customWidth="1"/>
    <col min="12551" max="12551" width="13.21875" style="113" customWidth="1"/>
    <col min="12552" max="12552" width="13.44140625" style="113" customWidth="1"/>
    <col min="12553" max="12553" width="39.5546875" style="113" customWidth="1"/>
    <col min="12554" max="12554" width="26" style="113" customWidth="1"/>
    <col min="12555" max="12555" width="44.5546875" style="113" customWidth="1"/>
    <col min="12556" max="12556" width="14" style="113" customWidth="1"/>
    <col min="12557" max="12557" width="15.109375" style="113" customWidth="1"/>
    <col min="12558" max="12558" width="16.33203125" style="113" customWidth="1"/>
    <col min="12559" max="12559" width="9" style="113" bestFit="1" customWidth="1"/>
    <col min="12560" max="12800" width="8.88671875" style="113"/>
    <col min="12801" max="12801" width="3.44140625" style="113" customWidth="1"/>
    <col min="12802" max="12802" width="33.109375" style="113" customWidth="1"/>
    <col min="12803" max="12803" width="6.21875" style="113" customWidth="1"/>
    <col min="12804" max="12804" width="8.109375" style="113" customWidth="1"/>
    <col min="12805" max="12805" width="14.109375" style="113" customWidth="1"/>
    <col min="12806" max="12806" width="13.6640625" style="113" customWidth="1"/>
    <col min="12807" max="12807" width="13.21875" style="113" customWidth="1"/>
    <col min="12808" max="12808" width="13.44140625" style="113" customWidth="1"/>
    <col min="12809" max="12809" width="39.5546875" style="113" customWidth="1"/>
    <col min="12810" max="12810" width="26" style="113" customWidth="1"/>
    <col min="12811" max="12811" width="44.5546875" style="113" customWidth="1"/>
    <col min="12812" max="12812" width="14" style="113" customWidth="1"/>
    <col min="12813" max="12813" width="15.109375" style="113" customWidth="1"/>
    <col min="12814" max="12814" width="16.33203125" style="113" customWidth="1"/>
    <col min="12815" max="12815" width="9" style="113" bestFit="1" customWidth="1"/>
    <col min="12816" max="13056" width="8.88671875" style="113"/>
    <col min="13057" max="13057" width="3.44140625" style="113" customWidth="1"/>
    <col min="13058" max="13058" width="33.109375" style="113" customWidth="1"/>
    <col min="13059" max="13059" width="6.21875" style="113" customWidth="1"/>
    <col min="13060" max="13060" width="8.109375" style="113" customWidth="1"/>
    <col min="13061" max="13061" width="14.109375" style="113" customWidth="1"/>
    <col min="13062" max="13062" width="13.6640625" style="113" customWidth="1"/>
    <col min="13063" max="13063" width="13.21875" style="113" customWidth="1"/>
    <col min="13064" max="13064" width="13.44140625" style="113" customWidth="1"/>
    <col min="13065" max="13065" width="39.5546875" style="113" customWidth="1"/>
    <col min="13066" max="13066" width="26" style="113" customWidth="1"/>
    <col min="13067" max="13067" width="44.5546875" style="113" customWidth="1"/>
    <col min="13068" max="13068" width="14" style="113" customWidth="1"/>
    <col min="13069" max="13069" width="15.109375" style="113" customWidth="1"/>
    <col min="13070" max="13070" width="16.33203125" style="113" customWidth="1"/>
    <col min="13071" max="13071" width="9" style="113" bestFit="1" customWidth="1"/>
    <col min="13072" max="13312" width="8.88671875" style="113"/>
    <col min="13313" max="13313" width="3.44140625" style="113" customWidth="1"/>
    <col min="13314" max="13314" width="33.109375" style="113" customWidth="1"/>
    <col min="13315" max="13315" width="6.21875" style="113" customWidth="1"/>
    <col min="13316" max="13316" width="8.109375" style="113" customWidth="1"/>
    <col min="13317" max="13317" width="14.109375" style="113" customWidth="1"/>
    <col min="13318" max="13318" width="13.6640625" style="113" customWidth="1"/>
    <col min="13319" max="13319" width="13.21875" style="113" customWidth="1"/>
    <col min="13320" max="13320" width="13.44140625" style="113" customWidth="1"/>
    <col min="13321" max="13321" width="39.5546875" style="113" customWidth="1"/>
    <col min="13322" max="13322" width="26" style="113" customWidth="1"/>
    <col min="13323" max="13323" width="44.5546875" style="113" customWidth="1"/>
    <col min="13324" max="13324" width="14" style="113" customWidth="1"/>
    <col min="13325" max="13325" width="15.109375" style="113" customWidth="1"/>
    <col min="13326" max="13326" width="16.33203125" style="113" customWidth="1"/>
    <col min="13327" max="13327" width="9" style="113" bestFit="1" customWidth="1"/>
    <col min="13328" max="13568" width="8.88671875" style="113"/>
    <col min="13569" max="13569" width="3.44140625" style="113" customWidth="1"/>
    <col min="13570" max="13570" width="33.109375" style="113" customWidth="1"/>
    <col min="13571" max="13571" width="6.21875" style="113" customWidth="1"/>
    <col min="13572" max="13572" width="8.109375" style="113" customWidth="1"/>
    <col min="13573" max="13573" width="14.109375" style="113" customWidth="1"/>
    <col min="13574" max="13574" width="13.6640625" style="113" customWidth="1"/>
    <col min="13575" max="13575" width="13.21875" style="113" customWidth="1"/>
    <col min="13576" max="13576" width="13.44140625" style="113" customWidth="1"/>
    <col min="13577" max="13577" width="39.5546875" style="113" customWidth="1"/>
    <col min="13578" max="13578" width="26" style="113" customWidth="1"/>
    <col min="13579" max="13579" width="44.5546875" style="113" customWidth="1"/>
    <col min="13580" max="13580" width="14" style="113" customWidth="1"/>
    <col min="13581" max="13581" width="15.109375" style="113" customWidth="1"/>
    <col min="13582" max="13582" width="16.33203125" style="113" customWidth="1"/>
    <col min="13583" max="13583" width="9" style="113" bestFit="1" customWidth="1"/>
    <col min="13584" max="13824" width="8.88671875" style="113"/>
    <col min="13825" max="13825" width="3.44140625" style="113" customWidth="1"/>
    <col min="13826" max="13826" width="33.109375" style="113" customWidth="1"/>
    <col min="13827" max="13827" width="6.21875" style="113" customWidth="1"/>
    <col min="13828" max="13828" width="8.109375" style="113" customWidth="1"/>
    <col min="13829" max="13829" width="14.109375" style="113" customWidth="1"/>
    <col min="13830" max="13830" width="13.6640625" style="113" customWidth="1"/>
    <col min="13831" max="13831" width="13.21875" style="113" customWidth="1"/>
    <col min="13832" max="13832" width="13.44140625" style="113" customWidth="1"/>
    <col min="13833" max="13833" width="39.5546875" style="113" customWidth="1"/>
    <col min="13834" max="13834" width="26" style="113" customWidth="1"/>
    <col min="13835" max="13835" width="44.5546875" style="113" customWidth="1"/>
    <col min="13836" max="13836" width="14" style="113" customWidth="1"/>
    <col min="13837" max="13837" width="15.109375" style="113" customWidth="1"/>
    <col min="13838" max="13838" width="16.33203125" style="113" customWidth="1"/>
    <col min="13839" max="13839" width="9" style="113" bestFit="1" customWidth="1"/>
    <col min="13840" max="14080" width="8.88671875" style="113"/>
    <col min="14081" max="14081" width="3.44140625" style="113" customWidth="1"/>
    <col min="14082" max="14082" width="33.109375" style="113" customWidth="1"/>
    <col min="14083" max="14083" width="6.21875" style="113" customWidth="1"/>
    <col min="14084" max="14084" width="8.109375" style="113" customWidth="1"/>
    <col min="14085" max="14085" width="14.109375" style="113" customWidth="1"/>
    <col min="14086" max="14086" width="13.6640625" style="113" customWidth="1"/>
    <col min="14087" max="14087" width="13.21875" style="113" customWidth="1"/>
    <col min="14088" max="14088" width="13.44140625" style="113" customWidth="1"/>
    <col min="14089" max="14089" width="39.5546875" style="113" customWidth="1"/>
    <col min="14090" max="14090" width="26" style="113" customWidth="1"/>
    <col min="14091" max="14091" width="44.5546875" style="113" customWidth="1"/>
    <col min="14092" max="14092" width="14" style="113" customWidth="1"/>
    <col min="14093" max="14093" width="15.109375" style="113" customWidth="1"/>
    <col min="14094" max="14094" width="16.33203125" style="113" customWidth="1"/>
    <col min="14095" max="14095" width="9" style="113" bestFit="1" customWidth="1"/>
    <col min="14096" max="14336" width="8.88671875" style="113"/>
    <col min="14337" max="14337" width="3.44140625" style="113" customWidth="1"/>
    <col min="14338" max="14338" width="33.109375" style="113" customWidth="1"/>
    <col min="14339" max="14339" width="6.21875" style="113" customWidth="1"/>
    <col min="14340" max="14340" width="8.109375" style="113" customWidth="1"/>
    <col min="14341" max="14341" width="14.109375" style="113" customWidth="1"/>
    <col min="14342" max="14342" width="13.6640625" style="113" customWidth="1"/>
    <col min="14343" max="14343" width="13.21875" style="113" customWidth="1"/>
    <col min="14344" max="14344" width="13.44140625" style="113" customWidth="1"/>
    <col min="14345" max="14345" width="39.5546875" style="113" customWidth="1"/>
    <col min="14346" max="14346" width="26" style="113" customWidth="1"/>
    <col min="14347" max="14347" width="44.5546875" style="113" customWidth="1"/>
    <col min="14348" max="14348" width="14" style="113" customWidth="1"/>
    <col min="14349" max="14349" width="15.109375" style="113" customWidth="1"/>
    <col min="14350" max="14350" width="16.33203125" style="113" customWidth="1"/>
    <col min="14351" max="14351" width="9" style="113" bestFit="1" customWidth="1"/>
    <col min="14352" max="14592" width="8.88671875" style="113"/>
    <col min="14593" max="14593" width="3.44140625" style="113" customWidth="1"/>
    <col min="14594" max="14594" width="33.109375" style="113" customWidth="1"/>
    <col min="14595" max="14595" width="6.21875" style="113" customWidth="1"/>
    <col min="14596" max="14596" width="8.109375" style="113" customWidth="1"/>
    <col min="14597" max="14597" width="14.109375" style="113" customWidth="1"/>
    <col min="14598" max="14598" width="13.6640625" style="113" customWidth="1"/>
    <col min="14599" max="14599" width="13.21875" style="113" customWidth="1"/>
    <col min="14600" max="14600" width="13.44140625" style="113" customWidth="1"/>
    <col min="14601" max="14601" width="39.5546875" style="113" customWidth="1"/>
    <col min="14602" max="14602" width="26" style="113" customWidth="1"/>
    <col min="14603" max="14603" width="44.5546875" style="113" customWidth="1"/>
    <col min="14604" max="14604" width="14" style="113" customWidth="1"/>
    <col min="14605" max="14605" width="15.109375" style="113" customWidth="1"/>
    <col min="14606" max="14606" width="16.33203125" style="113" customWidth="1"/>
    <col min="14607" max="14607" width="9" style="113" bestFit="1" customWidth="1"/>
    <col min="14608" max="14848" width="8.88671875" style="113"/>
    <col min="14849" max="14849" width="3.44140625" style="113" customWidth="1"/>
    <col min="14850" max="14850" width="33.109375" style="113" customWidth="1"/>
    <col min="14851" max="14851" width="6.21875" style="113" customWidth="1"/>
    <col min="14852" max="14852" width="8.109375" style="113" customWidth="1"/>
    <col min="14853" max="14853" width="14.109375" style="113" customWidth="1"/>
    <col min="14854" max="14854" width="13.6640625" style="113" customWidth="1"/>
    <col min="14855" max="14855" width="13.21875" style="113" customWidth="1"/>
    <col min="14856" max="14856" width="13.44140625" style="113" customWidth="1"/>
    <col min="14857" max="14857" width="39.5546875" style="113" customWidth="1"/>
    <col min="14858" max="14858" width="26" style="113" customWidth="1"/>
    <col min="14859" max="14859" width="44.5546875" style="113" customWidth="1"/>
    <col min="14860" max="14860" width="14" style="113" customWidth="1"/>
    <col min="14861" max="14861" width="15.109375" style="113" customWidth="1"/>
    <col min="14862" max="14862" width="16.33203125" style="113" customWidth="1"/>
    <col min="14863" max="14863" width="9" style="113" bestFit="1" customWidth="1"/>
    <col min="14864" max="15104" width="8.88671875" style="113"/>
    <col min="15105" max="15105" width="3.44140625" style="113" customWidth="1"/>
    <col min="15106" max="15106" width="33.109375" style="113" customWidth="1"/>
    <col min="15107" max="15107" width="6.21875" style="113" customWidth="1"/>
    <col min="15108" max="15108" width="8.109375" style="113" customWidth="1"/>
    <col min="15109" max="15109" width="14.109375" style="113" customWidth="1"/>
    <col min="15110" max="15110" width="13.6640625" style="113" customWidth="1"/>
    <col min="15111" max="15111" width="13.21875" style="113" customWidth="1"/>
    <col min="15112" max="15112" width="13.44140625" style="113" customWidth="1"/>
    <col min="15113" max="15113" width="39.5546875" style="113" customWidth="1"/>
    <col min="15114" max="15114" width="26" style="113" customWidth="1"/>
    <col min="15115" max="15115" width="44.5546875" style="113" customWidth="1"/>
    <col min="15116" max="15116" width="14" style="113" customWidth="1"/>
    <col min="15117" max="15117" width="15.109375" style="113" customWidth="1"/>
    <col min="15118" max="15118" width="16.33203125" style="113" customWidth="1"/>
    <col min="15119" max="15119" width="9" style="113" bestFit="1" customWidth="1"/>
    <col min="15120" max="15360" width="8.88671875" style="113"/>
    <col min="15361" max="15361" width="3.44140625" style="113" customWidth="1"/>
    <col min="15362" max="15362" width="33.109375" style="113" customWidth="1"/>
    <col min="15363" max="15363" width="6.21875" style="113" customWidth="1"/>
    <col min="15364" max="15364" width="8.109375" style="113" customWidth="1"/>
    <col min="15365" max="15365" width="14.109375" style="113" customWidth="1"/>
    <col min="15366" max="15366" width="13.6640625" style="113" customWidth="1"/>
    <col min="15367" max="15367" width="13.21875" style="113" customWidth="1"/>
    <col min="15368" max="15368" width="13.44140625" style="113" customWidth="1"/>
    <col min="15369" max="15369" width="39.5546875" style="113" customWidth="1"/>
    <col min="15370" max="15370" width="26" style="113" customWidth="1"/>
    <col min="15371" max="15371" width="44.5546875" style="113" customWidth="1"/>
    <col min="15372" max="15372" width="14" style="113" customWidth="1"/>
    <col min="15373" max="15373" width="15.109375" style="113" customWidth="1"/>
    <col min="15374" max="15374" width="16.33203125" style="113" customWidth="1"/>
    <col min="15375" max="15375" width="9" style="113" bestFit="1" customWidth="1"/>
    <col min="15376" max="15616" width="8.88671875" style="113"/>
    <col min="15617" max="15617" width="3.44140625" style="113" customWidth="1"/>
    <col min="15618" max="15618" width="33.109375" style="113" customWidth="1"/>
    <col min="15619" max="15619" width="6.21875" style="113" customWidth="1"/>
    <col min="15620" max="15620" width="8.109375" style="113" customWidth="1"/>
    <col min="15621" max="15621" width="14.109375" style="113" customWidth="1"/>
    <col min="15622" max="15622" width="13.6640625" style="113" customWidth="1"/>
    <col min="15623" max="15623" width="13.21875" style="113" customWidth="1"/>
    <col min="15624" max="15624" width="13.44140625" style="113" customWidth="1"/>
    <col min="15625" max="15625" width="39.5546875" style="113" customWidth="1"/>
    <col min="15626" max="15626" width="26" style="113" customWidth="1"/>
    <col min="15627" max="15627" width="44.5546875" style="113" customWidth="1"/>
    <col min="15628" max="15628" width="14" style="113" customWidth="1"/>
    <col min="15629" max="15629" width="15.109375" style="113" customWidth="1"/>
    <col min="15630" max="15630" width="16.33203125" style="113" customWidth="1"/>
    <col min="15631" max="15631" width="9" style="113" bestFit="1" customWidth="1"/>
    <col min="15632" max="15872" width="8.88671875" style="113"/>
    <col min="15873" max="15873" width="3.44140625" style="113" customWidth="1"/>
    <col min="15874" max="15874" width="33.109375" style="113" customWidth="1"/>
    <col min="15875" max="15875" width="6.21875" style="113" customWidth="1"/>
    <col min="15876" max="15876" width="8.109375" style="113" customWidth="1"/>
    <col min="15877" max="15877" width="14.109375" style="113" customWidth="1"/>
    <col min="15878" max="15878" width="13.6640625" style="113" customWidth="1"/>
    <col min="15879" max="15879" width="13.21875" style="113" customWidth="1"/>
    <col min="15880" max="15880" width="13.44140625" style="113" customWidth="1"/>
    <col min="15881" max="15881" width="39.5546875" style="113" customWidth="1"/>
    <col min="15882" max="15882" width="26" style="113" customWidth="1"/>
    <col min="15883" max="15883" width="44.5546875" style="113" customWidth="1"/>
    <col min="15884" max="15884" width="14" style="113" customWidth="1"/>
    <col min="15885" max="15885" width="15.109375" style="113" customWidth="1"/>
    <col min="15886" max="15886" width="16.33203125" style="113" customWidth="1"/>
    <col min="15887" max="15887" width="9" style="113" bestFit="1" customWidth="1"/>
    <col min="15888" max="16128" width="8.88671875" style="113"/>
    <col min="16129" max="16129" width="3.44140625" style="113" customWidth="1"/>
    <col min="16130" max="16130" width="33.109375" style="113" customWidth="1"/>
    <col min="16131" max="16131" width="6.21875" style="113" customWidth="1"/>
    <col min="16132" max="16132" width="8.109375" style="113" customWidth="1"/>
    <col min="16133" max="16133" width="14.109375" style="113" customWidth="1"/>
    <col min="16134" max="16134" width="13.6640625" style="113" customWidth="1"/>
    <col min="16135" max="16135" width="13.21875" style="113" customWidth="1"/>
    <col min="16136" max="16136" width="13.44140625" style="113" customWidth="1"/>
    <col min="16137" max="16137" width="39.5546875" style="113" customWidth="1"/>
    <col min="16138" max="16138" width="26" style="113" customWidth="1"/>
    <col min="16139" max="16139" width="44.5546875" style="113" customWidth="1"/>
    <col min="16140" max="16140" width="14" style="113" customWidth="1"/>
    <col min="16141" max="16141" width="15.109375" style="113" customWidth="1"/>
    <col min="16142" max="16142" width="16.33203125" style="113" customWidth="1"/>
    <col min="16143" max="16143" width="9" style="113" bestFit="1" customWidth="1"/>
    <col min="16144" max="16384" width="8.88671875" style="113"/>
  </cols>
  <sheetData>
    <row r="1" spans="1:12" ht="9.75" customHeight="1" x14ac:dyDescent="0.2">
      <c r="C1" s="84"/>
      <c r="D1" s="434"/>
      <c r="E1" s="802"/>
      <c r="F1" s="434"/>
      <c r="G1" s="806"/>
      <c r="H1" s="807"/>
      <c r="I1" s="808"/>
    </row>
    <row r="2" spans="1:12" ht="20.25" customHeight="1" x14ac:dyDescent="0.2">
      <c r="A2" s="1285"/>
      <c r="B2" s="1285"/>
      <c r="C2" s="1285"/>
      <c r="D2" s="1285"/>
      <c r="E2" s="1285"/>
      <c r="F2" s="1285"/>
      <c r="G2" s="1285"/>
      <c r="H2" s="1285"/>
      <c r="I2" s="1285"/>
    </row>
    <row r="3" spans="1:12" s="814" customFormat="1" ht="48.75" customHeight="1" x14ac:dyDescent="0.2">
      <c r="A3" s="809"/>
      <c r="B3" s="1286" t="s">
        <v>698</v>
      </c>
      <c r="C3" s="1287"/>
      <c r="D3" s="1288"/>
      <c r="E3" s="810" t="s">
        <v>699</v>
      </c>
      <c r="F3" s="811" t="e">
        <f>#REF!</f>
        <v>#REF!</v>
      </c>
      <c r="G3" s="812" t="s">
        <v>700</v>
      </c>
      <c r="H3" s="811" t="e">
        <f>#REF!</f>
        <v>#REF!</v>
      </c>
      <c r="I3" s="813" t="e">
        <f>#REF!</f>
        <v>#REF!</v>
      </c>
    </row>
    <row r="4" spans="1:12" s="814" customFormat="1" ht="16.5" customHeight="1" x14ac:dyDescent="0.2">
      <c r="A4" s="809"/>
      <c r="E4" s="810"/>
      <c r="F4" s="815"/>
      <c r="G4" s="812"/>
      <c r="H4" s="816"/>
      <c r="I4" s="813"/>
    </row>
    <row r="5" spans="1:12" s="550" customFormat="1" ht="18.75" customHeight="1" x14ac:dyDescent="0.2">
      <c r="A5" s="817"/>
      <c r="B5" s="818"/>
      <c r="C5" s="819"/>
      <c r="D5" s="817"/>
      <c r="E5" s="820"/>
      <c r="F5" s="821"/>
      <c r="G5" s="820"/>
      <c r="H5" s="820"/>
      <c r="I5" s="820"/>
    </row>
    <row r="6" spans="1:12" s="550" customFormat="1" ht="6.75" customHeight="1" x14ac:dyDescent="0.2">
      <c r="A6" s="817"/>
      <c r="B6" s="822"/>
      <c r="C6" s="817"/>
      <c r="D6" s="817"/>
      <c r="E6" s="820"/>
      <c r="F6" s="820"/>
      <c r="G6" s="820"/>
      <c r="H6" s="820"/>
      <c r="I6" s="820"/>
    </row>
    <row r="7" spans="1:12" s="550" customFormat="1" ht="33" customHeight="1" x14ac:dyDescent="0.2">
      <c r="A7" s="817"/>
      <c r="B7" s="822" t="s">
        <v>872</v>
      </c>
      <c r="C7" s="817" t="s">
        <v>38</v>
      </c>
      <c r="D7" s="817" t="s">
        <v>138</v>
      </c>
      <c r="E7" s="820" t="s">
        <v>701</v>
      </c>
      <c r="F7" s="820" t="s">
        <v>702</v>
      </c>
      <c r="G7" s="820" t="s">
        <v>703</v>
      </c>
      <c r="H7" s="820" t="s">
        <v>704</v>
      </c>
      <c r="I7" s="1289" t="s">
        <v>705</v>
      </c>
      <c r="J7" s="1290"/>
      <c r="K7" s="820"/>
    </row>
    <row r="8" spans="1:12" s="813" customFormat="1" ht="18.75" customHeight="1" x14ac:dyDescent="0.2">
      <c r="A8" s="809"/>
      <c r="B8" s="823" t="s">
        <v>706</v>
      </c>
      <c r="C8" s="824"/>
      <c r="D8" s="824"/>
      <c r="F8" s="80"/>
    </row>
    <row r="9" spans="1:12" s="813" customFormat="1" ht="18.75" customHeight="1" x14ac:dyDescent="0.2">
      <c r="A9" s="809"/>
      <c r="B9" s="825" t="s">
        <v>723</v>
      </c>
      <c r="C9" s="824"/>
      <c r="D9" s="824"/>
      <c r="F9" s="826"/>
      <c r="I9" s="827"/>
      <c r="J9" s="827"/>
    </row>
    <row r="10" spans="1:12" s="813" customFormat="1" ht="49.5" customHeight="1" x14ac:dyDescent="0.2">
      <c r="A10" s="828">
        <v>1</v>
      </c>
      <c r="B10" s="881" t="s">
        <v>707</v>
      </c>
      <c r="C10" s="521" t="s">
        <v>500</v>
      </c>
      <c r="D10" s="833">
        <v>1</v>
      </c>
      <c r="E10" s="514">
        <f>3765608.81*[1]Escalation!F18*0.9</f>
        <v>3806300.0655199299</v>
      </c>
      <c r="F10" s="842">
        <f>D10*E10/10^5</f>
        <v>38.063000655199296</v>
      </c>
      <c r="I10" s="882" t="s">
        <v>1032</v>
      </c>
      <c r="J10" s="882" t="s">
        <v>708</v>
      </c>
    </row>
    <row r="11" spans="1:12" s="813" customFormat="1" ht="47.25" customHeight="1" x14ac:dyDescent="0.2">
      <c r="A11" s="828">
        <v>2</v>
      </c>
      <c r="B11" s="881" t="s">
        <v>709</v>
      </c>
      <c r="C11" s="521" t="s">
        <v>500</v>
      </c>
      <c r="D11" s="833">
        <v>1</v>
      </c>
      <c r="E11" s="514">
        <f>3765608.81*[1]Escalation!F18*0.9</f>
        <v>3806300.0655199299</v>
      </c>
      <c r="F11" s="842">
        <f>D11*E11/10^5</f>
        <v>38.063000655199296</v>
      </c>
      <c r="I11" s="1196" t="s">
        <v>894</v>
      </c>
      <c r="J11" s="882" t="s">
        <v>708</v>
      </c>
    </row>
    <row r="12" spans="1:12" s="813" customFormat="1" ht="47.25" customHeight="1" x14ac:dyDescent="0.2">
      <c r="A12" s="828">
        <v>3</v>
      </c>
      <c r="B12" s="881" t="s">
        <v>710</v>
      </c>
      <c r="C12" s="521" t="s">
        <v>500</v>
      </c>
      <c r="D12" s="833">
        <v>2</v>
      </c>
      <c r="E12" s="514">
        <f>2027635.51*[1]Escalation!F18*0.9</f>
        <v>2049546.1860159433</v>
      </c>
      <c r="F12" s="842">
        <f>D12*E12/10^5</f>
        <v>40.990923720318868</v>
      </c>
      <c r="I12" s="1196" t="s">
        <v>894</v>
      </c>
      <c r="J12" s="882" t="s">
        <v>708</v>
      </c>
    </row>
    <row r="13" spans="1:12" s="813" customFormat="1" ht="50.25" customHeight="1" x14ac:dyDescent="0.2">
      <c r="A13" s="828">
        <v>4</v>
      </c>
      <c r="B13" s="881" t="s">
        <v>711</v>
      </c>
      <c r="C13" s="521" t="s">
        <v>500</v>
      </c>
      <c r="D13" s="833">
        <v>3</v>
      </c>
      <c r="E13" s="514">
        <f>2604201.26*[1]Escalation!F18*0.9</f>
        <v>2632342.3187883082</v>
      </c>
      <c r="F13" s="842">
        <f>D13*E13/10^5</f>
        <v>78.970269563649239</v>
      </c>
      <c r="I13" s="1196" t="s">
        <v>894</v>
      </c>
      <c r="J13" s="882" t="s">
        <v>708</v>
      </c>
    </row>
    <row r="14" spans="1:12" s="813" customFormat="1" ht="21.75" customHeight="1" x14ac:dyDescent="0.2">
      <c r="A14" s="832" t="s">
        <v>712</v>
      </c>
      <c r="B14" s="825" t="s">
        <v>713</v>
      </c>
      <c r="C14" s="521"/>
      <c r="D14" s="833"/>
      <c r="E14" s="886"/>
      <c r="F14" s="80"/>
      <c r="I14" s="883"/>
      <c r="J14" s="881"/>
    </row>
    <row r="15" spans="1:12" s="813" customFormat="1" ht="45" customHeight="1" x14ac:dyDescent="0.2">
      <c r="A15" s="833">
        <v>1</v>
      </c>
      <c r="B15" s="884" t="s">
        <v>1010</v>
      </c>
      <c r="C15" s="521" t="s">
        <v>524</v>
      </c>
      <c r="D15" s="833">
        <v>3</v>
      </c>
      <c r="E15" s="1172">
        <f>6035146*[1]Escalation!F29</f>
        <v>6631338.9324090108</v>
      </c>
      <c r="F15" s="1173">
        <f>D15*E15/10^5</f>
        <v>198.94016797227033</v>
      </c>
      <c r="G15" s="1171"/>
      <c r="H15" s="1171"/>
      <c r="I15" s="1174" t="s">
        <v>1021</v>
      </c>
      <c r="J15" s="882"/>
      <c r="K15" s="1171" t="s">
        <v>1020</v>
      </c>
      <c r="L15" s="813" t="s">
        <v>715</v>
      </c>
    </row>
    <row r="16" spans="1:12" s="813" customFormat="1" ht="21.75" customHeight="1" x14ac:dyDescent="0.2">
      <c r="A16" s="832" t="s">
        <v>716</v>
      </c>
      <c r="B16" s="835" t="s">
        <v>717</v>
      </c>
      <c r="C16" s="832"/>
      <c r="D16" s="885"/>
      <c r="E16" s="886"/>
      <c r="F16" s="80"/>
      <c r="I16" s="836"/>
      <c r="J16" s="881"/>
    </row>
    <row r="17" spans="1:11" s="813" customFormat="1" ht="118.5" customHeight="1" x14ac:dyDescent="0.2">
      <c r="A17" s="828">
        <v>1</v>
      </c>
      <c r="B17" s="884" t="s">
        <v>718</v>
      </c>
      <c r="C17" s="521" t="s">
        <v>719</v>
      </c>
      <c r="D17" s="833">
        <v>180</v>
      </c>
      <c r="E17" s="1161">
        <f>173500*[1]Escalation!F20/1.12</f>
        <v>170213.85243872242</v>
      </c>
      <c r="F17" s="842">
        <f>D17*E17/10^5</f>
        <v>306.38493438970039</v>
      </c>
      <c r="I17" s="882" t="s">
        <v>1022</v>
      </c>
      <c r="J17" s="882" t="s">
        <v>873</v>
      </c>
      <c r="K17" s="882" t="s">
        <v>895</v>
      </c>
    </row>
    <row r="18" spans="1:11" s="813" customFormat="1" ht="36.75" hidden="1" customHeight="1" x14ac:dyDescent="0.2">
      <c r="A18" s="837">
        <v>2</v>
      </c>
      <c r="B18" s="834" t="s">
        <v>720</v>
      </c>
      <c r="C18" s="829" t="s">
        <v>719</v>
      </c>
      <c r="D18" s="830">
        <v>180</v>
      </c>
      <c r="E18" s="838"/>
      <c r="F18" s="831">
        <f>D18*E18/10^5</f>
        <v>0</v>
      </c>
      <c r="I18" s="836"/>
      <c r="J18" s="839"/>
    </row>
    <row r="19" spans="1:11" s="813" customFormat="1" ht="23.25" customHeight="1" x14ac:dyDescent="0.2">
      <c r="A19" s="921"/>
      <c r="B19" s="1282" t="s">
        <v>1001</v>
      </c>
      <c r="C19" s="1283"/>
      <c r="D19" s="1283"/>
      <c r="E19" s="1284"/>
      <c r="F19" s="968">
        <f>SUM(F10:F17)</f>
        <v>701.4122969563374</v>
      </c>
      <c r="G19" s="922"/>
      <c r="H19" s="923"/>
      <c r="I19" s="924"/>
    </row>
    <row r="20" spans="1:11" s="813" customFormat="1" ht="20.25" customHeight="1" x14ac:dyDescent="0.2">
      <c r="A20" s="809"/>
      <c r="C20" s="824"/>
      <c r="D20" s="824"/>
      <c r="F20" s="80"/>
      <c r="I20" s="80"/>
    </row>
    <row r="21" spans="1:11" s="813" customFormat="1" ht="18.75" customHeight="1" x14ac:dyDescent="0.2">
      <c r="A21" s="809"/>
      <c r="B21" s="823" t="s">
        <v>735</v>
      </c>
      <c r="C21" s="824"/>
      <c r="D21" s="824"/>
      <c r="E21" s="813" t="s">
        <v>896</v>
      </c>
      <c r="F21" s="80"/>
      <c r="I21" s="844"/>
    </row>
    <row r="22" spans="1:11" s="813" customFormat="1" ht="66.75" customHeight="1" x14ac:dyDescent="0.2">
      <c r="A22" s="809">
        <v>1</v>
      </c>
      <c r="B22" s="888" t="s">
        <v>736</v>
      </c>
      <c r="C22" s="889" t="s">
        <v>529</v>
      </c>
      <c r="D22" s="890">
        <v>1</v>
      </c>
      <c r="E22" s="911">
        <v>400</v>
      </c>
      <c r="F22" s="80">
        <f>D22*E22*[1]Escalation!F22*0.9</f>
        <v>386.51989839119398</v>
      </c>
      <c r="I22" s="1197" t="s">
        <v>902</v>
      </c>
      <c r="J22" s="813" t="s">
        <v>988</v>
      </c>
      <c r="K22" s="813" t="s">
        <v>1014</v>
      </c>
    </row>
    <row r="23" spans="1:11" s="813" customFormat="1" ht="17.25" customHeight="1" x14ac:dyDescent="0.2">
      <c r="A23" s="809">
        <f>A22+1</f>
        <v>2</v>
      </c>
      <c r="B23" s="888" t="s">
        <v>737</v>
      </c>
      <c r="C23" s="889"/>
      <c r="D23" s="892"/>
      <c r="E23" s="891"/>
      <c r="F23" s="80"/>
      <c r="I23" s="893"/>
    </row>
    <row r="24" spans="1:11" s="813" customFormat="1" ht="30" customHeight="1" x14ac:dyDescent="0.25">
      <c r="A24" s="809">
        <f t="shared" ref="A24:A29" si="0">A23+1</f>
        <v>3</v>
      </c>
      <c r="B24" s="894" t="s">
        <v>885</v>
      </c>
      <c r="C24" s="895" t="s">
        <v>886</v>
      </c>
      <c r="D24" s="892">
        <v>1.25925</v>
      </c>
      <c r="E24" s="80">
        <v>0.95</v>
      </c>
      <c r="F24" s="80">
        <f>D24*E24</f>
        <v>1.1962874999999999</v>
      </c>
      <c r="G24" s="897"/>
      <c r="H24" s="897"/>
      <c r="I24" s="898" t="s">
        <v>738</v>
      </c>
    </row>
    <row r="25" spans="1:11" s="813" customFormat="1" ht="80.25" customHeight="1" x14ac:dyDescent="0.2">
      <c r="A25" s="809">
        <f t="shared" si="0"/>
        <v>4</v>
      </c>
      <c r="B25" s="1198" t="s">
        <v>739</v>
      </c>
      <c r="C25" s="890" t="s">
        <v>897</v>
      </c>
      <c r="D25" s="892">
        <v>1</v>
      </c>
      <c r="E25" s="911">
        <v>36</v>
      </c>
      <c r="F25" s="80">
        <f>D25*E25*[1]Escalation!F45</f>
        <v>44.806611570247931</v>
      </c>
      <c r="G25" s="897"/>
      <c r="H25" s="897"/>
      <c r="I25" s="899" t="s">
        <v>999</v>
      </c>
      <c r="J25" s="813" t="s">
        <v>1000</v>
      </c>
    </row>
    <row r="26" spans="1:11" s="813" customFormat="1" ht="18.75" customHeight="1" x14ac:dyDescent="0.25">
      <c r="A26" s="809">
        <f t="shared" si="0"/>
        <v>5</v>
      </c>
      <c r="B26" s="894"/>
      <c r="C26" s="895"/>
      <c r="D26" s="892"/>
      <c r="E26" s="896"/>
      <c r="F26" s="826"/>
      <c r="G26" s="897"/>
      <c r="H26" s="897"/>
      <c r="I26" s="900"/>
    </row>
    <row r="27" spans="1:11" s="813" customFormat="1" ht="32.25" customHeight="1" x14ac:dyDescent="0.25">
      <c r="A27" s="809">
        <f t="shared" si="0"/>
        <v>6</v>
      </c>
      <c r="B27" s="901" t="s">
        <v>887</v>
      </c>
      <c r="C27" s="895" t="s">
        <v>886</v>
      </c>
      <c r="D27" s="892">
        <v>1</v>
      </c>
      <c r="E27" s="80">
        <v>0.95</v>
      </c>
      <c r="F27" s="80">
        <f>E27*D27</f>
        <v>0.95</v>
      </c>
      <c r="G27" s="902"/>
      <c r="H27" s="903"/>
      <c r="I27" s="904" t="s">
        <v>738</v>
      </c>
    </row>
    <row r="28" spans="1:11" s="813" customFormat="1" ht="50.1" customHeight="1" x14ac:dyDescent="0.2">
      <c r="A28" s="809">
        <f t="shared" si="0"/>
        <v>7</v>
      </c>
      <c r="B28" s="905" t="s">
        <v>740</v>
      </c>
      <c r="C28" s="895" t="s">
        <v>527</v>
      </c>
      <c r="D28" s="892">
        <v>10</v>
      </c>
      <c r="E28" s="80">
        <f>0.29*[1]Escalation!F21*0.9</f>
        <v>0.27216118421052637</v>
      </c>
      <c r="F28" s="80">
        <f>E28*D28</f>
        <v>2.721611842105264</v>
      </c>
      <c r="G28" s="902"/>
      <c r="H28" s="902"/>
      <c r="I28" s="906" t="s">
        <v>898</v>
      </c>
    </row>
    <row r="29" spans="1:11" s="813" customFormat="1" ht="36" customHeight="1" x14ac:dyDescent="0.2">
      <c r="A29" s="809">
        <f t="shared" si="0"/>
        <v>8</v>
      </c>
      <c r="B29" s="905" t="s">
        <v>741</v>
      </c>
      <c r="C29" s="895" t="s">
        <v>526</v>
      </c>
      <c r="D29" s="892">
        <v>1</v>
      </c>
      <c r="E29" s="911">
        <v>10</v>
      </c>
      <c r="F29" s="80">
        <f>E29*D29</f>
        <v>10</v>
      </c>
      <c r="G29" s="902"/>
      <c r="H29" s="903"/>
      <c r="I29" s="907" t="s">
        <v>738</v>
      </c>
    </row>
    <row r="30" spans="1:11" s="813" customFormat="1" ht="20.25" customHeight="1" x14ac:dyDescent="0.2">
      <c r="A30" s="921"/>
      <c r="B30" s="1282" t="s">
        <v>1002</v>
      </c>
      <c r="C30" s="1283"/>
      <c r="D30" s="1283"/>
      <c r="E30" s="1284"/>
      <c r="F30" s="968">
        <f>SUM(F22:F29)</f>
        <v>446.19440930354716</v>
      </c>
      <c r="G30" s="922"/>
      <c r="H30" s="923"/>
      <c r="I30" s="924">
        <f>SUM(F22:F29)+SUM(H22:H29)</f>
        <v>446.19440930354716</v>
      </c>
    </row>
    <row r="31" spans="1:11" s="813" customFormat="1" ht="20.25" customHeight="1" x14ac:dyDescent="0.2">
      <c r="A31" s="809"/>
      <c r="B31" s="823" t="s">
        <v>742</v>
      </c>
      <c r="C31" s="824"/>
      <c r="D31" s="824"/>
      <c r="E31" s="813" t="s">
        <v>896</v>
      </c>
      <c r="F31" s="80"/>
      <c r="I31" s="80"/>
    </row>
    <row r="32" spans="1:11" s="813" customFormat="1" ht="51" customHeight="1" x14ac:dyDescent="0.2">
      <c r="A32" s="809">
        <v>1</v>
      </c>
      <c r="B32" s="823" t="s">
        <v>743</v>
      </c>
      <c r="C32" s="908" t="s">
        <v>319</v>
      </c>
      <c r="D32" s="908">
        <v>1</v>
      </c>
      <c r="E32" s="911">
        <v>9.7899999999999991</v>
      </c>
      <c r="F32" s="80">
        <f>D32*E32</f>
        <v>9.7899999999999991</v>
      </c>
      <c r="G32" s="909"/>
      <c r="H32" s="910"/>
      <c r="I32" s="910" t="s">
        <v>744</v>
      </c>
    </row>
    <row r="33" spans="1:9" s="813" customFormat="1" ht="51" customHeight="1" x14ac:dyDescent="0.2">
      <c r="A33" s="809">
        <v>2</v>
      </c>
      <c r="B33" s="823" t="s">
        <v>745</v>
      </c>
      <c r="C33" s="908" t="s">
        <v>319</v>
      </c>
      <c r="D33" s="908">
        <v>1</v>
      </c>
      <c r="E33" s="911">
        <v>28.84</v>
      </c>
      <c r="F33" s="80">
        <f>D33*E33</f>
        <v>28.84</v>
      </c>
      <c r="I33" s="910" t="s">
        <v>888</v>
      </c>
    </row>
    <row r="34" spans="1:9" s="813" customFormat="1" ht="23.25" customHeight="1" x14ac:dyDescent="0.2">
      <c r="A34" s="921"/>
      <c r="B34" s="1282" t="s">
        <v>1003</v>
      </c>
      <c r="C34" s="1283"/>
      <c r="D34" s="1283"/>
      <c r="E34" s="1284"/>
      <c r="F34" s="968">
        <f>SUM(F32:F33)</f>
        <v>38.629999999999995</v>
      </c>
      <c r="G34" s="922"/>
      <c r="H34" s="923"/>
      <c r="I34" s="924">
        <f>SUM(F32:F33)+SUM(H32:H33)</f>
        <v>38.629999999999995</v>
      </c>
    </row>
    <row r="35" spans="1:9" s="813" customFormat="1" ht="45.95" customHeight="1" x14ac:dyDescent="0.2">
      <c r="A35" s="809"/>
      <c r="B35" s="823" t="s">
        <v>746</v>
      </c>
      <c r="C35" s="824"/>
      <c r="D35" s="824"/>
      <c r="E35" s="1175" t="s">
        <v>522</v>
      </c>
      <c r="F35" s="80"/>
      <c r="I35" s="80"/>
    </row>
    <row r="36" spans="1:9" s="813" customFormat="1" ht="30.75" customHeight="1" x14ac:dyDescent="0.2">
      <c r="A36" s="809">
        <v>1</v>
      </c>
      <c r="B36" s="912" t="s">
        <v>747</v>
      </c>
      <c r="C36" s="889" t="s">
        <v>527</v>
      </c>
      <c r="D36" s="889">
        <v>3</v>
      </c>
      <c r="E36" s="911">
        <f>179400*0.9</f>
        <v>161460</v>
      </c>
      <c r="F36" s="842">
        <f>D36*E36/10^5</f>
        <v>4.8437999999999999</v>
      </c>
      <c r="G36" s="80"/>
      <c r="I36" s="913" t="s">
        <v>899</v>
      </c>
    </row>
    <row r="37" spans="1:9" s="813" customFormat="1" ht="18" customHeight="1" x14ac:dyDescent="0.2">
      <c r="A37" s="809">
        <v>2</v>
      </c>
      <c r="B37" s="914" t="s">
        <v>748</v>
      </c>
      <c r="C37" s="889" t="s">
        <v>527</v>
      </c>
      <c r="D37" s="915">
        <v>3</v>
      </c>
      <c r="E37" s="911">
        <f>190800*0.9</f>
        <v>171720</v>
      </c>
      <c r="F37" s="842">
        <f t="shared" ref="F37:F73" si="1">D37*E37/10^5</f>
        <v>5.1516000000000002</v>
      </c>
      <c r="G37" s="80"/>
      <c r="I37" s="916" t="s">
        <v>894</v>
      </c>
    </row>
    <row r="38" spans="1:9" s="813" customFormat="1" ht="18" customHeight="1" x14ac:dyDescent="0.2">
      <c r="A38" s="809">
        <v>3</v>
      </c>
      <c r="B38" s="914" t="s">
        <v>749</v>
      </c>
      <c r="C38" s="895" t="s">
        <v>527</v>
      </c>
      <c r="D38" s="915">
        <v>1</v>
      </c>
      <c r="E38" s="911">
        <f>179400*0.9</f>
        <v>161460</v>
      </c>
      <c r="F38" s="842">
        <f t="shared" si="1"/>
        <v>1.6146</v>
      </c>
      <c r="G38" s="826"/>
      <c r="H38" s="897"/>
      <c r="I38" s="916" t="s">
        <v>894</v>
      </c>
    </row>
    <row r="39" spans="1:9" s="813" customFormat="1" ht="21.75" customHeight="1" x14ac:dyDescent="0.2">
      <c r="A39" s="809">
        <v>4</v>
      </c>
      <c r="B39" s="914" t="s">
        <v>750</v>
      </c>
      <c r="C39" s="895" t="s">
        <v>527</v>
      </c>
      <c r="D39" s="915">
        <v>1</v>
      </c>
      <c r="E39" s="911">
        <f>154800*0.9</f>
        <v>139320</v>
      </c>
      <c r="F39" s="842">
        <f t="shared" si="1"/>
        <v>1.3932</v>
      </c>
      <c r="G39" s="826"/>
      <c r="H39" s="897"/>
      <c r="I39" s="916" t="s">
        <v>894</v>
      </c>
    </row>
    <row r="40" spans="1:9" s="813" customFormat="1" ht="41.25" customHeight="1" x14ac:dyDescent="0.2">
      <c r="A40" s="809">
        <v>5</v>
      </c>
      <c r="B40" s="914" t="s">
        <v>751</v>
      </c>
      <c r="C40" s="895" t="s">
        <v>527</v>
      </c>
      <c r="D40" s="915">
        <v>3</v>
      </c>
      <c r="E40" s="911">
        <v>40000</v>
      </c>
      <c r="F40" s="842">
        <f>D40*E40/10^5*[1]Escalation!F23*0.9</f>
        <v>1.1224918032786886</v>
      </c>
      <c r="G40" s="826"/>
      <c r="H40" s="897"/>
      <c r="I40" s="913" t="s">
        <v>989</v>
      </c>
    </row>
    <row r="41" spans="1:9" s="813" customFormat="1" ht="48.75" customHeight="1" x14ac:dyDescent="0.2">
      <c r="A41" s="809">
        <v>6</v>
      </c>
      <c r="B41" s="914" t="s">
        <v>752</v>
      </c>
      <c r="C41" s="895" t="s">
        <v>527</v>
      </c>
      <c r="D41" s="915">
        <v>3</v>
      </c>
      <c r="E41" s="911">
        <v>337191</v>
      </c>
      <c r="F41" s="842">
        <f t="shared" si="1"/>
        <v>10.115729999999999</v>
      </c>
      <c r="G41" s="826"/>
      <c r="H41" s="897"/>
      <c r="I41" s="913" t="s">
        <v>753</v>
      </c>
    </row>
    <row r="42" spans="1:9" s="813" customFormat="1" ht="42.75" customHeight="1" x14ac:dyDescent="0.2">
      <c r="A42" s="809">
        <v>7</v>
      </c>
      <c r="B42" s="914" t="s">
        <v>754</v>
      </c>
      <c r="C42" s="895" t="s">
        <v>527</v>
      </c>
      <c r="D42" s="915">
        <v>3</v>
      </c>
      <c r="E42" s="911">
        <v>40000</v>
      </c>
      <c r="F42" s="842">
        <f>D42*E42/10^5*[1]Escalation!F23*0.9</f>
        <v>1.1224918032786886</v>
      </c>
      <c r="G42" s="826"/>
      <c r="H42" s="897"/>
      <c r="I42" s="913" t="s">
        <v>989</v>
      </c>
    </row>
    <row r="43" spans="1:9" s="813" customFormat="1" ht="42.75" customHeight="1" x14ac:dyDescent="0.2">
      <c r="A43" s="809">
        <v>8</v>
      </c>
      <c r="B43" s="914" t="s">
        <v>755</v>
      </c>
      <c r="C43" s="895" t="s">
        <v>527</v>
      </c>
      <c r="D43" s="915">
        <v>3</v>
      </c>
      <c r="E43" s="911">
        <v>40000</v>
      </c>
      <c r="F43" s="842">
        <f>D43*E43/10^5*[1]Escalation!F23*0.9</f>
        <v>1.1224918032786886</v>
      </c>
      <c r="G43" s="826"/>
      <c r="H43" s="897"/>
      <c r="I43" s="913" t="s">
        <v>989</v>
      </c>
    </row>
    <row r="44" spans="1:9" s="813" customFormat="1" ht="51.75" customHeight="1" x14ac:dyDescent="0.2">
      <c r="A44" s="809">
        <v>9</v>
      </c>
      <c r="B44" s="914" t="s">
        <v>756</v>
      </c>
      <c r="C44" s="895" t="s">
        <v>527</v>
      </c>
      <c r="D44" s="915">
        <v>3</v>
      </c>
      <c r="E44" s="911">
        <v>337191</v>
      </c>
      <c r="F44" s="842">
        <f t="shared" si="1"/>
        <v>10.115729999999999</v>
      </c>
      <c r="G44" s="826"/>
      <c r="H44" s="897"/>
      <c r="I44" s="913" t="s">
        <v>753</v>
      </c>
    </row>
    <row r="45" spans="1:9" s="813" customFormat="1" ht="43.5" customHeight="1" x14ac:dyDescent="0.2">
      <c r="A45" s="809">
        <v>10</v>
      </c>
      <c r="B45" s="914" t="s">
        <v>757</v>
      </c>
      <c r="C45" s="895" t="s">
        <v>527</v>
      </c>
      <c r="D45" s="915">
        <v>3</v>
      </c>
      <c r="E45" s="911">
        <v>40000</v>
      </c>
      <c r="F45" s="842">
        <f>D45*E45/10^5*[1]Escalation!F23*0.9</f>
        <v>1.1224918032786886</v>
      </c>
      <c r="G45" s="826"/>
      <c r="H45" s="897"/>
      <c r="I45" s="913" t="s">
        <v>990</v>
      </c>
    </row>
    <row r="46" spans="1:9" s="813" customFormat="1" ht="23.25" customHeight="1" x14ac:dyDescent="0.2">
      <c r="A46" s="809">
        <v>11</v>
      </c>
      <c r="B46" s="914" t="s">
        <v>758</v>
      </c>
      <c r="C46" s="895" t="s">
        <v>527</v>
      </c>
      <c r="D46" s="915">
        <v>1</v>
      </c>
      <c r="E46" s="911">
        <v>40000</v>
      </c>
      <c r="F46" s="842">
        <f>D46*E46/10^5*[1]Escalation!F23*0.9</f>
        <v>0.37416393442622953</v>
      </c>
      <c r="G46" s="826"/>
      <c r="H46" s="897"/>
      <c r="I46" s="916" t="s">
        <v>894</v>
      </c>
    </row>
    <row r="47" spans="1:9" s="813" customFormat="1" ht="31.5" customHeight="1" x14ac:dyDescent="0.2">
      <c r="A47" s="809">
        <v>12</v>
      </c>
      <c r="B47" s="914" t="s">
        <v>759</v>
      </c>
      <c r="C47" s="895" t="s">
        <v>527</v>
      </c>
      <c r="D47" s="915">
        <v>1</v>
      </c>
      <c r="E47" s="911">
        <v>12900</v>
      </c>
      <c r="F47" s="842">
        <f>D47*E47/10^5*0.9</f>
        <v>0.11610000000000001</v>
      </c>
      <c r="G47" s="826"/>
      <c r="H47" s="897"/>
      <c r="I47" s="913" t="s">
        <v>998</v>
      </c>
    </row>
    <row r="48" spans="1:9" s="813" customFormat="1" ht="43.5" customHeight="1" x14ac:dyDescent="0.2">
      <c r="A48" s="809">
        <v>13</v>
      </c>
      <c r="B48" s="914" t="s">
        <v>760</v>
      </c>
      <c r="C48" s="895" t="s">
        <v>527</v>
      </c>
      <c r="D48" s="915">
        <v>1</v>
      </c>
      <c r="E48" s="911">
        <v>40000</v>
      </c>
      <c r="F48" s="842">
        <f>D48*E48/10^5*[1]Escalation!F23*0.9</f>
        <v>0.37416393442622953</v>
      </c>
      <c r="G48" s="826"/>
      <c r="H48" s="897"/>
      <c r="I48" s="913" t="s">
        <v>990</v>
      </c>
    </row>
    <row r="49" spans="1:9" s="813" customFormat="1" ht="18" customHeight="1" x14ac:dyDescent="0.2">
      <c r="A49" s="809">
        <v>14</v>
      </c>
      <c r="B49" s="914" t="s">
        <v>761</v>
      </c>
      <c r="C49" s="895" t="s">
        <v>527</v>
      </c>
      <c r="D49" s="915">
        <v>1</v>
      </c>
      <c r="E49" s="911">
        <v>11200</v>
      </c>
      <c r="F49" s="842">
        <f>D49*E49/10^5*[1]Escalation!F23*0.9</f>
        <v>0.10476590163934427</v>
      </c>
      <c r="G49" s="826"/>
      <c r="H49" s="897"/>
      <c r="I49" s="913" t="s">
        <v>762</v>
      </c>
    </row>
    <row r="50" spans="1:9" s="813" customFormat="1" ht="46.5" customHeight="1" x14ac:dyDescent="0.2">
      <c r="A50" s="809">
        <v>15</v>
      </c>
      <c r="B50" s="914" t="s">
        <v>763</v>
      </c>
      <c r="C50" s="895" t="s">
        <v>527</v>
      </c>
      <c r="D50" s="915">
        <v>1</v>
      </c>
      <c r="E50" s="911">
        <v>22000</v>
      </c>
      <c r="F50" s="842">
        <f>D50*E50/10^5*[1]Escalation!F23*0.9</f>
        <v>0.2057901639344262</v>
      </c>
      <c r="G50" s="826"/>
      <c r="H50" s="897"/>
      <c r="I50" s="913" t="s">
        <v>990</v>
      </c>
    </row>
    <row r="51" spans="1:9" s="813" customFormat="1" ht="18" customHeight="1" x14ac:dyDescent="0.2">
      <c r="A51" s="809">
        <v>16</v>
      </c>
      <c r="B51" s="914" t="s">
        <v>764</v>
      </c>
      <c r="C51" s="895" t="s">
        <v>527</v>
      </c>
      <c r="D51" s="915">
        <v>3</v>
      </c>
      <c r="E51" s="911">
        <v>40000</v>
      </c>
      <c r="F51" s="842">
        <f>D51*E51/10^5*[1]Escalation!F23*0.9</f>
        <v>1.1224918032786886</v>
      </c>
      <c r="G51" s="826"/>
      <c r="H51" s="897"/>
      <c r="I51" s="916" t="s">
        <v>894</v>
      </c>
    </row>
    <row r="52" spans="1:9" s="813" customFormat="1" ht="18" customHeight="1" x14ac:dyDescent="0.2">
      <c r="A52" s="809">
        <v>17</v>
      </c>
      <c r="B52" s="914" t="s">
        <v>765</v>
      </c>
      <c r="C52" s="895" t="s">
        <v>527</v>
      </c>
      <c r="D52" s="915">
        <v>3</v>
      </c>
      <c r="E52" s="911">
        <v>40000</v>
      </c>
      <c r="F52" s="842">
        <f>D52*E52/10^5*[1]Escalation!F23*0.9</f>
        <v>1.1224918032786886</v>
      </c>
      <c r="G52" s="826"/>
      <c r="H52" s="897"/>
      <c r="I52" s="916" t="s">
        <v>894</v>
      </c>
    </row>
    <row r="53" spans="1:9" s="813" customFormat="1" ht="39.75" customHeight="1" x14ac:dyDescent="0.2">
      <c r="A53" s="809">
        <v>18</v>
      </c>
      <c r="B53" s="914" t="s">
        <v>766</v>
      </c>
      <c r="C53" s="895" t="s">
        <v>527</v>
      </c>
      <c r="D53" s="915">
        <v>3</v>
      </c>
      <c r="E53" s="911">
        <v>11200</v>
      </c>
      <c r="F53" s="842">
        <f>D53*E53/10^5*[1]Escalation!F28*0.9</f>
        <v>0.32483957597173146</v>
      </c>
      <c r="G53" s="826"/>
      <c r="H53" s="897"/>
      <c r="I53" s="913" t="s">
        <v>997</v>
      </c>
    </row>
    <row r="54" spans="1:9" s="813" customFormat="1" ht="42" customHeight="1" x14ac:dyDescent="0.2">
      <c r="A54" s="809">
        <v>19</v>
      </c>
      <c r="B54" s="914" t="s">
        <v>767</v>
      </c>
      <c r="C54" s="895" t="s">
        <v>527</v>
      </c>
      <c r="D54" s="915">
        <v>3</v>
      </c>
      <c r="E54" s="911">
        <v>22000</v>
      </c>
      <c r="F54" s="842">
        <f>D54*E54/10^5*[1]Escalation!F23*0.9</f>
        <v>0.61737049180327863</v>
      </c>
      <c r="G54" s="826"/>
      <c r="H54" s="897"/>
      <c r="I54" s="913" t="str">
        <f>I48</f>
        <v>BQ from M/s Yokogawa dated: 09.02.2022 from CDMS. 10% knockdown taken on BQ.  Escalated 4% as per wpi (manufacture of machinery and euip.)</v>
      </c>
    </row>
    <row r="55" spans="1:9" s="813" customFormat="1" ht="33" customHeight="1" x14ac:dyDescent="0.2">
      <c r="A55" s="809">
        <v>20</v>
      </c>
      <c r="B55" s="914" t="s">
        <v>768</v>
      </c>
      <c r="C55" s="895" t="s">
        <v>527</v>
      </c>
      <c r="D55" s="915">
        <v>3</v>
      </c>
      <c r="E55" s="911">
        <v>11200</v>
      </c>
      <c r="F55" s="842">
        <f>D55*E55/10^5*[1]Escalation!F28*0.9</f>
        <v>0.32483957597173146</v>
      </c>
      <c r="G55" s="826"/>
      <c r="H55" s="897"/>
      <c r="I55" s="913" t="str">
        <f>I53</f>
        <v>BQ from M/s tempsens dated: 04.09.2021 from CDMS. 10% knockdown taken on BQ.  Escalated 7% as per wpi (manufacture of machinery and euip.)</v>
      </c>
    </row>
    <row r="56" spans="1:9" s="813" customFormat="1" ht="43.5" customHeight="1" x14ac:dyDescent="0.2">
      <c r="A56" s="809">
        <v>21</v>
      </c>
      <c r="B56" s="914" t="s">
        <v>769</v>
      </c>
      <c r="C56" s="895" t="s">
        <v>527</v>
      </c>
      <c r="D56" s="915">
        <v>3</v>
      </c>
      <c r="E56" s="911">
        <v>22000</v>
      </c>
      <c r="F56" s="842">
        <f>D56*E56/10^5*[1]Escalation!F23*0.9</f>
        <v>0.61737049180327863</v>
      </c>
      <c r="G56" s="826"/>
      <c r="H56" s="897"/>
      <c r="I56" s="913" t="str">
        <f>I50</f>
        <v>BQ from M/s Yokogawa dated: 09.02.2022 from CDMS. 10% knockdown taken on BQ.  Escalated 4% as per wpi (manufacture of machinery and euip.)</v>
      </c>
    </row>
    <row r="57" spans="1:9" s="813" customFormat="1" ht="40.5" customHeight="1" x14ac:dyDescent="0.2">
      <c r="A57" s="809">
        <v>22</v>
      </c>
      <c r="B57" s="914" t="s">
        <v>770</v>
      </c>
      <c r="C57" s="895" t="s">
        <v>527</v>
      </c>
      <c r="D57" s="915">
        <v>6</v>
      </c>
      <c r="E57" s="911">
        <v>11200</v>
      </c>
      <c r="F57" s="842">
        <f>D57*E57/10^5*[1]Escalation!F28*0.9</f>
        <v>0.64967915194346293</v>
      </c>
      <c r="G57" s="826"/>
      <c r="H57" s="897"/>
      <c r="I57" s="913" t="str">
        <f>I55</f>
        <v>BQ from M/s tempsens dated: 04.09.2021 from CDMS. 10% knockdown taken on BQ.  Escalated 7% as per wpi (manufacture of machinery and euip.)</v>
      </c>
    </row>
    <row r="58" spans="1:9" s="813" customFormat="1" ht="45.75" customHeight="1" x14ac:dyDescent="0.2">
      <c r="A58" s="809">
        <v>23</v>
      </c>
      <c r="B58" s="914" t="s">
        <v>771</v>
      </c>
      <c r="C58" s="895" t="s">
        <v>527</v>
      </c>
      <c r="D58" s="915">
        <v>3</v>
      </c>
      <c r="E58" s="911">
        <v>22000</v>
      </c>
      <c r="F58" s="842">
        <f>D58*E58/10^5*[1]Escalation!F23*0.9</f>
        <v>0.61737049180327863</v>
      </c>
      <c r="G58" s="826"/>
      <c r="H58" s="897"/>
      <c r="I58" s="913" t="str">
        <f>I56</f>
        <v>BQ from M/s Yokogawa dated: 09.02.2022 from CDMS. 10% knockdown taken on BQ.  Escalated 4% as per wpi (manufacture of machinery and euip.)</v>
      </c>
    </row>
    <row r="59" spans="1:9" s="813" customFormat="1" ht="43.5" customHeight="1" x14ac:dyDescent="0.2">
      <c r="A59" s="809">
        <v>24</v>
      </c>
      <c r="B59" s="914" t="s">
        <v>772</v>
      </c>
      <c r="C59" s="895" t="s">
        <v>527</v>
      </c>
      <c r="D59" s="915">
        <v>3</v>
      </c>
      <c r="E59" s="911">
        <v>11200</v>
      </c>
      <c r="F59" s="842">
        <f t="shared" si="1"/>
        <v>0.33600000000000002</v>
      </c>
      <c r="G59" s="826"/>
      <c r="H59" s="897"/>
      <c r="I59" s="913" t="str">
        <f>I57</f>
        <v>BQ from M/s tempsens dated: 04.09.2021 from CDMS. 10% knockdown taken on BQ.  Escalated 7% as per wpi (manufacture of machinery and euip.)</v>
      </c>
    </row>
    <row r="60" spans="1:9" s="813" customFormat="1" ht="39" customHeight="1" x14ac:dyDescent="0.2">
      <c r="A60" s="809">
        <v>25</v>
      </c>
      <c r="B60" s="914" t="s">
        <v>773</v>
      </c>
      <c r="C60" s="895" t="s">
        <v>527</v>
      </c>
      <c r="D60" s="915">
        <v>3</v>
      </c>
      <c r="E60" s="911">
        <v>22000</v>
      </c>
      <c r="F60" s="842">
        <f>D60*E60/10^5*[1]Escalation!F23*0.9</f>
        <v>0.61737049180327863</v>
      </c>
      <c r="G60" s="826"/>
      <c r="H60" s="897"/>
      <c r="I60" s="913" t="str">
        <f>I56</f>
        <v>BQ from M/s Yokogawa dated: 09.02.2022 from CDMS. 10% knockdown taken on BQ.  Escalated 4% as per wpi (manufacture of machinery and euip.)</v>
      </c>
    </row>
    <row r="61" spans="1:9" s="813" customFormat="1" ht="38.25" customHeight="1" x14ac:dyDescent="0.2">
      <c r="A61" s="809">
        <v>26</v>
      </c>
      <c r="B61" s="914" t="s">
        <v>774</v>
      </c>
      <c r="C61" s="895" t="s">
        <v>527</v>
      </c>
      <c r="D61" s="915">
        <v>3</v>
      </c>
      <c r="E61" s="911">
        <v>141000</v>
      </c>
      <c r="F61" s="842">
        <f>D61*E61/10^5*[1]Escalation!F28*0.9</f>
        <v>4.0894982332155472</v>
      </c>
      <c r="G61" s="826"/>
      <c r="H61" s="897"/>
      <c r="I61" s="913" t="str">
        <f>I59</f>
        <v>BQ from M/s tempsens dated: 04.09.2021 from CDMS. 10% knockdown taken on BQ.  Escalated 7% as per wpi (manufacture of machinery and euip.)</v>
      </c>
    </row>
    <row r="62" spans="1:9" s="813" customFormat="1" ht="45" customHeight="1" x14ac:dyDescent="0.2">
      <c r="A62" s="809">
        <v>27</v>
      </c>
      <c r="B62" s="914" t="s">
        <v>775</v>
      </c>
      <c r="C62" s="895" t="s">
        <v>527</v>
      </c>
      <c r="D62" s="915">
        <v>3</v>
      </c>
      <c r="E62" s="911">
        <v>22000</v>
      </c>
      <c r="F62" s="842">
        <f t="shared" si="1"/>
        <v>0.66</v>
      </c>
      <c r="G62" s="826"/>
      <c r="H62" s="897"/>
      <c r="I62" s="913" t="str">
        <f>I56</f>
        <v>BQ from M/s Yokogawa dated: 09.02.2022 from CDMS. 10% knockdown taken on BQ.  Escalated 4% as per wpi (manufacture of machinery and euip.)</v>
      </c>
    </row>
    <row r="63" spans="1:9" s="813" customFormat="1" ht="42.75" customHeight="1" x14ac:dyDescent="0.2">
      <c r="A63" s="809">
        <v>28</v>
      </c>
      <c r="B63" s="914" t="s">
        <v>776</v>
      </c>
      <c r="C63" s="895" t="s">
        <v>527</v>
      </c>
      <c r="D63" s="915">
        <v>6</v>
      </c>
      <c r="E63" s="911">
        <v>82700</v>
      </c>
      <c r="F63" s="842">
        <f>D63*E63/10^5*[1]Escalation!F28*0.9</f>
        <v>4.7971844522968192</v>
      </c>
      <c r="G63" s="826"/>
      <c r="H63" s="897"/>
      <c r="I63" s="913" t="str">
        <f>I57</f>
        <v>BQ from M/s tempsens dated: 04.09.2021 from CDMS. 10% knockdown taken on BQ.  Escalated 7% as per wpi (manufacture of machinery and euip.)</v>
      </c>
    </row>
    <row r="64" spans="1:9" s="813" customFormat="1" ht="41.25" customHeight="1" x14ac:dyDescent="0.2">
      <c r="A64" s="809">
        <v>29</v>
      </c>
      <c r="B64" s="914" t="s">
        <v>777</v>
      </c>
      <c r="C64" s="895" t="s">
        <v>525</v>
      </c>
      <c r="D64" s="915">
        <v>3</v>
      </c>
      <c r="E64" s="911">
        <v>22000</v>
      </c>
      <c r="F64" s="842">
        <f>D64*E64/10^5*[1]Escalation!F23*0.9</f>
        <v>0.61737049180327863</v>
      </c>
      <c r="G64" s="826"/>
      <c r="H64" s="897"/>
      <c r="I64" s="913" t="str">
        <f>I56</f>
        <v>BQ from M/s Yokogawa dated: 09.02.2022 from CDMS. 10% knockdown taken on BQ.  Escalated 4% as per wpi (manufacture of machinery and euip.)</v>
      </c>
    </row>
    <row r="65" spans="1:9" s="813" customFormat="1" ht="46.5" customHeight="1" x14ac:dyDescent="0.2">
      <c r="A65" s="809">
        <v>30</v>
      </c>
      <c r="B65" s="914" t="s">
        <v>778</v>
      </c>
      <c r="C65" s="895" t="s">
        <v>527</v>
      </c>
      <c r="D65" s="915">
        <v>72</v>
      </c>
      <c r="E65" s="911">
        <v>11200</v>
      </c>
      <c r="F65" s="842">
        <f>D65*E65/10^5*[1]Escalation!F28*0.9</f>
        <v>7.7961498233215547</v>
      </c>
      <c r="G65" s="826"/>
      <c r="H65" s="897"/>
      <c r="I65" s="913" t="str">
        <f>I63</f>
        <v>BQ from M/s tempsens dated: 04.09.2021 from CDMS. 10% knockdown taken on BQ.  Escalated 7% as per wpi (manufacture of machinery and euip.)</v>
      </c>
    </row>
    <row r="66" spans="1:9" s="813" customFormat="1" ht="58.5" customHeight="1" x14ac:dyDescent="0.2">
      <c r="A66" s="809">
        <v>31</v>
      </c>
      <c r="B66" s="914" t="s">
        <v>779</v>
      </c>
      <c r="C66" s="895" t="s">
        <v>527</v>
      </c>
      <c r="D66" s="915">
        <v>3</v>
      </c>
      <c r="E66" s="911">
        <v>517000</v>
      </c>
      <c r="F66" s="842">
        <f>D66*E66/10^5*[1]Escalation!F26*0.9</f>
        <v>14.171346677341871</v>
      </c>
      <c r="G66" s="826"/>
      <c r="H66" s="897"/>
      <c r="I66" s="913" t="s">
        <v>993</v>
      </c>
    </row>
    <row r="67" spans="1:9" s="813" customFormat="1" ht="39.75" customHeight="1" x14ac:dyDescent="0.2">
      <c r="A67" s="809">
        <v>32</v>
      </c>
      <c r="B67" s="914" t="s">
        <v>780</v>
      </c>
      <c r="C67" s="895" t="s">
        <v>527</v>
      </c>
      <c r="D67" s="915">
        <v>3</v>
      </c>
      <c r="E67" s="911">
        <v>191400</v>
      </c>
      <c r="F67" s="842">
        <f>D67*E67/10^5*[1]Escalation!F27*0.9</f>
        <v>5.908719927862939</v>
      </c>
      <c r="G67" s="826"/>
      <c r="H67" s="897"/>
      <c r="I67" s="913" t="s">
        <v>994</v>
      </c>
    </row>
    <row r="68" spans="1:9" s="813" customFormat="1" ht="18" customHeight="1" x14ac:dyDescent="0.2">
      <c r="A68" s="809">
        <v>33</v>
      </c>
      <c r="B68" s="914" t="s">
        <v>781</v>
      </c>
      <c r="C68" s="895" t="s">
        <v>319</v>
      </c>
      <c r="D68" s="915">
        <v>3</v>
      </c>
      <c r="E68" s="911">
        <v>50000</v>
      </c>
      <c r="F68" s="842">
        <f t="shared" si="1"/>
        <v>1.5</v>
      </c>
      <c r="G68" s="826"/>
      <c r="H68" s="897"/>
      <c r="I68" s="913" t="s">
        <v>532</v>
      </c>
    </row>
    <row r="69" spans="1:9" s="813" customFormat="1" ht="18" customHeight="1" x14ac:dyDescent="0.2">
      <c r="A69" s="809">
        <v>34</v>
      </c>
      <c r="B69" s="914" t="s">
        <v>782</v>
      </c>
      <c r="C69" s="895" t="s">
        <v>319</v>
      </c>
      <c r="D69" s="915">
        <v>3</v>
      </c>
      <c r="E69" s="911">
        <v>50000</v>
      </c>
      <c r="F69" s="842">
        <f t="shared" si="1"/>
        <v>1.5</v>
      </c>
      <c r="G69" s="826"/>
      <c r="H69" s="897"/>
      <c r="I69" s="913" t="s">
        <v>532</v>
      </c>
    </row>
    <row r="70" spans="1:9" s="813" customFormat="1" ht="18" customHeight="1" x14ac:dyDescent="0.2">
      <c r="A70" s="809">
        <v>35</v>
      </c>
      <c r="B70" s="914" t="s">
        <v>783</v>
      </c>
      <c r="C70" s="895" t="s">
        <v>319</v>
      </c>
      <c r="D70" s="915">
        <v>3</v>
      </c>
      <c r="E70" s="911">
        <v>200000</v>
      </c>
      <c r="F70" s="842">
        <f t="shared" si="1"/>
        <v>6</v>
      </c>
      <c r="G70" s="826"/>
      <c r="H70" s="897"/>
      <c r="I70" s="913" t="s">
        <v>532</v>
      </c>
    </row>
    <row r="71" spans="1:9" s="813" customFormat="1" ht="18" customHeight="1" x14ac:dyDescent="0.2">
      <c r="A71" s="809">
        <v>36</v>
      </c>
      <c r="B71" s="914" t="s">
        <v>784</v>
      </c>
      <c r="C71" s="895" t="s">
        <v>319</v>
      </c>
      <c r="D71" s="915">
        <v>3</v>
      </c>
      <c r="E71" s="911">
        <v>200000</v>
      </c>
      <c r="F71" s="842">
        <f t="shared" si="1"/>
        <v>6</v>
      </c>
      <c r="G71" s="826"/>
      <c r="H71" s="897"/>
      <c r="I71" s="913" t="s">
        <v>532</v>
      </c>
    </row>
    <row r="72" spans="1:9" s="813" customFormat="1" ht="40.5" customHeight="1" x14ac:dyDescent="0.2">
      <c r="A72" s="809">
        <v>37</v>
      </c>
      <c r="B72" s="914" t="s">
        <v>785</v>
      </c>
      <c r="C72" s="895" t="s">
        <v>527</v>
      </c>
      <c r="D72" s="915">
        <v>3</v>
      </c>
      <c r="E72" s="911">
        <v>548733</v>
      </c>
      <c r="F72" s="842">
        <f>D72*E72/10^5*[1]Escalation!F25*0.9</f>
        <v>16.595780024734985</v>
      </c>
      <c r="G72" s="826"/>
      <c r="H72" s="897"/>
      <c r="I72" s="913" t="s">
        <v>996</v>
      </c>
    </row>
    <row r="73" spans="1:9" s="813" customFormat="1" ht="18" customHeight="1" x14ac:dyDescent="0.2">
      <c r="A73" s="809">
        <v>38</v>
      </c>
      <c r="B73" s="914" t="s">
        <v>786</v>
      </c>
      <c r="C73" s="895"/>
      <c r="D73" s="915"/>
      <c r="E73" s="911"/>
      <c r="F73" s="842">
        <f t="shared" si="1"/>
        <v>0</v>
      </c>
      <c r="G73" s="826"/>
      <c r="H73" s="897"/>
      <c r="I73" s="913"/>
    </row>
    <row r="74" spans="1:9" s="813" customFormat="1" ht="28.5" customHeight="1" x14ac:dyDescent="0.2">
      <c r="A74" s="809" t="s">
        <v>651</v>
      </c>
      <c r="B74" s="914" t="s">
        <v>787</v>
      </c>
      <c r="C74" s="895" t="s">
        <v>18</v>
      </c>
      <c r="D74" s="915">
        <v>1500</v>
      </c>
      <c r="E74" s="911">
        <v>99</v>
      </c>
      <c r="F74" s="842">
        <f>D74*E74/10^5*0.9</f>
        <v>1.3365</v>
      </c>
      <c r="G74" s="826"/>
      <c r="H74" s="897"/>
      <c r="I74" s="913" t="s">
        <v>900</v>
      </c>
    </row>
    <row r="75" spans="1:9" s="813" customFormat="1" ht="18" customHeight="1" x14ac:dyDescent="0.2">
      <c r="A75" s="809" t="s">
        <v>652</v>
      </c>
      <c r="B75" s="914" t="s">
        <v>788</v>
      </c>
      <c r="C75" s="895" t="s">
        <v>18</v>
      </c>
      <c r="D75" s="915">
        <v>2000</v>
      </c>
      <c r="E75" s="911">
        <v>630</v>
      </c>
      <c r="F75" s="842">
        <f t="shared" ref="F75:F76" si="2">D75*E75/10^5*0.9</f>
        <v>11.34</v>
      </c>
      <c r="G75" s="826"/>
      <c r="H75" s="897"/>
      <c r="I75" s="916" t="s">
        <v>894</v>
      </c>
    </row>
    <row r="76" spans="1:9" s="813" customFormat="1" ht="18" customHeight="1" x14ac:dyDescent="0.2">
      <c r="A76" s="809" t="s">
        <v>653</v>
      </c>
      <c r="B76" s="914" t="s">
        <v>789</v>
      </c>
      <c r="C76" s="895" t="s">
        <v>18</v>
      </c>
      <c r="D76" s="915">
        <v>1000</v>
      </c>
      <c r="E76" s="911">
        <v>108</v>
      </c>
      <c r="F76" s="842">
        <f t="shared" si="2"/>
        <v>0.97200000000000009</v>
      </c>
      <c r="G76" s="826"/>
      <c r="H76" s="897"/>
      <c r="I76" s="916" t="s">
        <v>894</v>
      </c>
    </row>
    <row r="77" spans="1:9" s="813" customFormat="1" ht="30" customHeight="1" x14ac:dyDescent="0.2">
      <c r="A77" s="809" t="s">
        <v>654</v>
      </c>
      <c r="B77" s="914" t="s">
        <v>790</v>
      </c>
      <c r="C77" s="895" t="s">
        <v>18</v>
      </c>
      <c r="D77" s="915">
        <v>2000</v>
      </c>
      <c r="E77" s="911">
        <v>60</v>
      </c>
      <c r="F77" s="842">
        <f>D77*E77/10^5*[1]Escalation!F19</f>
        <v>1.3394366197183099</v>
      </c>
      <c r="G77" s="826"/>
      <c r="H77" s="897"/>
      <c r="I77" s="913" t="s">
        <v>995</v>
      </c>
    </row>
    <row r="78" spans="1:9" s="813" customFormat="1" ht="28.5" customHeight="1" x14ac:dyDescent="0.2">
      <c r="A78" s="809" t="s">
        <v>654</v>
      </c>
      <c r="B78" s="914" t="s">
        <v>791</v>
      </c>
      <c r="C78" s="895" t="s">
        <v>18</v>
      </c>
      <c r="D78" s="915">
        <v>2000</v>
      </c>
      <c r="E78" s="911">
        <v>76.5</v>
      </c>
      <c r="F78" s="842">
        <f>D78*E78/10^5*0.9</f>
        <v>1.377</v>
      </c>
      <c r="G78" s="826"/>
      <c r="H78" s="897"/>
      <c r="I78" s="913" t="s">
        <v>900</v>
      </c>
    </row>
    <row r="79" spans="1:9" s="813" customFormat="1" ht="18" customHeight="1" x14ac:dyDescent="0.2">
      <c r="A79" s="809" t="s">
        <v>655</v>
      </c>
      <c r="B79" s="914" t="s">
        <v>792</v>
      </c>
      <c r="C79" s="895" t="s">
        <v>18</v>
      </c>
      <c r="D79" s="915">
        <v>4000</v>
      </c>
      <c r="E79" s="911">
        <v>261</v>
      </c>
      <c r="F79" s="842">
        <f t="shared" ref="F79:F80" si="3">D79*E79/10^5*0.9</f>
        <v>9.395999999999999</v>
      </c>
      <c r="G79" s="826"/>
      <c r="H79" s="897"/>
      <c r="I79" s="916" t="s">
        <v>894</v>
      </c>
    </row>
    <row r="80" spans="1:9" s="813" customFormat="1" ht="18" customHeight="1" x14ac:dyDescent="0.2">
      <c r="A80" s="809" t="s">
        <v>670</v>
      </c>
      <c r="B80" s="914" t="s">
        <v>793</v>
      </c>
      <c r="C80" s="895" t="s">
        <v>18</v>
      </c>
      <c r="D80" s="915">
        <v>4000</v>
      </c>
      <c r="E80" s="911">
        <v>396</v>
      </c>
      <c r="F80" s="842">
        <f t="shared" si="3"/>
        <v>14.256</v>
      </c>
      <c r="G80" s="826"/>
      <c r="H80" s="897"/>
      <c r="I80" s="916" t="s">
        <v>894</v>
      </c>
    </row>
    <row r="81" spans="1:12" s="813" customFormat="1" ht="39.75" customHeight="1" x14ac:dyDescent="0.2">
      <c r="A81" s="809">
        <v>39</v>
      </c>
      <c r="B81" s="1187" t="s">
        <v>1029</v>
      </c>
      <c r="C81" s="1188" t="s">
        <v>527</v>
      </c>
      <c r="D81" s="1189">
        <v>3</v>
      </c>
      <c r="E81" s="1190">
        <v>696500</v>
      </c>
      <c r="F81" s="1191">
        <f>D81*E81/10^5*0.9*[1]Escalation!F30</f>
        <v>21.10210088495575</v>
      </c>
      <c r="G81" s="1192"/>
      <c r="H81" s="1193"/>
      <c r="I81" s="1194" t="s">
        <v>1033</v>
      </c>
      <c r="J81" s="1195" t="s">
        <v>1030</v>
      </c>
    </row>
    <row r="82" spans="1:12" s="813" customFormat="1" ht="36.75" customHeight="1" x14ac:dyDescent="0.2">
      <c r="A82" s="921"/>
      <c r="B82" s="1282" t="s">
        <v>1004</v>
      </c>
      <c r="C82" s="1283"/>
      <c r="D82" s="1283"/>
      <c r="E82" s="1284"/>
      <c r="F82" s="968">
        <f>SUM(F36:F81)</f>
        <v>176.00452216044943</v>
      </c>
      <c r="G82" s="922"/>
      <c r="H82" s="923"/>
      <c r="I82" s="924">
        <f>SUM(F36:F80)+SUM(H36:H80)</f>
        <v>154.90242127549368</v>
      </c>
    </row>
    <row r="83" spans="1:12" s="813" customFormat="1" ht="15.95" customHeight="1" x14ac:dyDescent="0.2">
      <c r="A83" s="809"/>
      <c r="B83" s="918"/>
      <c r="C83" s="919"/>
      <c r="D83" s="919"/>
      <c r="E83" s="920"/>
      <c r="F83" s="917"/>
      <c r="G83" s="845"/>
      <c r="H83" s="843"/>
      <c r="I83" s="80"/>
      <c r="J83" s="1184" t="s">
        <v>1024</v>
      </c>
      <c r="K83" s="1184" t="s">
        <v>1025</v>
      </c>
      <c r="L83" s="1184" t="s">
        <v>532</v>
      </c>
    </row>
    <row r="84" spans="1:12" s="813" customFormat="1" ht="36" customHeight="1" x14ac:dyDescent="0.2">
      <c r="A84" s="921"/>
      <c r="B84" s="1282" t="s">
        <v>901</v>
      </c>
      <c r="C84" s="1283"/>
      <c r="D84" s="1283"/>
      <c r="E84" s="1284"/>
      <c r="F84" s="925">
        <f>F19+F30+F34+F82</f>
        <v>1362.241228420334</v>
      </c>
      <c r="G84" s="922"/>
      <c r="H84" s="923"/>
      <c r="I84" s="924">
        <f>F84+F155</f>
        <v>1732.741228420334</v>
      </c>
      <c r="J84" s="1185">
        <f>((F77+F72+F67+F25)+(F17+F15))/F84</f>
        <v>0.4213465563438582</v>
      </c>
      <c r="K84" s="1185">
        <f>((F82-F77-F72-F68-F69-F70-F71-F67)+(F33)+(F28+F22+F10+F11+F12+F13))/F84</f>
        <v>0.55153909215260399</v>
      </c>
      <c r="L84" s="1185">
        <f>100%-J84-K84</f>
        <v>2.7114351503537804E-2</v>
      </c>
    </row>
    <row r="85" spans="1:12" s="813" customFormat="1" ht="12" customHeight="1" x14ac:dyDescent="0.2">
      <c r="A85" s="809"/>
      <c r="B85" s="918"/>
      <c r="C85" s="919"/>
      <c r="D85" s="919"/>
      <c r="E85" s="920"/>
      <c r="F85" s="917"/>
      <c r="G85" s="845"/>
      <c r="H85" s="843"/>
      <c r="I85" s="80"/>
    </row>
    <row r="86" spans="1:12" s="813" customFormat="1" ht="19.5" customHeight="1" x14ac:dyDescent="0.2">
      <c r="A86" s="809"/>
      <c r="B86" s="823" t="s">
        <v>322</v>
      </c>
      <c r="C86" s="824"/>
      <c r="D86" s="824"/>
      <c r="F86" s="80"/>
      <c r="I86" s="80"/>
    </row>
    <row r="87" spans="1:12" s="813" customFormat="1" ht="35.25" customHeight="1" x14ac:dyDescent="0.2">
      <c r="A87" s="1199" t="s">
        <v>794</v>
      </c>
      <c r="B87" s="1200" t="s">
        <v>795</v>
      </c>
      <c r="C87" s="1201"/>
      <c r="D87" s="1201"/>
      <c r="E87" s="1202"/>
      <c r="F87" s="80">
        <f>D87*E87</f>
        <v>0</v>
      </c>
      <c r="G87" s="1203"/>
      <c r="I87" s="1204"/>
    </row>
    <row r="88" spans="1:12" s="813" customFormat="1" ht="18" customHeight="1" x14ac:dyDescent="0.2">
      <c r="A88" s="1199">
        <v>1</v>
      </c>
      <c r="B88" s="1200" t="s">
        <v>796</v>
      </c>
      <c r="C88" s="1205"/>
      <c r="D88" s="1205"/>
      <c r="E88" s="1205"/>
      <c r="F88" s="80">
        <f>D88*E88</f>
        <v>0</v>
      </c>
      <c r="G88" s="926"/>
      <c r="I88" s="1206"/>
    </row>
    <row r="89" spans="1:12" s="813" customFormat="1" ht="18" customHeight="1" x14ac:dyDescent="0.25">
      <c r="A89" s="1179"/>
      <c r="B89" s="1200" t="s">
        <v>797</v>
      </c>
      <c r="C89" s="1205"/>
      <c r="D89" s="1205"/>
      <c r="E89" s="1205"/>
      <c r="F89" s="826"/>
      <c r="G89" s="926"/>
      <c r="H89" s="897"/>
      <c r="I89" s="1206"/>
    </row>
    <row r="90" spans="1:12" s="813" customFormat="1" ht="18" customHeight="1" x14ac:dyDescent="0.2">
      <c r="A90" s="927">
        <v>1.1000000000000001</v>
      </c>
      <c r="B90" s="928" t="s">
        <v>798</v>
      </c>
      <c r="C90" s="1205" t="s">
        <v>533</v>
      </c>
      <c r="D90" s="1205">
        <v>1292</v>
      </c>
      <c r="E90" s="1207">
        <v>68000</v>
      </c>
      <c r="F90" s="826">
        <f>D90*E90/10^5*0.85*[1]Escalation!$F$84</f>
        <v>758.93430676949436</v>
      </c>
      <c r="G90" s="926"/>
      <c r="H90" s="897"/>
      <c r="I90" s="1291" t="s">
        <v>1034</v>
      </c>
      <c r="J90" s="809"/>
    </row>
    <row r="91" spans="1:12" s="813" customFormat="1" ht="18" customHeight="1" x14ac:dyDescent="0.2">
      <c r="A91" s="927">
        <v>1.2</v>
      </c>
      <c r="B91" s="928" t="s">
        <v>799</v>
      </c>
      <c r="C91" s="1205" t="s">
        <v>533</v>
      </c>
      <c r="D91" s="1205">
        <v>430</v>
      </c>
      <c r="E91" s="1207">
        <v>54000</v>
      </c>
      <c r="F91" s="826">
        <f>D91*E91/10^5*0.85*[1]Escalation!$F$84</f>
        <v>200.58339331619536</v>
      </c>
      <c r="G91" s="926"/>
      <c r="H91" s="897"/>
      <c r="I91" s="1292"/>
      <c r="J91" s="809"/>
    </row>
    <row r="92" spans="1:12" s="813" customFormat="1" ht="42.75" customHeight="1" x14ac:dyDescent="0.2">
      <c r="A92" s="927">
        <v>1.3</v>
      </c>
      <c r="B92" s="928" t="s">
        <v>800</v>
      </c>
      <c r="C92" s="1205" t="s">
        <v>533</v>
      </c>
      <c r="D92" s="1205">
        <v>953</v>
      </c>
      <c r="E92" s="1207">
        <v>44000</v>
      </c>
      <c r="F92" s="826">
        <f>D92*E92/10^5*0.85*[1]Escalation!$F$84</f>
        <v>362.22492887746353</v>
      </c>
      <c r="G92" s="926"/>
      <c r="H92" s="897"/>
      <c r="I92" s="1293"/>
      <c r="J92" s="809"/>
    </row>
    <row r="93" spans="1:12" s="813" customFormat="1" ht="18" customHeight="1" x14ac:dyDescent="0.25">
      <c r="A93" s="1179"/>
      <c r="B93" s="1200" t="s">
        <v>801</v>
      </c>
      <c r="C93" s="1205"/>
      <c r="D93" s="1205"/>
      <c r="E93" s="1205"/>
      <c r="F93" s="826">
        <f>D93*E93/10^5*0.85*[1]Escalation!$F$84</f>
        <v>0</v>
      </c>
      <c r="G93" s="926"/>
      <c r="H93" s="897"/>
      <c r="I93" s="1206"/>
    </row>
    <row r="94" spans="1:12" s="813" customFormat="1" ht="18" customHeight="1" x14ac:dyDescent="0.2">
      <c r="A94" s="927">
        <v>1.4</v>
      </c>
      <c r="B94" s="928" t="s">
        <v>802</v>
      </c>
      <c r="C94" s="1205" t="s">
        <v>533</v>
      </c>
      <c r="D94" s="1205">
        <v>592</v>
      </c>
      <c r="E94" s="1180">
        <v>60000</v>
      </c>
      <c r="F94" s="826">
        <f>D94*E94/10^5*0.85*[1]Escalation!$F$84</f>
        <v>306.83557840616959</v>
      </c>
      <c r="G94" s="926"/>
      <c r="H94" s="897"/>
      <c r="I94" s="1294" t="s">
        <v>1034</v>
      </c>
      <c r="J94" s="809"/>
    </row>
    <row r="95" spans="1:12" s="813" customFormat="1" ht="18" customHeight="1" x14ac:dyDescent="0.2">
      <c r="A95" s="927">
        <v>1.5</v>
      </c>
      <c r="B95" s="928" t="s">
        <v>803</v>
      </c>
      <c r="C95" s="1205" t="s">
        <v>533</v>
      </c>
      <c r="D95" s="1205">
        <v>166</v>
      </c>
      <c r="E95" s="1180">
        <v>48000</v>
      </c>
      <c r="F95" s="826">
        <f>D95*E95/10^5*0.85*[1]Escalation!$F$84</f>
        <v>68.830683804627256</v>
      </c>
      <c r="G95" s="926"/>
      <c r="H95" s="897"/>
      <c r="I95" s="1295"/>
      <c r="J95" s="809"/>
    </row>
    <row r="96" spans="1:12" s="813" customFormat="1" ht="18" customHeight="1" x14ac:dyDescent="0.2">
      <c r="A96" s="927">
        <v>1.6</v>
      </c>
      <c r="B96" s="928" t="s">
        <v>804</v>
      </c>
      <c r="C96" s="1205" t="s">
        <v>533</v>
      </c>
      <c r="D96" s="1205">
        <v>1043</v>
      </c>
      <c r="E96" s="1180">
        <v>28000</v>
      </c>
      <c r="F96" s="826">
        <f>D96*E96/10^5*0.85*[1]Escalation!$F$84</f>
        <v>252.27551328191944</v>
      </c>
      <c r="G96" s="926"/>
      <c r="H96" s="897"/>
      <c r="I96" s="1295"/>
      <c r="J96" s="809"/>
    </row>
    <row r="97" spans="1:10" s="813" customFormat="1" ht="54.75" customHeight="1" x14ac:dyDescent="0.2">
      <c r="A97" s="927">
        <v>1.7</v>
      </c>
      <c r="B97" s="1208" t="s">
        <v>805</v>
      </c>
      <c r="C97" s="1205" t="s">
        <v>533</v>
      </c>
      <c r="D97" s="1205">
        <v>25</v>
      </c>
      <c r="E97" s="1180">
        <v>60000</v>
      </c>
      <c r="F97" s="826">
        <f>D97*E97/10^5*0.85*[1]Escalation!$F$84</f>
        <v>12.95758354755784</v>
      </c>
      <c r="G97" s="926"/>
      <c r="H97" s="897"/>
      <c r="I97" s="1296"/>
      <c r="J97" s="809"/>
    </row>
    <row r="98" spans="1:10" s="813" customFormat="1" ht="63.75" customHeight="1" x14ac:dyDescent="0.2">
      <c r="A98" s="927">
        <v>1.8</v>
      </c>
      <c r="B98" s="1208" t="s">
        <v>806</v>
      </c>
      <c r="C98" s="1205" t="s">
        <v>533</v>
      </c>
      <c r="D98" s="1205">
        <v>84</v>
      </c>
      <c r="E98" s="1180">
        <v>115000</v>
      </c>
      <c r="F98" s="826">
        <f>D98*E98/10^5*0.85*[1]Escalation!$F$83</f>
        <v>81.765289672544085</v>
      </c>
      <c r="G98" s="926"/>
      <c r="H98" s="897"/>
      <c r="I98" s="1209" t="s">
        <v>1035</v>
      </c>
      <c r="J98" s="809"/>
    </row>
    <row r="99" spans="1:10" s="813" customFormat="1" ht="64.5" customHeight="1" x14ac:dyDescent="0.2">
      <c r="A99" s="927">
        <v>1.9</v>
      </c>
      <c r="B99" s="1208" t="s">
        <v>807</v>
      </c>
      <c r="C99" s="1205" t="s">
        <v>533</v>
      </c>
      <c r="D99" s="1205">
        <v>519</v>
      </c>
      <c r="E99" s="1180">
        <v>150000</v>
      </c>
      <c r="F99" s="826">
        <f>D99*E99/10^5*0.85*[1]Escalation!$F$85</f>
        <v>654.55033361134269</v>
      </c>
      <c r="G99" s="926"/>
      <c r="H99" s="897"/>
      <c r="I99" s="1209" t="s">
        <v>1036</v>
      </c>
    </row>
    <row r="100" spans="1:10" s="813" customFormat="1" ht="29.25" customHeight="1" x14ac:dyDescent="0.25">
      <c r="A100" s="1179"/>
      <c r="B100" s="1200" t="s">
        <v>808</v>
      </c>
      <c r="C100" s="1205"/>
      <c r="D100" s="1205"/>
      <c r="E100" s="1180"/>
      <c r="F100" s="826"/>
      <c r="G100" s="926"/>
      <c r="H100" s="897"/>
      <c r="I100" s="1210"/>
    </row>
    <row r="101" spans="1:10" s="813" customFormat="1" ht="63" customHeight="1" x14ac:dyDescent="0.2">
      <c r="A101" s="1181">
        <v>1.1000000000000001</v>
      </c>
      <c r="B101" s="928" t="s">
        <v>809</v>
      </c>
      <c r="C101" s="1205" t="s">
        <v>533</v>
      </c>
      <c r="D101" s="1205">
        <v>23</v>
      </c>
      <c r="E101" s="1180">
        <f>269905/1.15</f>
        <v>234700.00000000003</v>
      </c>
      <c r="F101" s="826">
        <f>D101*E101/10^5*[1]Escalation!F82</f>
        <v>57.625081908190829</v>
      </c>
      <c r="G101" s="926"/>
      <c r="H101" s="897"/>
      <c r="I101" s="1209" t="s">
        <v>1037</v>
      </c>
      <c r="J101" s="813" t="s">
        <v>1038</v>
      </c>
    </row>
    <row r="102" spans="1:10" s="813" customFormat="1" ht="18" customHeight="1" x14ac:dyDescent="0.25">
      <c r="A102" s="1179"/>
      <c r="B102" s="1182" t="s">
        <v>810</v>
      </c>
      <c r="C102" s="1205"/>
      <c r="D102" s="1205"/>
      <c r="E102" s="1180"/>
      <c r="F102" s="826"/>
      <c r="G102" s="926"/>
      <c r="H102" s="897"/>
      <c r="I102" s="1209"/>
    </row>
    <row r="103" spans="1:10" s="813" customFormat="1" ht="57.75" customHeight="1" x14ac:dyDescent="0.2">
      <c r="A103" s="1181">
        <v>1.1100000000000001</v>
      </c>
      <c r="B103" s="928" t="s">
        <v>811</v>
      </c>
      <c r="C103" s="1205" t="s">
        <v>533</v>
      </c>
      <c r="D103" s="1205">
        <v>312</v>
      </c>
      <c r="E103" s="1180">
        <v>130000</v>
      </c>
      <c r="F103" s="826">
        <f>D103*E103/10^5*0.85*[1]Escalation!F84</f>
        <v>350.37305912596401</v>
      </c>
      <c r="G103" s="926"/>
      <c r="H103" s="897"/>
      <c r="I103" s="1209" t="s">
        <v>1039</v>
      </c>
    </row>
    <row r="104" spans="1:10" s="813" customFormat="1" ht="44.1" customHeight="1" x14ac:dyDescent="0.2">
      <c r="A104" s="1181">
        <v>1.1200000000000001</v>
      </c>
      <c r="B104" s="928" t="s">
        <v>812</v>
      </c>
      <c r="C104" s="1205" t="s">
        <v>533</v>
      </c>
      <c r="D104" s="1205">
        <v>50</v>
      </c>
      <c r="E104" s="1180">
        <v>102000</v>
      </c>
      <c r="F104" s="826">
        <f>D104*E104/10^5*0.85*[1]Escalation!$F$83</f>
        <v>43.168010075566755</v>
      </c>
      <c r="G104" s="926"/>
      <c r="H104" s="897"/>
      <c r="I104" s="1209" t="s">
        <v>1040</v>
      </c>
    </row>
    <row r="105" spans="1:10" s="813" customFormat="1" ht="16.5" customHeight="1" x14ac:dyDescent="0.2">
      <c r="A105" s="1181"/>
      <c r="B105" s="1200" t="s">
        <v>813</v>
      </c>
      <c r="C105" s="1205"/>
      <c r="D105" s="1205"/>
      <c r="E105" s="1180"/>
      <c r="F105" s="826">
        <f>D105*E105/10^5*0.85*[1]Escalation!$F$83</f>
        <v>0</v>
      </c>
      <c r="G105" s="926"/>
      <c r="H105" s="897"/>
      <c r="I105" s="1209"/>
    </row>
    <row r="106" spans="1:10" s="813" customFormat="1" ht="18" customHeight="1" x14ac:dyDescent="0.2">
      <c r="A106" s="1181">
        <v>1.1299999999999999</v>
      </c>
      <c r="B106" s="928" t="s">
        <v>814</v>
      </c>
      <c r="C106" s="1205" t="s">
        <v>533</v>
      </c>
      <c r="D106" s="1205">
        <v>40</v>
      </c>
      <c r="E106" s="1180">
        <v>45000</v>
      </c>
      <c r="F106" s="826">
        <f>D106*E106/10^5*0.85*[1]Escalation!$F$83</f>
        <v>15.235768261964735</v>
      </c>
      <c r="G106" s="926"/>
      <c r="H106" s="897"/>
      <c r="I106" s="1294" t="s">
        <v>1041</v>
      </c>
    </row>
    <row r="107" spans="1:10" s="813" customFormat="1" ht="75" customHeight="1" x14ac:dyDescent="0.2">
      <c r="A107" s="1181">
        <v>1.1399999999999999</v>
      </c>
      <c r="B107" s="928" t="s">
        <v>815</v>
      </c>
      <c r="C107" s="1205" t="s">
        <v>533</v>
      </c>
      <c r="D107" s="1205">
        <v>78</v>
      </c>
      <c r="E107" s="1180">
        <v>29000</v>
      </c>
      <c r="F107" s="826">
        <f>D107*E107/10^5*0.85*[1]Escalation!$F$83</f>
        <v>19.146282115869017</v>
      </c>
      <c r="G107" s="926"/>
      <c r="H107" s="897"/>
      <c r="I107" s="1296"/>
    </row>
    <row r="108" spans="1:10" s="813" customFormat="1" ht="94.5" customHeight="1" x14ac:dyDescent="0.2">
      <c r="A108" s="1181">
        <v>1.1499999999999999</v>
      </c>
      <c r="B108" s="928" t="s">
        <v>816</v>
      </c>
      <c r="C108" s="1205" t="s">
        <v>533</v>
      </c>
      <c r="D108" s="1205">
        <v>53</v>
      </c>
      <c r="E108" s="1180">
        <v>25500</v>
      </c>
      <c r="F108" s="826">
        <f>D108*E108/10^5*0.85*[1]Escalation!F85</f>
        <v>11.363195579649707</v>
      </c>
      <c r="G108" s="926"/>
      <c r="H108" s="897"/>
      <c r="I108" s="1209" t="s">
        <v>1036</v>
      </c>
    </row>
    <row r="109" spans="1:10" s="813" customFormat="1" ht="94.5" customHeight="1" x14ac:dyDescent="0.2">
      <c r="A109" s="1181">
        <v>1.1599999999999999</v>
      </c>
      <c r="B109" s="928" t="s">
        <v>817</v>
      </c>
      <c r="C109" s="1205" t="s">
        <v>533</v>
      </c>
      <c r="D109" s="1205">
        <v>67</v>
      </c>
      <c r="E109" s="1180">
        <v>45000</v>
      </c>
      <c r="F109" s="826">
        <f>D109*E109/10^5*0.85*[1]Escalation!F83</f>
        <v>25.519911838790929</v>
      </c>
      <c r="G109" s="926"/>
      <c r="H109" s="897"/>
      <c r="I109" s="1209" t="s">
        <v>1041</v>
      </c>
    </row>
    <row r="110" spans="1:10" s="813" customFormat="1" ht="94.5" customHeight="1" x14ac:dyDescent="0.2">
      <c r="A110" s="1181">
        <v>1.17</v>
      </c>
      <c r="B110" s="928" t="s">
        <v>818</v>
      </c>
      <c r="C110" s="1205" t="s">
        <v>533</v>
      </c>
      <c r="D110" s="1205">
        <v>252</v>
      </c>
      <c r="E110" s="1180">
        <v>75000</v>
      </c>
      <c r="F110" s="826">
        <f>D110*E110/10^5*0.85*[1]Escalation!F85</f>
        <v>158.90817347789823</v>
      </c>
      <c r="G110" s="926"/>
      <c r="H110" s="897"/>
      <c r="I110" s="1209" t="s">
        <v>1036</v>
      </c>
    </row>
    <row r="111" spans="1:10" s="813" customFormat="1" ht="47.25" customHeight="1" x14ac:dyDescent="0.2">
      <c r="A111" s="1181">
        <v>1.18</v>
      </c>
      <c r="B111" s="928" t="s">
        <v>819</v>
      </c>
      <c r="C111" s="1205" t="s">
        <v>533</v>
      </c>
      <c r="D111" s="1205">
        <v>40</v>
      </c>
      <c r="E111" s="1180">
        <f>42895/1.15</f>
        <v>37300</v>
      </c>
      <c r="F111" s="826">
        <f>D111*E111/10^5*[1]Escalation!$F$82</f>
        <v>15.927200720072006</v>
      </c>
      <c r="G111" s="926"/>
      <c r="H111" s="897"/>
      <c r="I111" s="1209" t="s">
        <v>1042</v>
      </c>
    </row>
    <row r="112" spans="1:10" s="813" customFormat="1" ht="45.75" customHeight="1" x14ac:dyDescent="0.2">
      <c r="A112" s="1181">
        <v>1.19</v>
      </c>
      <c r="B112" s="928" t="s">
        <v>820</v>
      </c>
      <c r="C112" s="1205" t="s">
        <v>533</v>
      </c>
      <c r="D112" s="1205">
        <v>113</v>
      </c>
      <c r="E112" s="1211">
        <f>32890/1.15</f>
        <v>28600.000000000004</v>
      </c>
      <c r="F112" s="826">
        <f>D112*E112/10^5*[1]Escalation!$F$82</f>
        <v>34.499683168316835</v>
      </c>
      <c r="G112" s="926"/>
      <c r="H112" s="897"/>
      <c r="I112" s="1209" t="s">
        <v>1042</v>
      </c>
    </row>
    <row r="113" spans="1:9" s="813" customFormat="1" ht="50.25" customHeight="1" x14ac:dyDescent="0.25">
      <c r="A113" s="1181">
        <v>1.2</v>
      </c>
      <c r="B113" s="928" t="s">
        <v>821</v>
      </c>
      <c r="C113" s="1205" t="s">
        <v>319</v>
      </c>
      <c r="D113" s="1205">
        <v>1</v>
      </c>
      <c r="E113" s="1211">
        <f>32890/1.15</f>
        <v>28600.000000000004</v>
      </c>
      <c r="F113" s="826">
        <f t="shared" ref="F113" si="4">D113*E113/10^5</f>
        <v>0.28600000000000003</v>
      </c>
      <c r="G113" s="926"/>
      <c r="H113" s="897"/>
      <c r="I113" s="1212" t="s">
        <v>822</v>
      </c>
    </row>
    <row r="114" spans="1:9" s="813" customFormat="1" ht="18" customHeight="1" x14ac:dyDescent="0.25">
      <c r="A114" s="1179"/>
      <c r="B114" s="1208"/>
      <c r="C114" s="1205"/>
      <c r="D114" s="1205"/>
      <c r="E114" s="1180"/>
      <c r="F114" s="826"/>
      <c r="G114" s="926"/>
      <c r="H114" s="897"/>
      <c r="I114" s="1210"/>
    </row>
    <row r="115" spans="1:9" s="813" customFormat="1" ht="18" customHeight="1" x14ac:dyDescent="0.2">
      <c r="A115" s="1199">
        <v>2</v>
      </c>
      <c r="B115" s="1200" t="s">
        <v>823</v>
      </c>
      <c r="C115" s="1205"/>
      <c r="D115" s="1205"/>
      <c r="E115" s="1205"/>
      <c r="F115" s="826"/>
      <c r="G115" s="926"/>
      <c r="H115" s="897"/>
      <c r="I115" s="1210"/>
    </row>
    <row r="116" spans="1:9" s="813" customFormat="1" ht="33.75" customHeight="1" x14ac:dyDescent="0.2">
      <c r="A116" s="927">
        <v>2.1</v>
      </c>
      <c r="B116" s="928" t="s">
        <v>802</v>
      </c>
      <c r="C116" s="1205" t="s">
        <v>533</v>
      </c>
      <c r="D116" s="1205">
        <v>158</v>
      </c>
      <c r="E116" s="1180">
        <v>60000</v>
      </c>
      <c r="F116" s="826">
        <f>D116*E116/10^5*0.85*[1]Escalation!$F$84</f>
        <v>81.891928020565544</v>
      </c>
      <c r="G116" s="926"/>
      <c r="H116" s="897"/>
      <c r="I116" s="1294" t="s">
        <v>1043</v>
      </c>
    </row>
    <row r="117" spans="1:9" s="813" customFormat="1" ht="51" customHeight="1" x14ac:dyDescent="0.2">
      <c r="A117" s="927">
        <v>2.2000000000000002</v>
      </c>
      <c r="B117" s="928" t="s">
        <v>824</v>
      </c>
      <c r="C117" s="1205" t="s">
        <v>533</v>
      </c>
      <c r="D117" s="1205">
        <v>3</v>
      </c>
      <c r="E117" s="1180">
        <v>60000</v>
      </c>
      <c r="F117" s="826">
        <f>D117*E117/10^5*0.85*[1]Escalation!$F$84</f>
        <v>1.5549100257069408</v>
      </c>
      <c r="G117" s="926"/>
      <c r="H117" s="897"/>
      <c r="I117" s="1296"/>
    </row>
    <row r="118" spans="1:9" s="813" customFormat="1" ht="65.25" customHeight="1" x14ac:dyDescent="0.2">
      <c r="A118" s="927">
        <v>2.2999999999999998</v>
      </c>
      <c r="B118" s="928" t="s">
        <v>825</v>
      </c>
      <c r="C118" s="1205" t="s">
        <v>533</v>
      </c>
      <c r="D118" s="1205">
        <v>51</v>
      </c>
      <c r="E118" s="1180">
        <v>130000</v>
      </c>
      <c r="F118" s="826">
        <f>D118*E118/10^5*0.85*[1]Escalation!F84</f>
        <v>57.27251928020565</v>
      </c>
      <c r="G118" s="926"/>
      <c r="H118" s="897"/>
      <c r="I118" s="1209" t="s">
        <v>1044</v>
      </c>
    </row>
    <row r="119" spans="1:9" s="813" customFormat="1" ht="36" customHeight="1" x14ac:dyDescent="0.2">
      <c r="A119" s="927">
        <v>2.4</v>
      </c>
      <c r="B119" s="1183" t="s">
        <v>826</v>
      </c>
      <c r="C119" s="1205" t="s">
        <v>533</v>
      </c>
      <c r="D119" s="1205">
        <v>10</v>
      </c>
      <c r="E119" s="1180">
        <v>45000</v>
      </c>
      <c r="F119" s="826">
        <f>D119*E119/10^5*0.85*[1]Escalation!$F$83</f>
        <v>3.8089420654911836</v>
      </c>
      <c r="G119" s="926"/>
      <c r="H119" s="897"/>
      <c r="I119" s="1294" t="s">
        <v>1035</v>
      </c>
    </row>
    <row r="120" spans="1:9" s="813" customFormat="1" ht="45" customHeight="1" x14ac:dyDescent="0.2">
      <c r="A120" s="927">
        <v>2.5</v>
      </c>
      <c r="B120" s="928" t="s">
        <v>817</v>
      </c>
      <c r="C120" s="1205" t="s">
        <v>533</v>
      </c>
      <c r="D120" s="1205">
        <v>13</v>
      </c>
      <c r="E120" s="1180">
        <v>45000</v>
      </c>
      <c r="F120" s="826">
        <f>D120*E120/10^5*0.85*[1]Escalation!$F$83</f>
        <v>4.9516246851385386</v>
      </c>
      <c r="G120" s="926"/>
      <c r="H120" s="897"/>
      <c r="I120" s="1296"/>
    </row>
    <row r="121" spans="1:9" s="813" customFormat="1" ht="68.25" customHeight="1" x14ac:dyDescent="0.2">
      <c r="A121" s="927">
        <v>2.6</v>
      </c>
      <c r="B121" s="928" t="s">
        <v>827</v>
      </c>
      <c r="C121" s="1205" t="s">
        <v>533</v>
      </c>
      <c r="D121" s="1205">
        <v>5</v>
      </c>
      <c r="E121" s="1180">
        <v>75000</v>
      </c>
      <c r="F121" s="826">
        <f>D121*E121/10^5*0.85*[1]Escalation!F85</f>
        <v>3.1529399499582982</v>
      </c>
      <c r="G121" s="926"/>
      <c r="H121" s="897"/>
      <c r="I121" s="1209" t="s">
        <v>1036</v>
      </c>
    </row>
    <row r="122" spans="1:9" s="813" customFormat="1" ht="36.75" customHeight="1" x14ac:dyDescent="0.2">
      <c r="A122" s="927">
        <v>2.7</v>
      </c>
      <c r="B122" s="928" t="s">
        <v>820</v>
      </c>
      <c r="C122" s="1205" t="s">
        <v>533</v>
      </c>
      <c r="D122" s="1205">
        <v>34</v>
      </c>
      <c r="E122" s="1211">
        <f>32890/1.15</f>
        <v>28600.000000000004</v>
      </c>
      <c r="F122" s="826">
        <f>D122*E122/10^5*[1]Escalation!F82</f>
        <v>10.380435643564358</v>
      </c>
      <c r="G122" s="926"/>
      <c r="H122" s="897"/>
      <c r="I122" s="1209" t="s">
        <v>1045</v>
      </c>
    </row>
    <row r="123" spans="1:9" s="813" customFormat="1" ht="26.25" customHeight="1" x14ac:dyDescent="0.25">
      <c r="A123" s="927">
        <v>2.8</v>
      </c>
      <c r="B123" s="928" t="s">
        <v>828</v>
      </c>
      <c r="C123" s="1205" t="s">
        <v>319</v>
      </c>
      <c r="D123" s="1205">
        <v>1</v>
      </c>
      <c r="E123" s="1180">
        <v>750000</v>
      </c>
      <c r="F123" s="826">
        <f t="shared" ref="F123" si="5">D123*E123/10^5</f>
        <v>7.5</v>
      </c>
      <c r="G123" s="926"/>
      <c r="H123" s="897"/>
      <c r="I123" s="1212" t="s">
        <v>829</v>
      </c>
    </row>
    <row r="124" spans="1:9" s="813" customFormat="1" ht="18" customHeight="1" x14ac:dyDescent="0.25">
      <c r="A124" s="1179"/>
      <c r="B124" s="1213"/>
      <c r="C124" s="1205"/>
      <c r="D124" s="1205"/>
      <c r="E124" s="1205"/>
      <c r="F124" s="826"/>
      <c r="G124" s="926"/>
      <c r="H124" s="897"/>
      <c r="I124" s="1210"/>
    </row>
    <row r="125" spans="1:9" s="813" customFormat="1" ht="18" customHeight="1" x14ac:dyDescent="0.25">
      <c r="A125" s="1179"/>
      <c r="B125" s="1213"/>
      <c r="C125" s="1205"/>
      <c r="D125" s="1205"/>
      <c r="E125" s="1205"/>
      <c r="F125" s="826"/>
      <c r="G125" s="926"/>
      <c r="H125" s="897"/>
      <c r="I125" s="1210"/>
    </row>
    <row r="126" spans="1:9" s="813" customFormat="1" ht="33" customHeight="1" x14ac:dyDescent="0.2">
      <c r="A126" s="1214">
        <v>3</v>
      </c>
      <c r="B126" s="1200" t="s">
        <v>830</v>
      </c>
      <c r="C126" s="1205"/>
      <c r="D126" s="1205"/>
      <c r="E126" s="1205"/>
      <c r="F126" s="826"/>
      <c r="G126" s="926"/>
      <c r="H126" s="897"/>
      <c r="I126" s="1210"/>
    </row>
    <row r="127" spans="1:9" s="813" customFormat="1" ht="45.95" customHeight="1" x14ac:dyDescent="0.2">
      <c r="A127" s="927">
        <v>3.1</v>
      </c>
      <c r="B127" s="928" t="s">
        <v>831</v>
      </c>
      <c r="C127" s="1205" t="s">
        <v>533</v>
      </c>
      <c r="D127" s="1205">
        <v>309</v>
      </c>
      <c r="E127" s="1180">
        <v>20000</v>
      </c>
      <c r="F127" s="826">
        <f>D127*E127/10^5*0.85*[1]Escalation!F84</f>
        <v>53.385244215938293</v>
      </c>
      <c r="G127" s="926"/>
      <c r="H127" s="897"/>
      <c r="I127" s="1209" t="s">
        <v>1046</v>
      </c>
    </row>
    <row r="128" spans="1:9" s="813" customFormat="1" ht="66" customHeight="1" x14ac:dyDescent="0.2">
      <c r="A128" s="927">
        <v>3.2</v>
      </c>
      <c r="B128" s="928" t="s">
        <v>825</v>
      </c>
      <c r="C128" s="1205" t="s">
        <v>533</v>
      </c>
      <c r="D128" s="1205">
        <v>7</v>
      </c>
      <c r="E128" s="1180">
        <v>130000</v>
      </c>
      <c r="F128" s="826">
        <f>D128*E128/10^5*0.85*[1]Escalation!F84</f>
        <v>7.860934018851756</v>
      </c>
      <c r="G128" s="926"/>
      <c r="H128" s="897"/>
      <c r="I128" s="1209" t="s">
        <v>1044</v>
      </c>
    </row>
    <row r="129" spans="1:11" s="813" customFormat="1" ht="42.6" customHeight="1" x14ac:dyDescent="0.2">
      <c r="A129" s="927">
        <v>3.3</v>
      </c>
      <c r="B129" s="928" t="s">
        <v>832</v>
      </c>
      <c r="C129" s="1205" t="s">
        <v>533</v>
      </c>
      <c r="D129" s="1205">
        <v>20</v>
      </c>
      <c r="E129" s="1180">
        <v>16000</v>
      </c>
      <c r="F129" s="826">
        <f>D129*E129/10^5*0.85*[1]Escalation!F84</f>
        <v>2.7642844901456729</v>
      </c>
      <c r="G129" s="926"/>
      <c r="H129" s="897"/>
      <c r="I129" s="1209" t="s">
        <v>1047</v>
      </c>
    </row>
    <row r="130" spans="1:11" s="813" customFormat="1" ht="64.5" customHeight="1" x14ac:dyDescent="0.2">
      <c r="A130" s="927">
        <v>3.4</v>
      </c>
      <c r="B130" s="928" t="s">
        <v>817</v>
      </c>
      <c r="C130" s="1205" t="s">
        <v>533</v>
      </c>
      <c r="D130" s="1205">
        <v>1</v>
      </c>
      <c r="E130" s="1180">
        <v>45000</v>
      </c>
      <c r="F130" s="826">
        <f>D130*E130/10^5*0.85*[1]Escalation!$F$83</f>
        <v>0.38089420654911837</v>
      </c>
      <c r="G130" s="926"/>
      <c r="H130" s="897"/>
      <c r="I130" s="1209" t="s">
        <v>1035</v>
      </c>
    </row>
    <row r="131" spans="1:11" s="813" customFormat="1" ht="40.5" customHeight="1" x14ac:dyDescent="0.2">
      <c r="A131" s="927">
        <v>3.5</v>
      </c>
      <c r="B131" s="928" t="s">
        <v>833</v>
      </c>
      <c r="C131" s="1205" t="s">
        <v>533</v>
      </c>
      <c r="D131" s="1205">
        <v>53</v>
      </c>
      <c r="E131" s="1211">
        <f>32890/1.15</f>
        <v>28600.000000000004</v>
      </c>
      <c r="F131" s="826">
        <f>D131*E131/10^5*[1]Escalation!$F$82</f>
        <v>16.181267326732677</v>
      </c>
      <c r="G131" s="926"/>
      <c r="H131" s="897"/>
      <c r="I131" s="1209" t="s">
        <v>1045</v>
      </c>
    </row>
    <row r="132" spans="1:11" s="813" customFormat="1" ht="39" customHeight="1" x14ac:dyDescent="0.2">
      <c r="A132" s="927">
        <v>3.6</v>
      </c>
      <c r="B132" s="928" t="s">
        <v>834</v>
      </c>
      <c r="C132" s="1205" t="s">
        <v>533</v>
      </c>
      <c r="D132" s="1205">
        <v>49</v>
      </c>
      <c r="E132" s="1211">
        <f>32890/1.15</f>
        <v>28600.000000000004</v>
      </c>
      <c r="F132" s="826">
        <f>D132*E132/10^5*[1]Escalation!$F$82</f>
        <v>14.9600396039604</v>
      </c>
      <c r="G132" s="926"/>
      <c r="H132" s="897"/>
      <c r="I132" s="1209" t="s">
        <v>1048</v>
      </c>
    </row>
    <row r="133" spans="1:11" s="813" customFormat="1" ht="38.25" customHeight="1" x14ac:dyDescent="0.25">
      <c r="A133" s="927">
        <v>3.7</v>
      </c>
      <c r="B133" s="928" t="s">
        <v>828</v>
      </c>
      <c r="C133" s="1205" t="s">
        <v>319</v>
      </c>
      <c r="D133" s="1205">
        <v>1</v>
      </c>
      <c r="E133" s="1180">
        <v>800000</v>
      </c>
      <c r="F133" s="826">
        <f t="shared" ref="F133" si="6">D133*E133/10^5</f>
        <v>8</v>
      </c>
      <c r="G133" s="926"/>
      <c r="H133" s="897"/>
      <c r="I133" s="1212" t="s">
        <v>822</v>
      </c>
    </row>
    <row r="134" spans="1:11" s="813" customFormat="1" ht="30.95" customHeight="1" x14ac:dyDescent="0.2">
      <c r="A134" s="921"/>
      <c r="B134" s="1282" t="s">
        <v>1031</v>
      </c>
      <c r="C134" s="1283"/>
      <c r="D134" s="1283"/>
      <c r="E134" s="1284"/>
      <c r="F134" s="925">
        <f>SUM(F90:F133)</f>
        <v>3705.0559410924056</v>
      </c>
      <c r="G134" s="922"/>
      <c r="H134" s="923"/>
      <c r="I134" s="924"/>
      <c r="J134" s="813" t="s">
        <v>1028</v>
      </c>
      <c r="K134" s="813" t="s">
        <v>1027</v>
      </c>
    </row>
    <row r="135" spans="1:11" s="813" customFormat="1" ht="18" customHeight="1" x14ac:dyDescent="0.25">
      <c r="A135" s="1215"/>
      <c r="B135" s="1216"/>
      <c r="C135" s="1216"/>
      <c r="D135" s="1216"/>
      <c r="E135" s="911"/>
      <c r="F135" s="826"/>
      <c r="G135" s="1216"/>
      <c r="H135" s="897"/>
      <c r="I135" s="1217"/>
    </row>
    <row r="136" spans="1:11" s="813" customFormat="1" ht="18" customHeight="1" x14ac:dyDescent="0.2">
      <c r="A136" s="1218" t="s">
        <v>835</v>
      </c>
      <c r="B136" s="1219" t="s">
        <v>836</v>
      </c>
      <c r="C136" s="1220"/>
      <c r="D136" s="1220"/>
      <c r="E136" s="911"/>
      <c r="F136" s="826"/>
      <c r="G136" s="1220"/>
      <c r="H136" s="897"/>
      <c r="I136" s="1221"/>
    </row>
    <row r="137" spans="1:11" s="813" customFormat="1" ht="18" customHeight="1" x14ac:dyDescent="0.2">
      <c r="A137" s="1218">
        <v>1</v>
      </c>
      <c r="B137" s="1219" t="s">
        <v>796</v>
      </c>
      <c r="C137" s="1222"/>
      <c r="D137" s="1223"/>
      <c r="E137" s="911"/>
      <c r="F137" s="826"/>
      <c r="G137" s="1224"/>
      <c r="H137" s="897"/>
      <c r="I137" s="1225"/>
    </row>
    <row r="138" spans="1:11" s="813" customFormat="1" ht="18" customHeight="1" x14ac:dyDescent="0.2">
      <c r="A138" s="927">
        <v>1.1000000000000001</v>
      </c>
      <c r="B138" s="928" t="s">
        <v>837</v>
      </c>
      <c r="C138" s="1222" t="s">
        <v>533</v>
      </c>
      <c r="D138" s="1222">
        <v>2568</v>
      </c>
      <c r="E138" s="911">
        <v>6500</v>
      </c>
      <c r="F138" s="826">
        <f>D138*E138/10^5*[1]Escalation!$F$46</f>
        <v>196.23850117096018</v>
      </c>
      <c r="G138" s="926"/>
      <c r="H138" s="897"/>
      <c r="I138" s="1297" t="s">
        <v>1008</v>
      </c>
    </row>
    <row r="139" spans="1:11" s="813" customFormat="1" ht="18" customHeight="1" x14ac:dyDescent="0.2">
      <c r="A139" s="927">
        <v>1.2</v>
      </c>
      <c r="B139" s="928" t="s">
        <v>838</v>
      </c>
      <c r="C139" s="1222" t="s">
        <v>533</v>
      </c>
      <c r="D139" s="1226">
        <v>2331.8399999999997</v>
      </c>
      <c r="E139" s="911">
        <v>7500</v>
      </c>
      <c r="F139" s="826">
        <f>D139*E139/10^5*[1]Escalation!$F$46</f>
        <v>205.60603278688521</v>
      </c>
      <c r="G139" s="926"/>
      <c r="H139" s="897"/>
      <c r="I139" s="1298"/>
    </row>
    <row r="140" spans="1:11" s="813" customFormat="1" ht="18" customHeight="1" x14ac:dyDescent="0.2">
      <c r="A140" s="927">
        <v>1.3</v>
      </c>
      <c r="B140" s="928" t="s">
        <v>839</v>
      </c>
      <c r="C140" s="1222" t="s">
        <v>533</v>
      </c>
      <c r="D140" s="1226">
        <v>354.2</v>
      </c>
      <c r="E140" s="911">
        <v>7479</v>
      </c>
      <c r="F140" s="826">
        <f>D140*E140/10^5*[1]Escalation!$F$46</f>
        <v>31.143536852459015</v>
      </c>
      <c r="G140" s="926"/>
      <c r="H140" s="897"/>
      <c r="I140" s="1298"/>
    </row>
    <row r="141" spans="1:11" s="813" customFormat="1" ht="25.5" customHeight="1" x14ac:dyDescent="0.2">
      <c r="A141" s="927">
        <v>1.4</v>
      </c>
      <c r="B141" s="928" t="s">
        <v>840</v>
      </c>
      <c r="C141" s="1222" t="s">
        <v>533</v>
      </c>
      <c r="D141" s="1226">
        <v>372.6</v>
      </c>
      <c r="E141" s="911">
        <v>7500</v>
      </c>
      <c r="F141" s="826">
        <f>D141*E141/10^5*[1]Escalation!$F$46</f>
        <v>32.853372365339581</v>
      </c>
      <c r="G141" s="926"/>
      <c r="H141" s="897"/>
      <c r="I141" s="1299"/>
    </row>
    <row r="142" spans="1:11" s="813" customFormat="1" ht="18" customHeight="1" x14ac:dyDescent="0.2">
      <c r="A142" s="1218">
        <v>2</v>
      </c>
      <c r="B142" s="1219" t="s">
        <v>841</v>
      </c>
      <c r="C142" s="1222"/>
      <c r="D142" s="1223"/>
      <c r="E142" s="911"/>
      <c r="F142" s="826">
        <f t="shared" ref="F142" si="7">D142*E142/10^5</f>
        <v>0</v>
      </c>
      <c r="G142" s="1227"/>
      <c r="H142" s="897"/>
      <c r="I142" s="1225"/>
    </row>
    <row r="143" spans="1:11" s="813" customFormat="1" ht="18" customHeight="1" x14ac:dyDescent="0.2">
      <c r="A143" s="927">
        <v>2.1</v>
      </c>
      <c r="B143" s="928" t="s">
        <v>838</v>
      </c>
      <c r="C143" s="1222" t="s">
        <v>533</v>
      </c>
      <c r="D143" s="1226">
        <v>154.56</v>
      </c>
      <c r="E143" s="911">
        <v>7077.17</v>
      </c>
      <c r="F143" s="826">
        <f>D143*E143/10^5*[1]Escalation!$F$47</f>
        <v>12.395291024613995</v>
      </c>
      <c r="G143" s="926"/>
      <c r="H143" s="897"/>
      <c r="I143" s="1297" t="s">
        <v>1018</v>
      </c>
    </row>
    <row r="144" spans="1:11" s="813" customFormat="1" ht="18" customHeight="1" x14ac:dyDescent="0.2">
      <c r="A144" s="927">
        <v>2.2000000000000002</v>
      </c>
      <c r="B144" s="928" t="s">
        <v>842</v>
      </c>
      <c r="C144" s="1222" t="s">
        <v>533</v>
      </c>
      <c r="D144" s="1226">
        <v>46.92</v>
      </c>
      <c r="E144" s="911">
        <v>7077.17</v>
      </c>
      <c r="F144" s="826">
        <f>D144*E144/10^5*[1]Escalation!$F$47</f>
        <v>3.7628562039006774</v>
      </c>
      <c r="G144" s="926"/>
      <c r="H144" s="897"/>
      <c r="I144" s="1298"/>
    </row>
    <row r="145" spans="1:11" s="813" customFormat="1" ht="109.5" customHeight="1" x14ac:dyDescent="0.2">
      <c r="A145" s="927">
        <v>2.2999999999999998</v>
      </c>
      <c r="B145" s="928" t="s">
        <v>840</v>
      </c>
      <c r="C145" s="1222" t="s">
        <v>533</v>
      </c>
      <c r="D145" s="1226">
        <v>35.880000000000003</v>
      </c>
      <c r="E145" s="911">
        <v>7077.17</v>
      </c>
      <c r="F145" s="826">
        <f>D145*E145/10^5*[1]Escalation!$F$47</f>
        <v>2.8774782735711066</v>
      </c>
      <c r="G145" s="926"/>
      <c r="H145" s="897"/>
      <c r="I145" s="1299"/>
    </row>
    <row r="146" spans="1:11" s="813" customFormat="1" ht="31.5" customHeight="1" x14ac:dyDescent="0.2">
      <c r="A146" s="1218">
        <v>3</v>
      </c>
      <c r="B146" s="1219" t="s">
        <v>830</v>
      </c>
      <c r="C146" s="1222"/>
      <c r="D146" s="1222"/>
      <c r="E146" s="911"/>
      <c r="F146" s="826">
        <f>D146*E146/10^5*[1]Escalation!$F$47</f>
        <v>0</v>
      </c>
      <c r="G146" s="1224"/>
      <c r="H146" s="897"/>
      <c r="I146" s="1225"/>
    </row>
    <row r="147" spans="1:11" s="813" customFormat="1" ht="18" customHeight="1" x14ac:dyDescent="0.2">
      <c r="A147" s="927">
        <v>3.1</v>
      </c>
      <c r="B147" s="928" t="s">
        <v>838</v>
      </c>
      <c r="C147" s="1222" t="s">
        <v>533</v>
      </c>
      <c r="D147" s="1226">
        <v>296.64</v>
      </c>
      <c r="E147" s="911">
        <v>7650</v>
      </c>
      <c r="F147" s="826">
        <f>D147*E147/10^5*[1]Escalation!$F$47</f>
        <v>25.71527295711061</v>
      </c>
      <c r="G147" s="926"/>
      <c r="H147" s="897"/>
      <c r="I147" s="1297" t="s">
        <v>1019</v>
      </c>
    </row>
    <row r="148" spans="1:11" s="813" customFormat="1" ht="18" customHeight="1" x14ac:dyDescent="0.2">
      <c r="A148" s="927">
        <v>3.2</v>
      </c>
      <c r="B148" s="928" t="s">
        <v>842</v>
      </c>
      <c r="C148" s="1222" t="s">
        <v>533</v>
      </c>
      <c r="D148" s="1226">
        <v>6.44</v>
      </c>
      <c r="E148" s="911">
        <v>7650</v>
      </c>
      <c r="F148" s="826">
        <f>D148*E148/10^5*[1]Escalation!$F$47</f>
        <v>0.55827386004514667</v>
      </c>
      <c r="G148" s="926"/>
      <c r="H148" s="897"/>
      <c r="I148" s="1298"/>
    </row>
    <row r="149" spans="1:11" s="813" customFormat="1" ht="108.75" customHeight="1" x14ac:dyDescent="0.2">
      <c r="A149" s="927">
        <v>3.3</v>
      </c>
      <c r="B149" s="928" t="s">
        <v>840</v>
      </c>
      <c r="C149" s="1222" t="s">
        <v>533</v>
      </c>
      <c r="D149" s="1226">
        <v>93.84</v>
      </c>
      <c r="E149" s="911">
        <v>7650</v>
      </c>
      <c r="F149" s="826">
        <f>D149*E149/10^5*[1]Escalation!$F$47</f>
        <v>8.1348476749435665</v>
      </c>
      <c r="G149" s="926"/>
      <c r="H149" s="897"/>
      <c r="I149" s="1299"/>
    </row>
    <row r="150" spans="1:11" s="813" customFormat="1" ht="18" customHeight="1" x14ac:dyDescent="0.25">
      <c r="A150" s="929"/>
      <c r="B150" s="930"/>
      <c r="C150" s="1222"/>
      <c r="D150" s="1222"/>
      <c r="E150" s="911"/>
      <c r="F150" s="826"/>
      <c r="G150" s="1224"/>
      <c r="H150" s="897"/>
      <c r="I150" s="1228"/>
    </row>
    <row r="151" spans="1:11" s="813" customFormat="1" ht="24.6" customHeight="1" x14ac:dyDescent="0.2">
      <c r="A151" s="921"/>
      <c r="B151" s="1282" t="s">
        <v>1005</v>
      </c>
      <c r="C151" s="1283"/>
      <c r="D151" s="1283"/>
      <c r="E151" s="1284"/>
      <c r="F151" s="925">
        <f>SUM(F138:F150)</f>
        <v>519.28546316982909</v>
      </c>
      <c r="G151" s="922"/>
      <c r="H151" s="923"/>
      <c r="I151" s="1170">
        <f>F151/F134</f>
        <v>0.14015590356153218</v>
      </c>
    </row>
    <row r="152" spans="1:11" s="813" customFormat="1" ht="23.25" customHeight="1" x14ac:dyDescent="0.2">
      <c r="A152" s="809"/>
      <c r="B152" s="823"/>
      <c r="C152" s="824"/>
      <c r="D152" s="824"/>
      <c r="E152" s="911"/>
      <c r="F152" s="80"/>
      <c r="K152" s="846"/>
    </row>
    <row r="153" spans="1:11" s="813" customFormat="1" ht="18" customHeight="1" x14ac:dyDescent="0.2">
      <c r="A153" s="809"/>
      <c r="B153" s="822" t="s">
        <v>509</v>
      </c>
      <c r="C153" s="824"/>
      <c r="D153" s="824"/>
      <c r="E153" s="911"/>
      <c r="F153" s="809"/>
      <c r="K153" s="846"/>
    </row>
    <row r="154" spans="1:11" s="813" customFormat="1" ht="38.25" customHeight="1" x14ac:dyDescent="0.2">
      <c r="A154" s="809"/>
      <c r="B154" s="931" t="s">
        <v>845</v>
      </c>
      <c r="C154" s="1222" t="s">
        <v>533</v>
      </c>
      <c r="D154" s="932">
        <v>390</v>
      </c>
      <c r="E154" s="911">
        <v>95000</v>
      </c>
      <c r="F154" s="969">
        <f>D154*E154/10^5</f>
        <v>370.5</v>
      </c>
      <c r="K154" s="846"/>
    </row>
    <row r="155" spans="1:11" s="813" customFormat="1" ht="21.95" customHeight="1" x14ac:dyDescent="0.2">
      <c r="A155" s="921"/>
      <c r="B155" s="1282" t="s">
        <v>846</v>
      </c>
      <c r="C155" s="1283"/>
      <c r="D155" s="1283"/>
      <c r="E155" s="1284"/>
      <c r="F155" s="925">
        <f>F154</f>
        <v>370.5</v>
      </c>
      <c r="G155" s="922"/>
      <c r="H155" s="923">
        <f>SUM(H154:H154)</f>
        <v>0</v>
      </c>
      <c r="I155" s="924"/>
      <c r="J155" s="814"/>
    </row>
    <row r="156" spans="1:11" s="813" customFormat="1" ht="20.25" customHeight="1" x14ac:dyDescent="0.2">
      <c r="A156" s="817"/>
      <c r="B156" s="934"/>
      <c r="C156" s="934"/>
      <c r="D156" s="934"/>
      <c r="E156" s="911"/>
      <c r="F156" s="935"/>
      <c r="G156" s="824"/>
      <c r="H156" s="814"/>
      <c r="I156" s="744"/>
      <c r="J156" s="814"/>
    </row>
    <row r="157" spans="1:11" s="813" customFormat="1" ht="21" customHeight="1" x14ac:dyDescent="0.2">
      <c r="A157" s="817"/>
      <c r="B157" s="822" t="s">
        <v>510</v>
      </c>
      <c r="C157" s="824"/>
      <c r="D157" s="824"/>
      <c r="E157" s="911"/>
      <c r="F157" s="809"/>
    </row>
    <row r="158" spans="1:11" s="813" customFormat="1" ht="54" customHeight="1" x14ac:dyDescent="0.2">
      <c r="A158" s="817"/>
      <c r="B158" s="936" t="s">
        <v>847</v>
      </c>
      <c r="C158" s="1222" t="s">
        <v>533</v>
      </c>
      <c r="D158" s="932">
        <v>150</v>
      </c>
      <c r="E158" s="911">
        <v>85000</v>
      </c>
      <c r="F158" s="933">
        <f>D158*E158/10^5</f>
        <v>127.5</v>
      </c>
      <c r="K158" s="847"/>
    </row>
    <row r="159" spans="1:11" s="813" customFormat="1" ht="25.5" customHeight="1" x14ac:dyDescent="0.2">
      <c r="A159" s="921"/>
      <c r="B159" s="1282" t="s">
        <v>1006</v>
      </c>
      <c r="C159" s="1283"/>
      <c r="D159" s="1283"/>
      <c r="E159" s="1284"/>
      <c r="F159" s="925">
        <f>F158</f>
        <v>127.5</v>
      </c>
      <c r="G159" s="922"/>
      <c r="H159" s="923"/>
      <c r="I159" s="924">
        <f>F155+F159</f>
        <v>498</v>
      </c>
      <c r="K159" s="847"/>
    </row>
    <row r="160" spans="1:11" s="813" customFormat="1" ht="16.5" customHeight="1" x14ac:dyDescent="0.2">
      <c r="A160" s="817"/>
      <c r="B160" s="934"/>
      <c r="C160" s="1222"/>
      <c r="D160" s="932"/>
      <c r="E160" s="911"/>
      <c r="F160" s="933"/>
      <c r="K160" s="847"/>
    </row>
    <row r="161" spans="1:13" s="813" customFormat="1" ht="15" customHeight="1" x14ac:dyDescent="0.2">
      <c r="A161" s="809"/>
      <c r="B161" s="822" t="s">
        <v>848</v>
      </c>
      <c r="C161" s="937"/>
      <c r="D161" s="803"/>
      <c r="E161" s="911"/>
      <c r="F161" s="933"/>
    </row>
    <row r="162" spans="1:13" s="813" customFormat="1" ht="15" customHeight="1" x14ac:dyDescent="0.2">
      <c r="A162" s="809">
        <v>1</v>
      </c>
      <c r="B162" s="931" t="s">
        <v>849</v>
      </c>
      <c r="C162" s="1222" t="s">
        <v>533</v>
      </c>
      <c r="D162" s="932">
        <v>270</v>
      </c>
      <c r="E162" s="911">
        <v>3000</v>
      </c>
      <c r="F162" s="969">
        <f>D162*E162/10^5</f>
        <v>8.1</v>
      </c>
    </row>
    <row r="163" spans="1:13" s="813" customFormat="1" ht="15" customHeight="1" x14ac:dyDescent="0.2">
      <c r="A163" s="809">
        <v>2</v>
      </c>
      <c r="B163" s="931" t="s">
        <v>850</v>
      </c>
      <c r="C163" s="1222" t="s">
        <v>533</v>
      </c>
      <c r="D163" s="932">
        <v>150</v>
      </c>
      <c r="E163" s="911">
        <v>3000</v>
      </c>
      <c r="F163" s="969">
        <f>D163*E163/10^5</f>
        <v>4.5</v>
      </c>
      <c r="J163" s="813" t="s">
        <v>1026</v>
      </c>
    </row>
    <row r="164" spans="1:13" s="814" customFormat="1" ht="18" x14ac:dyDescent="0.2">
      <c r="A164" s="921"/>
      <c r="B164" s="1282" t="s">
        <v>991</v>
      </c>
      <c r="C164" s="1283"/>
      <c r="D164" s="1283"/>
      <c r="E164" s="1284"/>
      <c r="F164" s="925">
        <f>SUM(F162:F163)</f>
        <v>12.6</v>
      </c>
      <c r="G164" s="922"/>
      <c r="H164" s="923"/>
      <c r="I164" s="1134" t="s">
        <v>992</v>
      </c>
      <c r="J164" s="1186">
        <f>F164+H183+F213+F229*12%</f>
        <v>519.95637458436863</v>
      </c>
    </row>
    <row r="165" spans="1:13" s="814" customFormat="1" ht="9.75" customHeight="1" x14ac:dyDescent="0.2">
      <c r="A165" s="809"/>
      <c r="B165" s="934"/>
      <c r="C165" s="934"/>
      <c r="D165" s="934"/>
      <c r="E165" s="911"/>
      <c r="F165" s="935"/>
      <c r="G165" s="824"/>
      <c r="I165" s="744"/>
    </row>
    <row r="166" spans="1:13" s="813" customFormat="1" ht="20.25" customHeight="1" x14ac:dyDescent="0.2">
      <c r="A166" s="817"/>
      <c r="B166" s="934"/>
      <c r="C166" s="934"/>
      <c r="D166" s="934"/>
      <c r="E166" s="911"/>
      <c r="F166" s="935"/>
      <c r="G166" s="824"/>
      <c r="H166" s="814"/>
      <c r="I166" s="744"/>
      <c r="J166" s="814"/>
    </row>
    <row r="167" spans="1:13" s="813" customFormat="1" ht="20.25" customHeight="1" x14ac:dyDescent="0.2">
      <c r="A167" s="817"/>
      <c r="B167" s="823" t="s">
        <v>851</v>
      </c>
      <c r="C167" s="934"/>
      <c r="D167" s="934"/>
      <c r="E167" s="911"/>
      <c r="F167" s="814"/>
      <c r="H167" s="814"/>
      <c r="I167" s="814"/>
      <c r="J167" s="814"/>
    </row>
    <row r="168" spans="1:13" s="813" customFormat="1" ht="16.5" customHeight="1" x14ac:dyDescent="0.2">
      <c r="A168" s="817"/>
      <c r="B168" s="824" t="s">
        <v>852</v>
      </c>
      <c r="C168" s="824" t="s">
        <v>38</v>
      </c>
      <c r="D168" s="817" t="s">
        <v>138</v>
      </c>
      <c r="E168" s="911" t="s">
        <v>522</v>
      </c>
      <c r="F168" s="821" t="s">
        <v>853</v>
      </c>
      <c r="G168" s="809"/>
      <c r="H168" s="809"/>
      <c r="I168" s="1229" t="s">
        <v>854</v>
      </c>
      <c r="J168" s="1230" t="s">
        <v>855</v>
      </c>
      <c r="K168" s="813" t="s">
        <v>906</v>
      </c>
    </row>
    <row r="169" spans="1:13" s="813" customFormat="1" ht="27.75" customHeight="1" x14ac:dyDescent="0.2">
      <c r="A169" s="817"/>
      <c r="B169" s="938" t="s">
        <v>856</v>
      </c>
      <c r="C169" s="819" t="s">
        <v>857</v>
      </c>
      <c r="D169" s="932">
        <v>370</v>
      </c>
      <c r="E169" s="911">
        <f>311.95/1.15</f>
        <v>271.26086956521738</v>
      </c>
      <c r="F169" s="80">
        <f>D169*E169/10^5</f>
        <v>1.0036652173913043</v>
      </c>
      <c r="G169" s="809"/>
      <c r="H169" s="809"/>
      <c r="I169" s="1231" t="s">
        <v>858</v>
      </c>
      <c r="J169" s="1232">
        <v>311.95</v>
      </c>
    </row>
    <row r="170" spans="1:13" s="814" customFormat="1" ht="17.25" x14ac:dyDescent="0.2">
      <c r="A170" s="809"/>
      <c r="B170" s="939" t="s">
        <v>859</v>
      </c>
      <c r="C170" s="819" t="s">
        <v>857</v>
      </c>
      <c r="D170" s="932">
        <v>370</v>
      </c>
      <c r="E170" s="911">
        <v>1775</v>
      </c>
      <c r="F170" s="80">
        <f t="shared" ref="F170:F179" si="8">D170*E170/10^5</f>
        <v>6.5674999999999999</v>
      </c>
      <c r="G170" s="809"/>
      <c r="H170" s="809"/>
      <c r="I170" s="1231" t="s">
        <v>889</v>
      </c>
      <c r="J170" s="1232">
        <v>1775</v>
      </c>
      <c r="M170" s="1233"/>
    </row>
    <row r="171" spans="1:13" s="814" customFormat="1" ht="25.5" x14ac:dyDescent="0.2">
      <c r="A171" s="809"/>
      <c r="B171" s="938" t="s">
        <v>860</v>
      </c>
      <c r="C171" s="819" t="s">
        <v>857</v>
      </c>
      <c r="D171" s="932">
        <v>370</v>
      </c>
      <c r="E171" s="911">
        <f>820/1.15</f>
        <v>713.04347826086962</v>
      </c>
      <c r="F171" s="80">
        <f t="shared" si="8"/>
        <v>2.6382608695652179</v>
      </c>
      <c r="G171" s="809"/>
      <c r="H171" s="809"/>
      <c r="I171" s="1231">
        <v>26.4</v>
      </c>
      <c r="J171" s="1232">
        <v>820</v>
      </c>
    </row>
    <row r="172" spans="1:13" s="814" customFormat="1" ht="34.5" x14ac:dyDescent="0.2">
      <c r="A172" s="809"/>
      <c r="B172" s="939" t="s">
        <v>861</v>
      </c>
      <c r="C172" s="940" t="s">
        <v>501</v>
      </c>
      <c r="D172" s="932">
        <v>200</v>
      </c>
      <c r="E172" s="1169">
        <f>785*0.9</f>
        <v>706.5</v>
      </c>
      <c r="F172" s="80">
        <f t="shared" si="8"/>
        <v>1.413</v>
      </c>
      <c r="G172" s="809"/>
      <c r="H172" s="809"/>
      <c r="I172" s="1234" t="s">
        <v>1015</v>
      </c>
      <c r="J172" s="1232">
        <v>785</v>
      </c>
    </row>
    <row r="173" spans="1:13" s="814" customFormat="1" ht="25.5" x14ac:dyDescent="0.2">
      <c r="A173" s="809"/>
      <c r="B173" s="938" t="s">
        <v>862</v>
      </c>
      <c r="C173" s="940" t="s">
        <v>863</v>
      </c>
      <c r="D173" s="932">
        <v>55</v>
      </c>
      <c r="E173" s="911">
        <f>202.7/1.15</f>
        <v>176.2608695652174</v>
      </c>
      <c r="F173" s="80">
        <f t="shared" si="8"/>
        <v>9.6943478260869576E-2</v>
      </c>
      <c r="G173" s="809"/>
      <c r="H173" s="809"/>
      <c r="I173" s="1231">
        <v>26.39</v>
      </c>
      <c r="J173" s="1232">
        <v>202.7</v>
      </c>
    </row>
    <row r="174" spans="1:13" s="814" customFormat="1" ht="17.25" x14ac:dyDescent="0.2">
      <c r="A174" s="809"/>
      <c r="B174" s="939" t="s">
        <v>864</v>
      </c>
      <c r="C174" s="940" t="s">
        <v>501</v>
      </c>
      <c r="D174" s="932">
        <v>1400</v>
      </c>
      <c r="E174" s="911">
        <f>76.7/1.15</f>
        <v>66.695652173913047</v>
      </c>
      <c r="F174" s="80">
        <f t="shared" si="8"/>
        <v>0.93373913043478274</v>
      </c>
      <c r="G174" s="809"/>
      <c r="H174" s="809"/>
      <c r="I174" s="1231" t="s">
        <v>865</v>
      </c>
      <c r="J174" s="1232">
        <v>76.7</v>
      </c>
    </row>
    <row r="175" spans="1:13" s="814" customFormat="1" ht="17.25" x14ac:dyDescent="0.2">
      <c r="A175" s="809"/>
      <c r="B175" s="939" t="s">
        <v>326</v>
      </c>
      <c r="C175" s="819" t="s">
        <v>866</v>
      </c>
      <c r="D175" s="932">
        <v>495</v>
      </c>
      <c r="E175" s="911">
        <f>544.3/1.15</f>
        <v>473.30434782608694</v>
      </c>
      <c r="F175" s="80">
        <f t="shared" si="8"/>
        <v>2.3428565217391304</v>
      </c>
      <c r="G175" s="809"/>
      <c r="H175" s="809"/>
      <c r="I175" s="1231" t="s">
        <v>534</v>
      </c>
      <c r="J175" s="1232">
        <v>544.29999999999995</v>
      </c>
    </row>
    <row r="176" spans="1:13" s="814" customFormat="1" ht="17.25" x14ac:dyDescent="0.2">
      <c r="A176" s="809"/>
      <c r="B176" s="939" t="s">
        <v>867</v>
      </c>
      <c r="C176" s="819" t="s">
        <v>866</v>
      </c>
      <c r="D176" s="932">
        <v>10</v>
      </c>
      <c r="E176" s="911">
        <f>7253.17391304348/1.15</f>
        <v>6307.1077504725918</v>
      </c>
      <c r="F176" s="80">
        <f t="shared" si="8"/>
        <v>0.63071077504725914</v>
      </c>
      <c r="G176" s="809"/>
      <c r="H176" s="809"/>
      <c r="I176" s="1231" t="s">
        <v>536</v>
      </c>
      <c r="J176" s="1232">
        <v>7253.1739130434789</v>
      </c>
    </row>
    <row r="177" spans="1:13" s="814" customFormat="1" ht="17.25" x14ac:dyDescent="0.2">
      <c r="A177" s="809"/>
      <c r="B177" s="939" t="s">
        <v>617</v>
      </c>
      <c r="C177" s="819" t="s">
        <v>866</v>
      </c>
      <c r="D177" s="932">
        <v>27.7831875</v>
      </c>
      <c r="E177" s="911">
        <v>12567.58</v>
      </c>
      <c r="F177" s="80">
        <f t="shared" si="8"/>
        <v>3.4916743156124999</v>
      </c>
      <c r="G177" s="809"/>
      <c r="H177" s="809"/>
      <c r="I177" s="1231" t="s">
        <v>890</v>
      </c>
      <c r="J177" s="1232">
        <v>12567.58</v>
      </c>
      <c r="M177" s="1233"/>
    </row>
    <row r="178" spans="1:13" s="814" customFormat="1" ht="17.25" x14ac:dyDescent="0.2">
      <c r="A178" s="809"/>
      <c r="B178" s="939" t="s">
        <v>868</v>
      </c>
      <c r="C178" s="940" t="s">
        <v>538</v>
      </c>
      <c r="D178" s="932">
        <v>5</v>
      </c>
      <c r="E178" s="911">
        <f>77956.5217391304/1.15</f>
        <v>67788.279773156872</v>
      </c>
      <c r="F178" s="80">
        <f t="shared" si="8"/>
        <v>3.3894139886578434</v>
      </c>
      <c r="G178" s="809"/>
      <c r="H178" s="809"/>
      <c r="I178" s="1231" t="s">
        <v>539</v>
      </c>
      <c r="J178" s="1232">
        <v>77956.521739130447</v>
      </c>
    </row>
    <row r="179" spans="1:13" s="814" customFormat="1" ht="17.25" x14ac:dyDescent="0.25">
      <c r="A179" s="809"/>
      <c r="B179" s="939" t="s">
        <v>540</v>
      </c>
      <c r="C179" s="940" t="s">
        <v>538</v>
      </c>
      <c r="D179" s="932">
        <v>2.5</v>
      </c>
      <c r="E179" s="911">
        <v>85000</v>
      </c>
      <c r="F179" s="80">
        <f t="shared" si="8"/>
        <v>2.125</v>
      </c>
      <c r="G179" s="809"/>
      <c r="H179" s="809"/>
      <c r="I179" s="1231" t="s">
        <v>869</v>
      </c>
      <c r="J179" s="1235"/>
    </row>
    <row r="180" spans="1:13" s="848" customFormat="1" ht="18.75" customHeight="1" x14ac:dyDescent="0.2">
      <c r="A180" s="921"/>
      <c r="B180" s="1282" t="s">
        <v>870</v>
      </c>
      <c r="C180" s="1283"/>
      <c r="D180" s="1283"/>
      <c r="E180" s="1284"/>
      <c r="F180" s="925">
        <f>SUM(F169:F179)</f>
        <v>24.632764296708906</v>
      </c>
      <c r="G180" s="922"/>
      <c r="H180" s="923"/>
      <c r="I180" s="924"/>
    </row>
    <row r="181" spans="1:13" s="853" customFormat="1" ht="9.75" customHeight="1" thickBot="1" x14ac:dyDescent="0.25">
      <c r="A181" s="855"/>
      <c r="B181" s="856"/>
      <c r="C181" s="852"/>
      <c r="D181" s="852"/>
      <c r="E181" s="911"/>
      <c r="F181" s="857"/>
      <c r="G181" s="854"/>
      <c r="H181" s="857"/>
      <c r="I181" s="113"/>
    </row>
    <row r="182" spans="1:13" s="853" customFormat="1" ht="60.75" thickBot="1" x14ac:dyDescent="0.25">
      <c r="A182" s="855"/>
      <c r="B182" s="941" t="s">
        <v>891</v>
      </c>
      <c r="C182" s="942"/>
      <c r="D182" s="943" t="s">
        <v>38</v>
      </c>
      <c r="E182" s="911" t="s">
        <v>1013</v>
      </c>
      <c r="F182" s="944" t="s">
        <v>1012</v>
      </c>
      <c r="G182" s="1162" t="s">
        <v>1016</v>
      </c>
      <c r="H182" s="1163" t="s">
        <v>1017</v>
      </c>
      <c r="I182" s="1164" t="s">
        <v>893</v>
      </c>
    </row>
    <row r="183" spans="1:13" s="853" customFormat="1" ht="48.75" customHeight="1" thickBot="1" x14ac:dyDescent="0.25">
      <c r="A183" s="855"/>
      <c r="B183" s="945" t="s">
        <v>1011</v>
      </c>
      <c r="C183" s="946" t="s">
        <v>892</v>
      </c>
      <c r="D183" s="1159">
        <f>6</f>
        <v>6</v>
      </c>
      <c r="E183" s="1160">
        <v>1680000</v>
      </c>
      <c r="F183" s="1165">
        <f>D183*E183/10^5</f>
        <v>100.8</v>
      </c>
      <c r="G183" s="1166">
        <f>1000000/10^5</f>
        <v>10</v>
      </c>
      <c r="H183" s="1168">
        <f>(F183+G183)*0.9*[1]Escalation!F48</f>
        <v>104.5082254697286</v>
      </c>
      <c r="I183" s="1167" t="s">
        <v>1049</v>
      </c>
      <c r="J183" s="853">
        <f>(1680000*6+1000000)/10^5</f>
        <v>110.8</v>
      </c>
    </row>
    <row r="184" spans="1:13" s="853" customFormat="1" x14ac:dyDescent="0.2">
      <c r="A184" s="855"/>
      <c r="B184" s="858"/>
      <c r="C184" s="859"/>
      <c r="D184" s="860"/>
      <c r="E184" s="911"/>
      <c r="F184" s="113"/>
      <c r="G184" s="862"/>
      <c r="H184" s="863"/>
      <c r="I184" s="864"/>
    </row>
    <row r="185" spans="1:13" s="853" customFormat="1" ht="15.75" x14ac:dyDescent="0.2">
      <c r="A185" s="855"/>
      <c r="B185" s="856"/>
      <c r="C185" s="852"/>
      <c r="D185" s="852"/>
      <c r="E185" s="911"/>
      <c r="F185" s="857"/>
      <c r="G185" s="854"/>
      <c r="H185" s="857"/>
      <c r="I185" s="113"/>
    </row>
    <row r="186" spans="1:13" s="853" customFormat="1" ht="21.75" customHeight="1" x14ac:dyDescent="0.2">
      <c r="A186" s="947" t="s">
        <v>721</v>
      </c>
      <c r="B186" s="948" t="s">
        <v>13</v>
      </c>
      <c r="C186" s="949"/>
      <c r="D186" s="950"/>
      <c r="E186" s="911"/>
      <c r="F186" s="80"/>
      <c r="G186" s="813"/>
      <c r="H186" s="813"/>
      <c r="I186" s="836"/>
      <c r="J186" s="839"/>
    </row>
    <row r="187" spans="1:13" s="853" customFormat="1" x14ac:dyDescent="0.2">
      <c r="A187" s="828"/>
      <c r="B187" s="951" t="s">
        <v>722</v>
      </c>
      <c r="C187" s="521"/>
      <c r="D187" s="833"/>
      <c r="E187" s="911"/>
      <c r="F187" s="80"/>
      <c r="G187" s="813"/>
      <c r="H187" s="813"/>
      <c r="I187" s="836"/>
      <c r="J187" s="839"/>
    </row>
    <row r="188" spans="1:13" s="853" customFormat="1" x14ac:dyDescent="0.2">
      <c r="A188" s="828"/>
      <c r="B188" s="825" t="s">
        <v>723</v>
      </c>
      <c r="C188" s="521"/>
      <c r="D188" s="833"/>
      <c r="E188" s="911"/>
      <c r="F188" s="80"/>
      <c r="G188" s="813"/>
      <c r="H188" s="813"/>
      <c r="I188" s="836"/>
      <c r="J188" s="839"/>
    </row>
    <row r="189" spans="1:13" s="853" customFormat="1" x14ac:dyDescent="0.25">
      <c r="A189" s="828">
        <v>1</v>
      </c>
      <c r="B189" s="881" t="s">
        <v>724</v>
      </c>
      <c r="C189" s="464" t="s">
        <v>719</v>
      </c>
      <c r="D189" s="949">
        <v>2.79</v>
      </c>
      <c r="E189" s="911">
        <f>10000</f>
        <v>10000</v>
      </c>
      <c r="F189" s="80">
        <f>D189*E189/10^5</f>
        <v>0.27900000000000003</v>
      </c>
      <c r="G189" s="813"/>
      <c r="H189" s="813"/>
      <c r="I189" s="1236" t="s">
        <v>1007</v>
      </c>
      <c r="J189" s="839"/>
    </row>
    <row r="190" spans="1:13" s="853" customFormat="1" x14ac:dyDescent="0.2">
      <c r="A190" s="828">
        <v>2</v>
      </c>
      <c r="B190" s="881" t="s">
        <v>725</v>
      </c>
      <c r="C190" s="464" t="s">
        <v>719</v>
      </c>
      <c r="D190" s="949">
        <v>2.79</v>
      </c>
      <c r="E190" s="911">
        <f>10000</f>
        <v>10000</v>
      </c>
      <c r="F190" s="80">
        <f t="shared" ref="F190:F211" si="9">D190*E190/10^5</f>
        <v>0.27900000000000003</v>
      </c>
      <c r="G190" s="813"/>
      <c r="H190" s="813"/>
      <c r="I190" s="1135" t="s">
        <v>894</v>
      </c>
      <c r="J190" s="839"/>
    </row>
    <row r="191" spans="1:13" s="853" customFormat="1" x14ac:dyDescent="0.2">
      <c r="A191" s="828">
        <v>3</v>
      </c>
      <c r="B191" s="881" t="s">
        <v>726</v>
      </c>
      <c r="C191" s="464" t="s">
        <v>719</v>
      </c>
      <c r="D191" s="949">
        <v>5.6</v>
      </c>
      <c r="E191" s="911">
        <f>10000</f>
        <v>10000</v>
      </c>
      <c r="F191" s="80">
        <f t="shared" si="9"/>
        <v>0.56000000000000005</v>
      </c>
      <c r="G191" s="813"/>
      <c r="H191" s="813"/>
      <c r="I191" s="1135" t="s">
        <v>894</v>
      </c>
      <c r="J191" s="839"/>
    </row>
    <row r="192" spans="1:13" s="853" customFormat="1" x14ac:dyDescent="0.2">
      <c r="A192" s="828">
        <v>4</v>
      </c>
      <c r="B192" s="881" t="s">
        <v>727</v>
      </c>
      <c r="C192" s="464" t="s">
        <v>719</v>
      </c>
      <c r="D192" s="949">
        <v>12.6</v>
      </c>
      <c r="E192" s="911">
        <f>10000</f>
        <v>10000</v>
      </c>
      <c r="F192" s="80">
        <f t="shared" si="9"/>
        <v>1.26</v>
      </c>
      <c r="G192" s="813"/>
      <c r="H192" s="813"/>
      <c r="I192" s="1135" t="s">
        <v>894</v>
      </c>
      <c r="J192" s="839"/>
    </row>
    <row r="193" spans="1:11" s="853" customFormat="1" ht="15.75" thickBot="1" x14ac:dyDescent="0.25">
      <c r="A193" s="828"/>
      <c r="B193" s="825" t="s">
        <v>713</v>
      </c>
      <c r="C193" s="521"/>
      <c r="D193" s="833"/>
      <c r="E193" s="911"/>
      <c r="F193" s="80">
        <f t="shared" si="9"/>
        <v>0</v>
      </c>
      <c r="G193" s="813"/>
      <c r="H193" s="813"/>
      <c r="I193" s="1135"/>
      <c r="J193" s="839"/>
    </row>
    <row r="194" spans="1:11" s="853" customFormat="1" x14ac:dyDescent="0.2">
      <c r="A194" s="833">
        <v>1</v>
      </c>
      <c r="B194" s="884" t="s">
        <v>728</v>
      </c>
      <c r="C194" s="952" t="s">
        <v>719</v>
      </c>
      <c r="D194" s="953">
        <v>29.925000000000001</v>
      </c>
      <c r="E194" s="911">
        <f>10000</f>
        <v>10000</v>
      </c>
      <c r="F194" s="80">
        <f t="shared" si="9"/>
        <v>2.9925000000000002</v>
      </c>
      <c r="G194" s="813"/>
      <c r="H194" s="813"/>
      <c r="I194" s="1135" t="s">
        <v>894</v>
      </c>
      <c r="J194" s="882"/>
    </row>
    <row r="195" spans="1:11" s="853" customFormat="1" x14ac:dyDescent="0.2">
      <c r="A195" s="833">
        <f>A194+1</f>
        <v>2</v>
      </c>
      <c r="B195" s="954" t="s">
        <v>729</v>
      </c>
      <c r="C195" s="464" t="s">
        <v>719</v>
      </c>
      <c r="D195" s="955">
        <v>6.6</v>
      </c>
      <c r="E195" s="911">
        <f>10000</f>
        <v>10000</v>
      </c>
      <c r="F195" s="80">
        <f t="shared" si="9"/>
        <v>0.66</v>
      </c>
      <c r="G195" s="813"/>
      <c r="H195" s="813"/>
      <c r="I195" s="1135" t="s">
        <v>894</v>
      </c>
      <c r="J195" s="957"/>
    </row>
    <row r="196" spans="1:11" ht="13.5" customHeight="1" x14ac:dyDescent="0.2">
      <c r="A196" s="833">
        <f t="shared" ref="A196:A206" si="10">A195+1</f>
        <v>3</v>
      </c>
      <c r="B196" s="954" t="s">
        <v>874</v>
      </c>
      <c r="C196" s="464" t="s">
        <v>719</v>
      </c>
      <c r="D196" s="955">
        <v>1.85</v>
      </c>
      <c r="E196" s="911">
        <f>10000</f>
        <v>10000</v>
      </c>
      <c r="F196" s="80">
        <f t="shared" si="9"/>
        <v>0.185</v>
      </c>
      <c r="G196" s="813"/>
      <c r="H196" s="813"/>
      <c r="I196" s="1135" t="s">
        <v>894</v>
      </c>
      <c r="J196" s="957"/>
    </row>
    <row r="197" spans="1:11" s="805" customFormat="1" ht="33" customHeight="1" x14ac:dyDescent="0.2">
      <c r="A197" s="833">
        <f t="shared" si="10"/>
        <v>4</v>
      </c>
      <c r="B197" s="954" t="s">
        <v>875</v>
      </c>
      <c r="C197" s="464" t="s">
        <v>719</v>
      </c>
      <c r="D197" s="955">
        <v>9.3000000000000007</v>
      </c>
      <c r="E197" s="911">
        <f>10000</f>
        <v>10000</v>
      </c>
      <c r="F197" s="80">
        <f t="shared" si="9"/>
        <v>0.93</v>
      </c>
      <c r="G197" s="813"/>
      <c r="H197" s="813"/>
      <c r="I197" s="1135" t="s">
        <v>894</v>
      </c>
      <c r="J197" s="956"/>
      <c r="K197" s="801"/>
    </row>
    <row r="198" spans="1:11" s="854" customFormat="1" ht="18.75" customHeight="1" x14ac:dyDescent="0.2">
      <c r="A198" s="833">
        <f t="shared" si="10"/>
        <v>5</v>
      </c>
      <c r="B198" s="954" t="s">
        <v>876</v>
      </c>
      <c r="C198" s="464" t="s">
        <v>719</v>
      </c>
      <c r="D198" s="955">
        <v>9.3000000000000007</v>
      </c>
      <c r="E198" s="911">
        <f>10000</f>
        <v>10000</v>
      </c>
      <c r="F198" s="80">
        <f t="shared" si="9"/>
        <v>0.93</v>
      </c>
      <c r="G198" s="813"/>
      <c r="H198" s="813"/>
      <c r="I198" s="1135" t="s">
        <v>894</v>
      </c>
      <c r="J198" s="956"/>
    </row>
    <row r="199" spans="1:11" s="854" customFormat="1" ht="21.75" customHeight="1" x14ac:dyDescent="0.2">
      <c r="A199" s="833">
        <f t="shared" si="10"/>
        <v>6</v>
      </c>
      <c r="B199" s="954" t="s">
        <v>877</v>
      </c>
      <c r="C199" s="464" t="s">
        <v>719</v>
      </c>
      <c r="D199" s="955">
        <v>9.84</v>
      </c>
      <c r="E199" s="911">
        <f>10000</f>
        <v>10000</v>
      </c>
      <c r="F199" s="80">
        <f t="shared" si="9"/>
        <v>0.98399999999999999</v>
      </c>
      <c r="G199" s="813"/>
      <c r="H199" s="813"/>
      <c r="I199" s="1135" t="s">
        <v>894</v>
      </c>
      <c r="J199" s="956"/>
    </row>
    <row r="200" spans="1:11" s="854" customFormat="1" ht="17.25" customHeight="1" x14ac:dyDescent="0.2">
      <c r="A200" s="833">
        <f t="shared" si="10"/>
        <v>7</v>
      </c>
      <c r="B200" s="954" t="s">
        <v>878</v>
      </c>
      <c r="C200" s="464" t="s">
        <v>719</v>
      </c>
      <c r="D200" s="955">
        <v>0.39</v>
      </c>
      <c r="E200" s="911">
        <f>10000</f>
        <v>10000</v>
      </c>
      <c r="F200" s="80">
        <f t="shared" si="9"/>
        <v>3.9E-2</v>
      </c>
      <c r="G200" s="813"/>
      <c r="H200" s="813"/>
      <c r="I200" s="1135" t="s">
        <v>894</v>
      </c>
      <c r="J200" s="957"/>
    </row>
    <row r="201" spans="1:11" s="854" customFormat="1" ht="23.25" customHeight="1" x14ac:dyDescent="0.2">
      <c r="A201" s="833">
        <f t="shared" si="10"/>
        <v>8</v>
      </c>
      <c r="B201" s="954" t="s">
        <v>730</v>
      </c>
      <c r="C201" s="464" t="s">
        <v>719</v>
      </c>
      <c r="D201" s="955">
        <v>12.6</v>
      </c>
      <c r="E201" s="911">
        <f>10000</f>
        <v>10000</v>
      </c>
      <c r="F201" s="80">
        <f t="shared" si="9"/>
        <v>1.26</v>
      </c>
      <c r="G201" s="813"/>
      <c r="H201" s="813"/>
      <c r="I201" s="1135" t="s">
        <v>894</v>
      </c>
      <c r="J201" s="956"/>
    </row>
    <row r="202" spans="1:11" s="854" customFormat="1" ht="20.25" customHeight="1" x14ac:dyDescent="0.2">
      <c r="A202" s="833">
        <f t="shared" si="10"/>
        <v>9</v>
      </c>
      <c r="B202" s="954" t="s">
        <v>731</v>
      </c>
      <c r="C202" s="464" t="s">
        <v>719</v>
      </c>
      <c r="D202" s="955">
        <v>1.0109999999999999</v>
      </c>
      <c r="E202" s="911">
        <f>10000</f>
        <v>10000</v>
      </c>
      <c r="F202" s="80">
        <f t="shared" si="9"/>
        <v>0.10109999999999998</v>
      </c>
      <c r="G202" s="813"/>
      <c r="H202" s="813"/>
      <c r="I202" s="1135" t="s">
        <v>894</v>
      </c>
      <c r="J202" s="957"/>
    </row>
    <row r="203" spans="1:11" s="854" customFormat="1" ht="18.75" customHeight="1" x14ac:dyDescent="0.2">
      <c r="A203" s="833">
        <f t="shared" si="10"/>
        <v>10</v>
      </c>
      <c r="B203" s="954" t="s">
        <v>732</v>
      </c>
      <c r="C203" s="464" t="s">
        <v>719</v>
      </c>
      <c r="D203" s="955">
        <v>1.0109999999999999</v>
      </c>
      <c r="E203" s="911">
        <f>10000</f>
        <v>10000</v>
      </c>
      <c r="F203" s="80">
        <f t="shared" si="9"/>
        <v>0.10109999999999998</v>
      </c>
      <c r="G203" s="813"/>
      <c r="H203" s="813"/>
      <c r="I203" s="1135" t="s">
        <v>894</v>
      </c>
      <c r="J203" s="957"/>
    </row>
    <row r="204" spans="1:11" s="854" customFormat="1" ht="21.75" customHeight="1" x14ac:dyDescent="0.2">
      <c r="A204" s="833">
        <f t="shared" si="10"/>
        <v>11</v>
      </c>
      <c r="B204" s="954" t="s">
        <v>879</v>
      </c>
      <c r="C204" s="464" t="s">
        <v>719</v>
      </c>
      <c r="D204" s="955">
        <v>0.59499999999999997</v>
      </c>
      <c r="E204" s="911">
        <f>10000</f>
        <v>10000</v>
      </c>
      <c r="F204" s="80">
        <f t="shared" si="9"/>
        <v>5.9499999999999997E-2</v>
      </c>
      <c r="G204" s="813"/>
      <c r="H204" s="813"/>
      <c r="I204" s="1135" t="s">
        <v>894</v>
      </c>
      <c r="J204" s="957"/>
    </row>
    <row r="205" spans="1:11" s="854" customFormat="1" ht="17.25" customHeight="1" x14ac:dyDescent="0.2">
      <c r="A205" s="833">
        <f t="shared" si="10"/>
        <v>12</v>
      </c>
      <c r="B205" s="958" t="s">
        <v>880</v>
      </c>
      <c r="C205" s="464" t="s">
        <v>719</v>
      </c>
      <c r="D205" s="959">
        <v>24.3</v>
      </c>
      <c r="E205" s="911">
        <f>10000</f>
        <v>10000</v>
      </c>
      <c r="F205" s="80">
        <f t="shared" si="9"/>
        <v>2.4300000000000002</v>
      </c>
      <c r="G205" s="813"/>
      <c r="H205" s="813"/>
      <c r="I205" s="1135" t="s">
        <v>894</v>
      </c>
      <c r="J205" s="956"/>
    </row>
    <row r="206" spans="1:11" s="854" customFormat="1" ht="23.25" customHeight="1" thickBot="1" x14ac:dyDescent="0.25">
      <c r="A206" s="833">
        <f t="shared" si="10"/>
        <v>13</v>
      </c>
      <c r="B206" s="954" t="s">
        <v>881</v>
      </c>
      <c r="C206" s="960" t="s">
        <v>719</v>
      </c>
      <c r="D206" s="961">
        <v>20.7</v>
      </c>
      <c r="E206" s="911">
        <f>10000</f>
        <v>10000</v>
      </c>
      <c r="F206" s="80">
        <f t="shared" si="9"/>
        <v>2.0699999999999998</v>
      </c>
      <c r="G206" s="813"/>
      <c r="H206" s="813"/>
      <c r="I206" s="1135" t="s">
        <v>894</v>
      </c>
      <c r="J206" s="956"/>
    </row>
    <row r="207" spans="1:11" s="854" customFormat="1" ht="23.25" customHeight="1" x14ac:dyDescent="0.2">
      <c r="A207" s="833"/>
      <c r="B207" s="954"/>
      <c r="C207" s="970"/>
      <c r="D207" s="971"/>
      <c r="E207" s="911"/>
      <c r="F207" s="80">
        <f t="shared" si="9"/>
        <v>0</v>
      </c>
      <c r="G207" s="813"/>
      <c r="H207" s="813"/>
      <c r="I207" s="1135"/>
      <c r="J207" s="972"/>
    </row>
    <row r="208" spans="1:11" s="854" customFormat="1" ht="40.5" customHeight="1" x14ac:dyDescent="0.2">
      <c r="A208" s="833"/>
      <c r="B208" s="815" t="s">
        <v>904</v>
      </c>
      <c r="C208" s="1222" t="s">
        <v>533</v>
      </c>
      <c r="D208" s="932">
        <v>540</v>
      </c>
      <c r="E208" s="911">
        <f>10000</f>
        <v>10000</v>
      </c>
      <c r="F208" s="80">
        <f t="shared" si="9"/>
        <v>54</v>
      </c>
      <c r="G208" s="813"/>
      <c r="H208" s="813"/>
      <c r="I208" s="1135" t="s">
        <v>894</v>
      </c>
      <c r="J208" s="972"/>
    </row>
    <row r="209" spans="1:10" s="854" customFormat="1" ht="23.25" customHeight="1" x14ac:dyDescent="0.2">
      <c r="A209" s="833"/>
      <c r="B209" s="954"/>
      <c r="C209" s="970"/>
      <c r="D209" s="971"/>
      <c r="E209" s="911"/>
      <c r="F209" s="80">
        <f t="shared" si="9"/>
        <v>0</v>
      </c>
      <c r="G209" s="813"/>
      <c r="H209" s="813"/>
      <c r="I209" s="1135"/>
      <c r="J209" s="972"/>
    </row>
    <row r="210" spans="1:10" s="854" customFormat="1" ht="30" customHeight="1" x14ac:dyDescent="0.2">
      <c r="A210" s="828"/>
      <c r="B210" s="835" t="s">
        <v>717</v>
      </c>
      <c r="C210" s="521"/>
      <c r="D210" s="833"/>
      <c r="E210" s="911"/>
      <c r="F210" s="80">
        <f t="shared" si="9"/>
        <v>0</v>
      </c>
      <c r="G210" s="813"/>
      <c r="H210" s="813"/>
      <c r="I210" s="1135"/>
      <c r="J210" s="839"/>
    </row>
    <row r="211" spans="1:10" s="854" customFormat="1" ht="35.1" customHeight="1" x14ac:dyDescent="0.2">
      <c r="A211" s="828">
        <v>1</v>
      </c>
      <c r="B211" s="884" t="s">
        <v>718</v>
      </c>
      <c r="C211" s="962" t="s">
        <v>733</v>
      </c>
      <c r="D211" s="962">
        <v>180</v>
      </c>
      <c r="E211" s="911">
        <f>10000</f>
        <v>10000</v>
      </c>
      <c r="F211" s="80">
        <f t="shared" si="9"/>
        <v>18</v>
      </c>
      <c r="G211" s="813"/>
      <c r="H211" s="813"/>
      <c r="I211" s="1135" t="s">
        <v>894</v>
      </c>
      <c r="J211" s="839" t="s">
        <v>17</v>
      </c>
    </row>
    <row r="212" spans="1:10" s="854" customFormat="1" ht="35.1" customHeight="1" x14ac:dyDescent="0.2">
      <c r="A212" s="1218" t="s">
        <v>843</v>
      </c>
      <c r="B212" s="1219" t="s">
        <v>844</v>
      </c>
      <c r="C212" s="1222" t="s">
        <v>533</v>
      </c>
      <c r="D212" s="1237">
        <v>4500</v>
      </c>
      <c r="E212" s="911">
        <v>4000</v>
      </c>
      <c r="F212" s="826">
        <f>D212*E212/10^5</f>
        <v>180</v>
      </c>
      <c r="G212" s="1238"/>
      <c r="H212" s="897"/>
      <c r="I212" s="1135" t="s">
        <v>894</v>
      </c>
      <c r="J212" s="839"/>
    </row>
    <row r="213" spans="1:10" s="854" customFormat="1" ht="30.75" customHeight="1" x14ac:dyDescent="0.2">
      <c r="A213" s="973"/>
      <c r="B213" s="1301" t="s">
        <v>905</v>
      </c>
      <c r="C213" s="1302"/>
      <c r="D213" s="1302"/>
      <c r="E213" s="1303"/>
      <c r="F213" s="974">
        <f>SUM(F189:F212)</f>
        <v>267.12020000000001</v>
      </c>
      <c r="G213" s="975"/>
      <c r="H213" s="976"/>
      <c r="I213" s="977" t="s">
        <v>903</v>
      </c>
      <c r="J213" s="839"/>
    </row>
    <row r="214" spans="1:10" s="854" customFormat="1" ht="34.5" customHeight="1" x14ac:dyDescent="0.2">
      <c r="A214" s="828"/>
      <c r="B214" s="964" t="s">
        <v>734</v>
      </c>
      <c r="C214" s="963"/>
      <c r="D214" s="963"/>
      <c r="E214" s="911"/>
      <c r="F214" s="80"/>
      <c r="G214" s="813"/>
      <c r="H214" s="813"/>
      <c r="I214" s="836"/>
      <c r="J214" s="839"/>
    </row>
    <row r="215" spans="1:10" s="854" customFormat="1" ht="23.25" customHeight="1" x14ac:dyDescent="0.2">
      <c r="A215" s="828">
        <v>1</v>
      </c>
      <c r="B215" s="884" t="s">
        <v>728</v>
      </c>
      <c r="C215" s="521" t="s">
        <v>524</v>
      </c>
      <c r="D215" s="833">
        <v>3</v>
      </c>
      <c r="E215" s="911">
        <v>9869403.3200000003</v>
      </c>
      <c r="F215" s="550">
        <f>D215*E215/10^5</f>
        <v>296.08209959999999</v>
      </c>
      <c r="G215" s="813"/>
      <c r="H215" s="813"/>
      <c r="I215" s="882" t="s">
        <v>714</v>
      </c>
      <c r="J215" s="882" t="s">
        <v>715</v>
      </c>
    </row>
    <row r="216" spans="1:10" s="854" customFormat="1" ht="16.5" customHeight="1" x14ac:dyDescent="0.2">
      <c r="A216" s="828">
        <v>2</v>
      </c>
      <c r="B216" s="954" t="s">
        <v>729</v>
      </c>
      <c r="C216" s="965" t="s">
        <v>524</v>
      </c>
      <c r="D216" s="966">
        <v>3</v>
      </c>
      <c r="E216" s="911">
        <v>2437307</v>
      </c>
      <c r="F216" s="550">
        <f>D216*E216/10^5</f>
        <v>73.119209999999995</v>
      </c>
      <c r="G216" s="813"/>
      <c r="H216" s="813"/>
      <c r="I216" s="956" t="s">
        <v>714</v>
      </c>
      <c r="J216" s="957"/>
    </row>
    <row r="217" spans="1:10" s="854" customFormat="1" ht="19.5" customHeight="1" x14ac:dyDescent="0.2">
      <c r="A217" s="828">
        <v>3</v>
      </c>
      <c r="B217" s="954" t="s">
        <v>874</v>
      </c>
      <c r="C217" s="965" t="s">
        <v>524</v>
      </c>
      <c r="D217" s="966">
        <v>1</v>
      </c>
      <c r="E217" s="911">
        <v>961153</v>
      </c>
      <c r="F217" s="550">
        <f t="shared" ref="F217:F227" si="11">D217*E217/10^5</f>
        <v>9.6115300000000001</v>
      </c>
      <c r="G217" s="813"/>
      <c r="H217" s="813"/>
      <c r="I217" s="956" t="s">
        <v>714</v>
      </c>
      <c r="J217" s="957"/>
    </row>
    <row r="218" spans="1:10" s="854" customFormat="1" ht="18" customHeight="1" x14ac:dyDescent="0.2">
      <c r="A218" s="828">
        <v>4</v>
      </c>
      <c r="B218" s="954" t="s">
        <v>875</v>
      </c>
      <c r="C218" s="965" t="s">
        <v>524</v>
      </c>
      <c r="D218" s="966">
        <v>3</v>
      </c>
      <c r="E218" s="911">
        <v>2685000</v>
      </c>
      <c r="F218" s="550">
        <f t="shared" si="11"/>
        <v>80.55</v>
      </c>
      <c r="G218" s="813"/>
      <c r="H218" s="813"/>
      <c r="I218" s="956" t="s">
        <v>714</v>
      </c>
      <c r="J218" s="956" t="s">
        <v>882</v>
      </c>
    </row>
    <row r="219" spans="1:10" s="854" customFormat="1" ht="33.75" customHeight="1" x14ac:dyDescent="0.2">
      <c r="A219" s="828">
        <v>5</v>
      </c>
      <c r="B219" s="954" t="s">
        <v>876</v>
      </c>
      <c r="C219" s="965" t="s">
        <v>524</v>
      </c>
      <c r="D219" s="966">
        <v>3</v>
      </c>
      <c r="E219" s="911">
        <v>2602469.81</v>
      </c>
      <c r="F219" s="550">
        <f t="shared" si="11"/>
        <v>78.074094299999999</v>
      </c>
      <c r="G219" s="813"/>
      <c r="H219" s="813"/>
      <c r="I219" s="956" t="s">
        <v>714</v>
      </c>
      <c r="J219" s="956" t="s">
        <v>882</v>
      </c>
    </row>
    <row r="220" spans="1:10" s="854" customFormat="1" ht="33" customHeight="1" x14ac:dyDescent="0.2">
      <c r="A220" s="828">
        <v>6</v>
      </c>
      <c r="B220" s="954" t="s">
        <v>877</v>
      </c>
      <c r="C220" s="965" t="s">
        <v>524</v>
      </c>
      <c r="D220" s="966">
        <v>3</v>
      </c>
      <c r="E220" s="911">
        <v>2651759.62</v>
      </c>
      <c r="F220" s="550">
        <f t="shared" si="11"/>
        <v>79.5527886</v>
      </c>
      <c r="G220" s="813"/>
      <c r="H220" s="813"/>
      <c r="I220" s="956" t="s">
        <v>714</v>
      </c>
      <c r="J220" s="956" t="s">
        <v>882</v>
      </c>
    </row>
    <row r="221" spans="1:10" s="854" customFormat="1" ht="19.5" customHeight="1" x14ac:dyDescent="0.2">
      <c r="A221" s="828">
        <v>7</v>
      </c>
      <c r="B221" s="954" t="s">
        <v>878</v>
      </c>
      <c r="C221" s="965" t="s">
        <v>524</v>
      </c>
      <c r="D221" s="966">
        <v>3</v>
      </c>
      <c r="E221" s="911">
        <v>180600</v>
      </c>
      <c r="F221" s="550">
        <f t="shared" si="11"/>
        <v>5.4180000000000001</v>
      </c>
      <c r="G221" s="813"/>
      <c r="H221" s="813"/>
      <c r="I221" s="956" t="s">
        <v>714</v>
      </c>
      <c r="J221" s="957"/>
    </row>
    <row r="222" spans="1:10" s="854" customFormat="1" ht="19.5" customHeight="1" x14ac:dyDescent="0.2">
      <c r="A222" s="828">
        <v>8</v>
      </c>
      <c r="B222" s="954" t="s">
        <v>730</v>
      </c>
      <c r="C222" s="965" t="s">
        <v>524</v>
      </c>
      <c r="D222" s="966">
        <v>6</v>
      </c>
      <c r="E222" s="911">
        <v>4368929.4270000001</v>
      </c>
      <c r="F222" s="550">
        <f t="shared" si="11"/>
        <v>262.13576561999997</v>
      </c>
      <c r="G222" s="813"/>
      <c r="H222" s="813"/>
      <c r="I222" s="956" t="s">
        <v>714</v>
      </c>
      <c r="J222" s="956" t="s">
        <v>883</v>
      </c>
    </row>
    <row r="223" spans="1:10" s="854" customFormat="1" ht="18" customHeight="1" x14ac:dyDescent="0.2">
      <c r="A223" s="828">
        <v>9</v>
      </c>
      <c r="B223" s="954" t="s">
        <v>731</v>
      </c>
      <c r="C223" s="965" t="s">
        <v>524</v>
      </c>
      <c r="D223" s="966">
        <v>3</v>
      </c>
      <c r="E223" s="911">
        <v>468509</v>
      </c>
      <c r="F223" s="550">
        <f t="shared" si="11"/>
        <v>14.05527</v>
      </c>
      <c r="G223" s="813"/>
      <c r="H223" s="813"/>
      <c r="I223" s="956" t="s">
        <v>714</v>
      </c>
      <c r="J223" s="957"/>
    </row>
    <row r="224" spans="1:10" s="854" customFormat="1" ht="23.25" customHeight="1" x14ac:dyDescent="0.2">
      <c r="A224" s="828">
        <v>10</v>
      </c>
      <c r="B224" s="954" t="s">
        <v>732</v>
      </c>
      <c r="C224" s="965" t="s">
        <v>524</v>
      </c>
      <c r="D224" s="966">
        <v>3</v>
      </c>
      <c r="E224" s="911">
        <v>445512</v>
      </c>
      <c r="F224" s="550">
        <f t="shared" si="11"/>
        <v>13.365360000000001</v>
      </c>
      <c r="G224" s="813"/>
      <c r="H224" s="813"/>
      <c r="I224" s="956" t="s">
        <v>714</v>
      </c>
      <c r="J224" s="957"/>
    </row>
    <row r="225" spans="1:12" s="854" customFormat="1" ht="30.75" customHeight="1" x14ac:dyDescent="0.2">
      <c r="A225" s="828">
        <v>11</v>
      </c>
      <c r="B225" s="954" t="s">
        <v>879</v>
      </c>
      <c r="C225" s="965" t="s">
        <v>524</v>
      </c>
      <c r="D225" s="966">
        <v>6</v>
      </c>
      <c r="E225" s="911">
        <v>44000</v>
      </c>
      <c r="F225" s="550">
        <f t="shared" si="11"/>
        <v>2.64</v>
      </c>
      <c r="G225" s="813"/>
      <c r="H225" s="813"/>
      <c r="I225" s="956" t="s">
        <v>884</v>
      </c>
      <c r="J225" s="957"/>
    </row>
    <row r="226" spans="1:12" s="854" customFormat="1" ht="19.5" customHeight="1" x14ac:dyDescent="0.2">
      <c r="A226" s="828">
        <v>12</v>
      </c>
      <c r="B226" s="958" t="s">
        <v>880</v>
      </c>
      <c r="C226" s="965" t="s">
        <v>524</v>
      </c>
      <c r="D226" s="966">
        <v>3</v>
      </c>
      <c r="E226" s="911">
        <v>5714591.432</v>
      </c>
      <c r="F226" s="550">
        <f t="shared" si="11"/>
        <v>171.43774296000001</v>
      </c>
      <c r="G226" s="897"/>
      <c r="H226" s="897"/>
      <c r="I226" s="956" t="s">
        <v>714</v>
      </c>
      <c r="J226" s="956" t="s">
        <v>882</v>
      </c>
    </row>
    <row r="227" spans="1:12" s="854" customFormat="1" ht="23.25" customHeight="1" x14ac:dyDescent="0.2">
      <c r="A227" s="809"/>
      <c r="B227" s="954" t="s">
        <v>881</v>
      </c>
      <c r="C227" s="965" t="s">
        <v>524</v>
      </c>
      <c r="D227" s="966">
        <v>3</v>
      </c>
      <c r="E227" s="911">
        <v>5689946.9500000002</v>
      </c>
      <c r="F227" s="550">
        <f t="shared" si="11"/>
        <v>170.69840850000003</v>
      </c>
      <c r="G227" s="897"/>
      <c r="H227" s="897"/>
      <c r="I227" s="956" t="s">
        <v>714</v>
      </c>
      <c r="J227" s="956" t="s">
        <v>882</v>
      </c>
    </row>
    <row r="228" spans="1:12" s="854" customFormat="1" ht="18" customHeight="1" x14ac:dyDescent="0.2">
      <c r="A228" s="855"/>
      <c r="B228" s="967"/>
      <c r="C228" s="852"/>
      <c r="D228" s="852"/>
      <c r="E228" s="911"/>
      <c r="F228" s="855"/>
    </row>
    <row r="229" spans="1:12" s="841" customFormat="1" ht="32.1" customHeight="1" x14ac:dyDescent="0.2">
      <c r="A229" s="973"/>
      <c r="B229" s="1301" t="s">
        <v>907</v>
      </c>
      <c r="C229" s="1302"/>
      <c r="D229" s="1302"/>
      <c r="E229" s="1303"/>
      <c r="F229" s="1176">
        <f>SUM(F215:F227)*0.9</f>
        <v>1131.0662426219997</v>
      </c>
      <c r="G229" s="975"/>
      <c r="H229" s="976"/>
      <c r="I229" s="1177" t="s">
        <v>1023</v>
      </c>
      <c r="J229" s="1178" t="s">
        <v>908</v>
      </c>
      <c r="K229" s="854"/>
      <c r="L229" s="870"/>
    </row>
    <row r="230" spans="1:12" s="813" customFormat="1" ht="21" customHeight="1" x14ac:dyDescent="0.2">
      <c r="A230" s="849"/>
      <c r="B230" s="856"/>
      <c r="C230" s="852"/>
      <c r="D230" s="852"/>
      <c r="E230" s="854"/>
      <c r="F230" s="113">
        <f>F229*12%</f>
        <v>135.72794911463996</v>
      </c>
      <c r="G230" s="854"/>
      <c r="H230" s="854"/>
      <c r="I230" s="113"/>
      <c r="J230" s="854"/>
      <c r="K230" s="854"/>
      <c r="L230" s="840"/>
    </row>
    <row r="231" spans="1:12" s="813" customFormat="1" ht="28.5" customHeight="1" x14ac:dyDescent="0.2">
      <c r="A231" s="849"/>
      <c r="B231" s="858"/>
      <c r="C231" s="859"/>
      <c r="D231" s="860"/>
      <c r="E231" s="861"/>
      <c r="F231" s="113"/>
      <c r="G231" s="854"/>
      <c r="H231" s="854"/>
      <c r="I231" s="865"/>
      <c r="J231" s="854"/>
      <c r="K231" s="872"/>
      <c r="L231" s="840"/>
    </row>
    <row r="232" spans="1:12" s="813" customFormat="1" ht="18.75" customHeight="1" x14ac:dyDescent="0.2">
      <c r="A232" s="855"/>
      <c r="B232" s="858"/>
      <c r="C232" s="859"/>
      <c r="D232" s="860"/>
      <c r="E232" s="861"/>
      <c r="F232" s="113"/>
      <c r="G232" s="862"/>
      <c r="H232" s="863"/>
      <c r="I232" s="864"/>
      <c r="J232" s="854"/>
      <c r="K232" s="854"/>
      <c r="L232" s="840"/>
    </row>
    <row r="233" spans="1:12" s="814" customFormat="1" ht="15.75" x14ac:dyDescent="0.2">
      <c r="A233" s="855"/>
      <c r="B233" s="856"/>
      <c r="C233" s="852"/>
      <c r="D233" s="852"/>
      <c r="E233" s="854"/>
      <c r="F233" s="857"/>
      <c r="G233" s="854"/>
      <c r="H233" s="857"/>
      <c r="I233" s="113"/>
      <c r="J233" s="854"/>
      <c r="K233" s="853"/>
      <c r="L233" s="873"/>
    </row>
    <row r="234" spans="1:12" s="814" customFormat="1" ht="9.75" customHeight="1" x14ac:dyDescent="0.2">
      <c r="A234" s="855"/>
      <c r="B234" s="850"/>
      <c r="C234" s="850"/>
      <c r="D234" s="850"/>
      <c r="E234" s="850"/>
      <c r="F234" s="851"/>
      <c r="G234" s="852"/>
      <c r="H234" s="853"/>
      <c r="I234" s="668"/>
      <c r="J234" s="853"/>
      <c r="K234" s="853"/>
      <c r="L234" s="873"/>
    </row>
    <row r="235" spans="1:12" s="813" customFormat="1" ht="19.5" customHeight="1" x14ac:dyDescent="0.2">
      <c r="A235" s="855"/>
      <c r="B235" s="856"/>
      <c r="C235" s="850"/>
      <c r="D235" s="850"/>
      <c r="E235" s="853"/>
      <c r="F235" s="853"/>
      <c r="G235" s="854"/>
      <c r="H235" s="853"/>
      <c r="I235" s="853"/>
      <c r="J235" s="853"/>
      <c r="K235" s="854"/>
      <c r="L235" s="840"/>
    </row>
    <row r="236" spans="1:12" s="813" customFormat="1" ht="19.5" customHeight="1" x14ac:dyDescent="0.2">
      <c r="A236" s="855"/>
      <c r="B236" s="852"/>
      <c r="C236" s="852"/>
      <c r="D236" s="849"/>
      <c r="E236" s="852"/>
      <c r="F236" s="857"/>
      <c r="G236" s="855"/>
      <c r="H236" s="855"/>
      <c r="I236" s="855"/>
      <c r="J236" s="855"/>
      <c r="K236" s="854"/>
      <c r="L236" s="840"/>
    </row>
    <row r="237" spans="1:12" s="813" customFormat="1" ht="23.25" customHeight="1" x14ac:dyDescent="0.2">
      <c r="A237" s="855"/>
      <c r="B237" s="874"/>
      <c r="C237" s="875"/>
      <c r="D237" s="804"/>
      <c r="E237" s="854"/>
      <c r="F237" s="113"/>
      <c r="G237" s="855"/>
      <c r="H237" s="855"/>
      <c r="I237" s="875"/>
      <c r="J237" s="854"/>
      <c r="K237" s="854"/>
      <c r="L237" s="840"/>
    </row>
    <row r="238" spans="1:12" s="813" customFormat="1" ht="21" customHeight="1" x14ac:dyDescent="0.2">
      <c r="A238" s="855"/>
      <c r="B238" s="874"/>
      <c r="C238" s="875"/>
      <c r="D238" s="804"/>
      <c r="E238" s="854"/>
      <c r="F238" s="113"/>
      <c r="G238" s="855"/>
      <c r="H238" s="855"/>
      <c r="I238" s="875"/>
      <c r="J238" s="854"/>
      <c r="K238" s="871"/>
      <c r="L238" s="840"/>
    </row>
    <row r="239" spans="1:12" s="814" customFormat="1" ht="9.75" customHeight="1" x14ac:dyDescent="0.2">
      <c r="A239" s="855"/>
      <c r="B239" s="874"/>
      <c r="C239" s="875"/>
      <c r="D239" s="804"/>
      <c r="E239" s="854"/>
      <c r="F239" s="113"/>
      <c r="G239" s="855"/>
      <c r="H239" s="855"/>
      <c r="I239" s="875"/>
      <c r="J239" s="854"/>
      <c r="K239" s="853"/>
      <c r="L239" s="873"/>
    </row>
    <row r="240" spans="1:12" s="814" customFormat="1" ht="18.75" customHeight="1" x14ac:dyDescent="0.2">
      <c r="A240" s="855"/>
      <c r="B240" s="850"/>
      <c r="C240" s="850"/>
      <c r="D240" s="850"/>
      <c r="E240" s="850"/>
      <c r="F240" s="851"/>
      <c r="G240" s="852"/>
      <c r="H240" s="853"/>
      <c r="I240" s="668"/>
      <c r="J240" s="853"/>
      <c r="K240" s="853"/>
      <c r="L240" s="873"/>
    </row>
    <row r="241" spans="1:12" s="813" customFormat="1" ht="20.25" customHeight="1" x14ac:dyDescent="0.2">
      <c r="A241" s="849"/>
      <c r="B241" s="850"/>
      <c r="C241" s="850"/>
      <c r="D241" s="850"/>
      <c r="E241" s="850"/>
      <c r="F241" s="851"/>
      <c r="G241" s="852"/>
      <c r="H241" s="853"/>
      <c r="I241" s="668"/>
      <c r="J241" s="853"/>
      <c r="K241" s="854"/>
      <c r="L241" s="840"/>
    </row>
    <row r="242" spans="1:12" s="813" customFormat="1" ht="20.25" customHeight="1" x14ac:dyDescent="0.2">
      <c r="A242" s="849"/>
      <c r="B242" s="856"/>
      <c r="C242" s="850"/>
      <c r="D242" s="850"/>
      <c r="E242" s="853"/>
      <c r="F242" s="853"/>
      <c r="G242" s="854"/>
      <c r="H242" s="853"/>
      <c r="I242" s="853"/>
      <c r="J242" s="853"/>
      <c r="K242" s="854"/>
      <c r="L242" s="840"/>
    </row>
    <row r="243" spans="1:12" s="813" customFormat="1" ht="16.5" customHeight="1" x14ac:dyDescent="0.2">
      <c r="A243" s="849"/>
      <c r="B243" s="852"/>
      <c r="C243" s="852"/>
      <c r="D243" s="849"/>
      <c r="E243" s="852"/>
      <c r="F243" s="857"/>
      <c r="G243" s="855"/>
      <c r="H243" s="855"/>
      <c r="I243" s="855"/>
      <c r="J243" s="855"/>
      <c r="K243" s="854"/>
      <c r="L243" s="840"/>
    </row>
    <row r="244" spans="1:12" s="813" customFormat="1" ht="15" customHeight="1" x14ac:dyDescent="0.2">
      <c r="A244" s="849"/>
      <c r="B244" s="874"/>
      <c r="C244" s="875"/>
      <c r="D244" s="804"/>
      <c r="E244" s="854"/>
      <c r="F244" s="113"/>
      <c r="G244" s="855"/>
      <c r="H244" s="855"/>
      <c r="I244" s="875"/>
      <c r="J244" s="854"/>
      <c r="K244" s="854"/>
      <c r="L244" s="840"/>
    </row>
    <row r="245" spans="1:12" s="814" customFormat="1" x14ac:dyDescent="0.2">
      <c r="A245" s="855"/>
      <c r="B245" s="874"/>
      <c r="C245" s="875"/>
      <c r="D245" s="804"/>
      <c r="E245" s="854"/>
      <c r="F245" s="113"/>
      <c r="G245" s="855"/>
      <c r="H245" s="855"/>
      <c r="I245" s="875"/>
      <c r="J245" s="854"/>
      <c r="K245" s="853"/>
      <c r="L245" s="873"/>
    </row>
    <row r="246" spans="1:12" s="814" customFormat="1" ht="12" customHeight="1" x14ac:dyDescent="0.2">
      <c r="A246" s="855"/>
      <c r="B246" s="874"/>
      <c r="C246" s="875"/>
      <c r="D246" s="804"/>
      <c r="E246" s="854"/>
      <c r="F246" s="113"/>
      <c r="G246" s="855"/>
      <c r="H246" s="855"/>
      <c r="I246" s="875"/>
      <c r="J246" s="854"/>
      <c r="K246" s="853"/>
      <c r="L246" s="873"/>
    </row>
    <row r="247" spans="1:12" s="814" customFormat="1" ht="18.75" customHeight="1" x14ac:dyDescent="0.2">
      <c r="A247" s="855"/>
      <c r="B247" s="850"/>
      <c r="C247" s="850"/>
      <c r="D247" s="850"/>
      <c r="E247" s="850"/>
      <c r="F247" s="851"/>
      <c r="G247" s="852"/>
      <c r="H247" s="853"/>
      <c r="I247" s="668"/>
      <c r="J247" s="853"/>
      <c r="K247" s="853"/>
      <c r="L247" s="873"/>
    </row>
    <row r="248" spans="1:12" s="813" customFormat="1" ht="20.25" customHeight="1" x14ac:dyDescent="0.2">
      <c r="A248" s="849"/>
      <c r="B248" s="850"/>
      <c r="C248" s="850"/>
      <c r="D248" s="850"/>
      <c r="E248" s="850"/>
      <c r="F248" s="851"/>
      <c r="G248" s="852"/>
      <c r="H248" s="853"/>
      <c r="I248" s="668"/>
      <c r="J248" s="853"/>
      <c r="K248" s="854"/>
      <c r="L248" s="840"/>
    </row>
    <row r="249" spans="1:12" s="813" customFormat="1" ht="20.25" customHeight="1" x14ac:dyDescent="0.2">
      <c r="A249" s="849"/>
      <c r="B249" s="850"/>
      <c r="C249" s="850"/>
      <c r="D249" s="850"/>
      <c r="E249" s="850"/>
      <c r="F249" s="851"/>
      <c r="G249" s="852"/>
      <c r="H249" s="853"/>
      <c r="I249" s="668"/>
      <c r="J249" s="853"/>
      <c r="K249" s="854"/>
      <c r="L249" s="840"/>
    </row>
    <row r="250" spans="1:12" s="813" customFormat="1" ht="18" customHeight="1" x14ac:dyDescent="0.2">
      <c r="A250" s="849"/>
      <c r="B250" s="858"/>
      <c r="C250" s="859"/>
      <c r="D250" s="860"/>
      <c r="E250" s="861"/>
      <c r="F250" s="113"/>
      <c r="G250" s="854"/>
      <c r="H250" s="854"/>
      <c r="I250" s="865"/>
      <c r="J250" s="853"/>
      <c r="K250" s="854"/>
      <c r="L250" s="840"/>
    </row>
    <row r="251" spans="1:12" s="813" customFormat="1" ht="19.5" customHeight="1" x14ac:dyDescent="0.2">
      <c r="A251" s="849"/>
      <c r="B251" s="858"/>
      <c r="C251" s="859"/>
      <c r="D251" s="860"/>
      <c r="E251" s="861"/>
      <c r="F251" s="113"/>
      <c r="G251" s="862"/>
      <c r="H251" s="863"/>
      <c r="I251" s="864"/>
      <c r="J251" s="853"/>
      <c r="K251" s="854"/>
      <c r="L251" s="840"/>
    </row>
    <row r="252" spans="1:12" s="814" customFormat="1" ht="15.75" x14ac:dyDescent="0.2">
      <c r="A252" s="855"/>
      <c r="B252" s="856"/>
      <c r="C252" s="852"/>
      <c r="D252" s="852"/>
      <c r="E252" s="854"/>
      <c r="F252" s="857"/>
      <c r="G252" s="854"/>
      <c r="H252" s="857"/>
      <c r="I252" s="113"/>
      <c r="J252" s="853"/>
      <c r="K252" s="853"/>
      <c r="L252" s="873"/>
    </row>
    <row r="253" spans="1:12" s="853" customFormat="1" ht="12" customHeight="1" x14ac:dyDescent="0.2">
      <c r="A253" s="855"/>
      <c r="B253" s="856"/>
      <c r="C253" s="852"/>
      <c r="D253" s="852"/>
      <c r="E253" s="854"/>
      <c r="F253" s="857"/>
      <c r="G253" s="854"/>
      <c r="H253" s="857"/>
      <c r="I253" s="113"/>
    </row>
    <row r="254" spans="1:12" s="853" customFormat="1" ht="15.75" x14ac:dyDescent="0.2">
      <c r="A254" s="855"/>
      <c r="B254" s="850"/>
      <c r="C254" s="850"/>
      <c r="D254" s="850"/>
      <c r="E254" s="850"/>
      <c r="F254" s="851"/>
      <c r="G254" s="852"/>
      <c r="I254" s="668"/>
    </row>
    <row r="255" spans="1:12" s="853" customFormat="1" x14ac:dyDescent="0.2">
      <c r="A255" s="855"/>
      <c r="B255" s="858"/>
      <c r="C255" s="859"/>
      <c r="D255" s="860"/>
      <c r="E255" s="861"/>
      <c r="F255" s="113"/>
      <c r="G255" s="854"/>
      <c r="H255" s="854"/>
      <c r="I255" s="865"/>
    </row>
    <row r="256" spans="1:12" s="853" customFormat="1" x14ac:dyDescent="0.2">
      <c r="A256" s="855"/>
      <c r="B256" s="858"/>
      <c r="C256" s="859"/>
      <c r="D256" s="860"/>
      <c r="E256" s="861"/>
      <c r="F256" s="113"/>
      <c r="G256" s="862"/>
      <c r="H256" s="863"/>
      <c r="I256" s="864"/>
    </row>
    <row r="257" spans="1:12" s="853" customFormat="1" ht="15.75" x14ac:dyDescent="0.2">
      <c r="A257" s="855"/>
      <c r="B257" s="856"/>
      <c r="C257" s="852"/>
      <c r="D257" s="852"/>
      <c r="E257" s="854"/>
      <c r="F257" s="857"/>
      <c r="G257" s="854"/>
      <c r="H257" s="857"/>
      <c r="I257" s="113"/>
    </row>
    <row r="258" spans="1:12" s="853" customFormat="1" ht="15.75" x14ac:dyDescent="0.2">
      <c r="A258" s="855"/>
      <c r="B258" s="856"/>
      <c r="C258" s="852"/>
      <c r="D258" s="852"/>
      <c r="E258" s="854"/>
      <c r="F258" s="857"/>
      <c r="G258" s="854"/>
      <c r="H258" s="857"/>
      <c r="I258" s="113"/>
    </row>
    <row r="259" spans="1:12" s="853" customFormat="1" ht="15.75" x14ac:dyDescent="0.2">
      <c r="A259" s="855"/>
      <c r="B259" s="850"/>
      <c r="C259" s="850"/>
      <c r="D259" s="850"/>
      <c r="E259" s="850"/>
      <c r="F259" s="851"/>
      <c r="G259" s="852"/>
      <c r="I259" s="668"/>
    </row>
    <row r="260" spans="1:12" s="853" customFormat="1" x14ac:dyDescent="0.2">
      <c r="A260" s="855"/>
      <c r="B260" s="858"/>
      <c r="C260" s="859"/>
      <c r="D260" s="860"/>
      <c r="E260" s="861"/>
      <c r="F260" s="113"/>
      <c r="G260" s="854"/>
      <c r="H260" s="854"/>
      <c r="I260" s="865"/>
    </row>
    <row r="261" spans="1:12" s="853" customFormat="1" x14ac:dyDescent="0.2">
      <c r="A261" s="855"/>
      <c r="B261" s="858"/>
      <c r="C261" s="859"/>
      <c r="D261" s="860"/>
      <c r="E261" s="861"/>
      <c r="F261" s="113"/>
      <c r="G261" s="862"/>
      <c r="H261" s="863"/>
      <c r="I261" s="864"/>
    </row>
    <row r="262" spans="1:12" s="853" customFormat="1" ht="15.75" x14ac:dyDescent="0.2">
      <c r="A262" s="855"/>
      <c r="B262" s="856"/>
      <c r="C262" s="852"/>
      <c r="D262" s="852"/>
      <c r="E262" s="854"/>
      <c r="F262" s="857"/>
      <c r="G262" s="854"/>
      <c r="H262" s="857"/>
      <c r="I262" s="113"/>
    </row>
    <row r="263" spans="1:12" s="853" customFormat="1" ht="15.75" x14ac:dyDescent="0.2">
      <c r="A263" s="855"/>
      <c r="B263" s="850"/>
      <c r="C263" s="850"/>
      <c r="D263" s="850"/>
      <c r="E263" s="850"/>
      <c r="F263" s="851"/>
      <c r="G263" s="852"/>
      <c r="I263" s="668"/>
    </row>
    <row r="264" spans="1:12" s="853" customFormat="1" x14ac:dyDescent="0.2">
      <c r="A264" s="855"/>
      <c r="B264" s="876"/>
      <c r="C264" s="877"/>
      <c r="D264" s="877"/>
      <c r="E264" s="878"/>
      <c r="F264" s="878"/>
      <c r="G264" s="878"/>
      <c r="H264" s="878"/>
      <c r="I264" s="878"/>
      <c r="J264" s="869"/>
    </row>
    <row r="265" spans="1:12" s="853" customFormat="1" x14ac:dyDescent="0.2">
      <c r="A265" s="855"/>
      <c r="B265" s="858"/>
      <c r="C265" s="859"/>
      <c r="D265" s="879"/>
      <c r="E265" s="867"/>
      <c r="F265" s="113"/>
      <c r="G265" s="854"/>
      <c r="H265" s="854"/>
      <c r="I265" s="868"/>
      <c r="J265" s="868"/>
    </row>
    <row r="266" spans="1:12" s="853" customFormat="1" x14ac:dyDescent="0.2">
      <c r="A266" s="855"/>
      <c r="B266" s="858"/>
      <c r="C266" s="859"/>
      <c r="D266" s="879"/>
      <c r="E266" s="867"/>
      <c r="F266" s="113"/>
      <c r="G266" s="854"/>
      <c r="H266" s="854"/>
      <c r="I266" s="868"/>
      <c r="J266" s="868"/>
    </row>
    <row r="267" spans="1:12" s="853" customFormat="1" ht="15.75" x14ac:dyDescent="0.2">
      <c r="A267" s="855"/>
      <c r="B267" s="850"/>
      <c r="C267" s="850"/>
      <c r="D267" s="850"/>
      <c r="E267" s="850"/>
      <c r="F267" s="851"/>
      <c r="G267" s="852"/>
      <c r="I267" s="668"/>
    </row>
    <row r="268" spans="1:12" s="814" customFormat="1" x14ac:dyDescent="0.2">
      <c r="A268" s="855"/>
      <c r="B268" s="113"/>
      <c r="C268" s="113"/>
      <c r="D268" s="866"/>
      <c r="E268" s="113"/>
      <c r="F268" s="113"/>
      <c r="G268" s="113"/>
      <c r="H268" s="113"/>
      <c r="I268" s="113"/>
      <c r="J268" s="113"/>
      <c r="K268" s="853"/>
      <c r="L268" s="873"/>
    </row>
    <row r="269" spans="1:12" s="521" customFormat="1" ht="28.5" customHeight="1" x14ac:dyDescent="0.2">
      <c r="A269" s="877"/>
      <c r="B269" s="113"/>
      <c r="C269" s="113"/>
      <c r="D269" s="866"/>
      <c r="E269" s="113"/>
      <c r="F269" s="113"/>
      <c r="G269" s="113"/>
      <c r="H269" s="113"/>
      <c r="I269" s="113"/>
      <c r="J269" s="113"/>
      <c r="K269" s="869"/>
      <c r="L269" s="880"/>
    </row>
    <row r="270" spans="1:12" s="813" customFormat="1" ht="20.25" customHeight="1" x14ac:dyDescent="0.2">
      <c r="A270" s="855"/>
      <c r="B270" s="113"/>
      <c r="C270" s="113"/>
      <c r="D270" s="866"/>
      <c r="E270" s="113"/>
      <c r="F270" s="113"/>
      <c r="G270" s="113"/>
      <c r="H270" s="113"/>
      <c r="I270" s="113"/>
      <c r="J270" s="113"/>
      <c r="K270" s="1300" t="s">
        <v>871</v>
      </c>
      <c r="L270" s="840"/>
    </row>
    <row r="271" spans="1:12" s="813" customFormat="1" ht="20.25" customHeight="1" x14ac:dyDescent="0.2">
      <c r="A271" s="855"/>
      <c r="B271" s="113"/>
      <c r="C271" s="113"/>
      <c r="D271" s="866"/>
      <c r="E271" s="113"/>
      <c r="F271" s="113"/>
      <c r="G271" s="113"/>
      <c r="H271" s="113"/>
      <c r="I271" s="113"/>
      <c r="J271" s="113"/>
      <c r="K271" s="1300"/>
      <c r="L271" s="840"/>
    </row>
    <row r="272" spans="1:12" s="814" customFormat="1" ht="18.75" customHeight="1" x14ac:dyDescent="0.2">
      <c r="A272" s="855"/>
      <c r="B272" s="113"/>
      <c r="C272" s="113"/>
      <c r="D272" s="866"/>
      <c r="E272" s="113"/>
      <c r="F272" s="113"/>
      <c r="G272" s="113"/>
      <c r="H272" s="113"/>
      <c r="I272" s="113"/>
      <c r="J272" s="113"/>
      <c r="K272" s="853"/>
      <c r="L272" s="873"/>
    </row>
  </sheetData>
  <mergeCells count="25">
    <mergeCell ref="K270:K271"/>
    <mergeCell ref="B155:E155"/>
    <mergeCell ref="B159:E159"/>
    <mergeCell ref="B164:E164"/>
    <mergeCell ref="B180:E180"/>
    <mergeCell ref="B213:E213"/>
    <mergeCell ref="B229:E229"/>
    <mergeCell ref="B151:E151"/>
    <mergeCell ref="B82:E82"/>
    <mergeCell ref="B84:E84"/>
    <mergeCell ref="I90:I92"/>
    <mergeCell ref="I94:I97"/>
    <mergeCell ref="I106:I107"/>
    <mergeCell ref="I116:I117"/>
    <mergeCell ref="I119:I120"/>
    <mergeCell ref="B134:E134"/>
    <mergeCell ref="I138:I141"/>
    <mergeCell ref="I143:I145"/>
    <mergeCell ref="I147:I149"/>
    <mergeCell ref="B34:E34"/>
    <mergeCell ref="A2:I2"/>
    <mergeCell ref="B3:D3"/>
    <mergeCell ref="I7:J7"/>
    <mergeCell ref="B19:E19"/>
    <mergeCell ref="B30:E30"/>
  </mergeCells>
  <printOptions horizontalCentered="1" verticalCentered="1"/>
  <pageMargins left="0.196850393700787" right="0" top="0.15748031496063" bottom="3.9370078740157501E-2" header="0.196850393700787" footer="0"/>
  <pageSetup paperSize="9" scale="48" fitToHeight="6" orientation="landscape" r:id="rId1"/>
  <headerFooter alignWithMargins="0">
    <oddFooter>&amp;L&amp;F&amp;R&amp;D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I33"/>
  <sheetViews>
    <sheetView topLeftCell="A13" zoomScale="80" zoomScaleNormal="80" workbookViewId="0">
      <selection activeCell="J24" sqref="J24"/>
    </sheetView>
  </sheetViews>
  <sheetFormatPr defaultRowHeight="15.75" x14ac:dyDescent="0.2"/>
  <cols>
    <col min="1" max="1" width="4.77734375" style="756" customWidth="1"/>
    <col min="2" max="2" width="34.21875" style="669" customWidth="1"/>
    <col min="3" max="3" width="4.88671875" style="669" customWidth="1"/>
    <col min="4" max="4" width="10" style="749" bestFit="1" customWidth="1"/>
    <col min="5" max="5" width="10.5546875" style="749" bestFit="1" customWidth="1"/>
    <col min="6" max="6" width="12" style="669" bestFit="1" customWidth="1"/>
  </cols>
  <sheetData>
    <row r="2" spans="1:9" ht="21.75" customHeight="1" x14ac:dyDescent="0.2">
      <c r="C2" s="1408" t="s">
        <v>690</v>
      </c>
      <c r="D2" s="1408"/>
      <c r="E2" s="1408"/>
      <c r="F2" s="1408"/>
    </row>
    <row r="4" spans="1:9" ht="25.5" customHeight="1" x14ac:dyDescent="0.2">
      <c r="A4" s="1412" t="s">
        <v>624</v>
      </c>
      <c r="B4" s="1412"/>
    </row>
    <row r="6" spans="1:9" ht="31.5" x14ac:dyDescent="0.2">
      <c r="A6" s="755"/>
      <c r="B6" s="108" t="s">
        <v>3</v>
      </c>
      <c r="C6" s="108" t="s">
        <v>38</v>
      </c>
      <c r="D6" s="768" t="s">
        <v>608</v>
      </c>
      <c r="E6" s="768" t="s">
        <v>609</v>
      </c>
      <c r="F6" s="769" t="s">
        <v>659</v>
      </c>
    </row>
    <row r="7" spans="1:9" ht="20.25" customHeight="1" x14ac:dyDescent="0.2">
      <c r="A7" s="755"/>
      <c r="B7" s="763"/>
      <c r="C7" s="747"/>
      <c r="D7" s="753"/>
      <c r="E7" s="753"/>
      <c r="F7" s="747"/>
    </row>
    <row r="8" spans="1:9" ht="20.25" customHeight="1" x14ac:dyDescent="0.2">
      <c r="A8" s="755">
        <v>1</v>
      </c>
      <c r="B8" s="109" t="s">
        <v>610</v>
      </c>
      <c r="C8" s="109" t="s">
        <v>504</v>
      </c>
      <c r="D8" s="753">
        <v>1</v>
      </c>
      <c r="E8" s="753" t="e">
        <f>#REF!</f>
        <v>#REF!</v>
      </c>
      <c r="F8" s="747" t="e">
        <f>D8*E8/10^5</f>
        <v>#REF!</v>
      </c>
    </row>
    <row r="9" spans="1:9" ht="21.75" customHeight="1" x14ac:dyDescent="0.2">
      <c r="A9" s="755">
        <v>2</v>
      </c>
      <c r="B9" s="109" t="s">
        <v>611</v>
      </c>
      <c r="C9" s="109" t="s">
        <v>504</v>
      </c>
      <c r="D9" s="753">
        <v>1</v>
      </c>
      <c r="E9" s="753" t="e">
        <f>#REF!</f>
        <v>#REF!</v>
      </c>
      <c r="F9" s="747" t="e">
        <f t="shared" ref="F9:F18" si="0">D9*E9/10^5</f>
        <v>#REF!</v>
      </c>
    </row>
    <row r="10" spans="1:9" ht="51.75" customHeight="1" x14ac:dyDescent="0.2">
      <c r="A10" s="755">
        <v>3</v>
      </c>
      <c r="B10" s="744" t="s">
        <v>616</v>
      </c>
      <c r="C10" s="747"/>
      <c r="D10" s="753">
        <v>1</v>
      </c>
      <c r="E10" s="753">
        <f>(7.04-14)*10^5</f>
        <v>-696000</v>
      </c>
      <c r="F10" s="747">
        <f t="shared" si="0"/>
        <v>-6.96</v>
      </c>
    </row>
    <row r="11" spans="1:9" ht="33" customHeight="1" x14ac:dyDescent="0.2">
      <c r="A11" s="755">
        <v>4</v>
      </c>
      <c r="B11" s="744" t="e">
        <f>#REF!</f>
        <v>#REF!</v>
      </c>
      <c r="C11" s="109" t="s">
        <v>528</v>
      </c>
      <c r="D11" s="753" t="e">
        <f>#REF!</f>
        <v>#REF!</v>
      </c>
      <c r="E11" s="753" t="e">
        <f>#REF!</f>
        <v>#REF!</v>
      </c>
      <c r="F11" s="747" t="e">
        <f t="shared" si="0"/>
        <v>#REF!</v>
      </c>
    </row>
    <row r="12" spans="1:9" ht="19.5" customHeight="1" x14ac:dyDescent="0.2">
      <c r="A12" s="755">
        <v>5</v>
      </c>
      <c r="B12" s="109" t="s">
        <v>523</v>
      </c>
      <c r="C12" s="109" t="s">
        <v>504</v>
      </c>
      <c r="D12" s="753">
        <v>1</v>
      </c>
      <c r="E12" s="753" t="e">
        <f>#REF!</f>
        <v>#REF!</v>
      </c>
      <c r="F12" s="747" t="e">
        <f t="shared" si="0"/>
        <v>#REF!</v>
      </c>
    </row>
    <row r="13" spans="1:9" x14ac:dyDescent="0.2">
      <c r="A13" s="755">
        <v>6</v>
      </c>
      <c r="B13" s="109" t="s">
        <v>614</v>
      </c>
      <c r="C13" s="109" t="s">
        <v>504</v>
      </c>
      <c r="D13" s="753">
        <v>1</v>
      </c>
      <c r="E13" s="753" t="e">
        <f>#REF!</f>
        <v>#REF!</v>
      </c>
      <c r="F13" s="747" t="e">
        <f t="shared" si="0"/>
        <v>#REF!</v>
      </c>
    </row>
    <row r="14" spans="1:9" x14ac:dyDescent="0.2">
      <c r="A14" s="755">
        <v>7</v>
      </c>
      <c r="B14" s="109" t="s">
        <v>615</v>
      </c>
      <c r="C14" s="109" t="s">
        <v>504</v>
      </c>
      <c r="D14" s="753">
        <v>1</v>
      </c>
      <c r="E14" s="753" t="e">
        <f>#REF!</f>
        <v>#REF!</v>
      </c>
      <c r="F14" s="747" t="e">
        <f t="shared" si="0"/>
        <v>#REF!</v>
      </c>
      <c r="I14" s="3" t="s">
        <v>0</v>
      </c>
    </row>
    <row r="15" spans="1:9" ht="33" customHeight="1" x14ac:dyDescent="0.2">
      <c r="A15" s="755">
        <v>8</v>
      </c>
      <c r="B15" s="744" t="s">
        <v>622</v>
      </c>
      <c r="C15" s="109" t="s">
        <v>504</v>
      </c>
      <c r="D15" s="753">
        <v>1</v>
      </c>
      <c r="E15" s="753" t="e">
        <f>#REF!-23.1*10^5</f>
        <v>#REF!</v>
      </c>
      <c r="F15" s="747" t="e">
        <f t="shared" si="0"/>
        <v>#REF!</v>
      </c>
    </row>
    <row r="16" spans="1:9" ht="30.75" customHeight="1" x14ac:dyDescent="0.2">
      <c r="A16" s="755">
        <v>9</v>
      </c>
      <c r="B16" s="744" t="e">
        <f>#REF!</f>
        <v>#REF!</v>
      </c>
      <c r="C16" s="109" t="s">
        <v>504</v>
      </c>
      <c r="D16" s="753">
        <v>1</v>
      </c>
      <c r="E16" s="753">
        <f>838.203021516354*10^5</f>
        <v>83820302.151635408</v>
      </c>
      <c r="F16" s="747">
        <f t="shared" si="0"/>
        <v>838.20302151635406</v>
      </c>
    </row>
    <row r="17" spans="1:6" ht="18" customHeight="1" x14ac:dyDescent="0.2">
      <c r="A17" s="755">
        <v>10</v>
      </c>
      <c r="B17" s="109" t="s">
        <v>621</v>
      </c>
      <c r="C17" s="747" t="s">
        <v>538</v>
      </c>
      <c r="D17" s="753">
        <v>550</v>
      </c>
      <c r="E17" s="753" t="e">
        <f>#REF!</f>
        <v>#REF!</v>
      </c>
      <c r="F17" s="747" t="e">
        <f t="shared" si="0"/>
        <v>#REF!</v>
      </c>
    </row>
    <row r="18" spans="1:6" ht="18.75" customHeight="1" x14ac:dyDescent="0.2">
      <c r="A18" s="755">
        <v>11</v>
      </c>
      <c r="B18" s="747" t="s">
        <v>619</v>
      </c>
      <c r="C18" s="747" t="s">
        <v>538</v>
      </c>
      <c r="D18" s="753">
        <v>550</v>
      </c>
      <c r="E18" s="753" t="e">
        <f>#REF!</f>
        <v>#REF!</v>
      </c>
      <c r="F18" s="747" t="e">
        <f t="shared" si="0"/>
        <v>#REF!</v>
      </c>
    </row>
    <row r="19" spans="1:6" ht="18.75" customHeight="1" x14ac:dyDescent="0.2">
      <c r="A19" s="755">
        <v>12</v>
      </c>
      <c r="B19" s="109" t="s">
        <v>623</v>
      </c>
      <c r="C19" s="747" t="s">
        <v>538</v>
      </c>
      <c r="D19" s="753">
        <v>90</v>
      </c>
      <c r="E19" s="753" t="e">
        <f>#REF!</f>
        <v>#REF!</v>
      </c>
      <c r="F19" s="747" t="e">
        <f>D19*E19/10^5</f>
        <v>#REF!</v>
      </c>
    </row>
    <row r="20" spans="1:6" ht="33.75" customHeight="1" x14ac:dyDescent="0.2">
      <c r="A20" s="755">
        <v>13</v>
      </c>
      <c r="B20" s="754" t="e">
        <f>#REF!</f>
        <v>#REF!</v>
      </c>
      <c r="C20" s="747" t="s">
        <v>504</v>
      </c>
      <c r="D20" s="753">
        <v>2</v>
      </c>
      <c r="E20" s="753" t="e">
        <f>#REF!</f>
        <v>#REF!</v>
      </c>
      <c r="F20" s="747" t="e">
        <f>D20*E20/10^5</f>
        <v>#REF!</v>
      </c>
    </row>
    <row r="21" spans="1:6" ht="18.75" customHeight="1" x14ac:dyDescent="0.2">
      <c r="A21" s="755">
        <v>14</v>
      </c>
      <c r="B21" s="747" t="e">
        <f>#REF!</f>
        <v>#REF!</v>
      </c>
      <c r="C21" s="747" t="s">
        <v>538</v>
      </c>
      <c r="D21" s="753" t="e">
        <f>#REF!</f>
        <v>#REF!</v>
      </c>
      <c r="E21" s="753" t="e">
        <f>#REF!</f>
        <v>#REF!</v>
      </c>
      <c r="F21" s="747" t="e">
        <f>D21*E21/10^5</f>
        <v>#REF!</v>
      </c>
    </row>
    <row r="22" spans="1:6" ht="18.75" customHeight="1" x14ac:dyDescent="0.2">
      <c r="A22" s="755">
        <v>15</v>
      </c>
      <c r="B22" s="109" t="s">
        <v>625</v>
      </c>
      <c r="C22" s="747"/>
      <c r="D22" s="753"/>
      <c r="E22" s="753"/>
      <c r="F22" s="109" t="e">
        <f>#REF!+#REF!+#REF!</f>
        <v>#REF!</v>
      </c>
    </row>
    <row r="23" spans="1:6" ht="18.75" customHeight="1" x14ac:dyDescent="0.2">
      <c r="A23" s="755">
        <v>16</v>
      </c>
      <c r="B23" s="109" t="s">
        <v>626</v>
      </c>
      <c r="C23" s="747"/>
      <c r="D23" s="753"/>
      <c r="E23" s="753"/>
      <c r="F23" s="109">
        <f>-132</f>
        <v>-132</v>
      </c>
    </row>
    <row r="24" spans="1:6" ht="18.75" customHeight="1" x14ac:dyDescent="0.2">
      <c r="A24" s="755">
        <v>17</v>
      </c>
      <c r="B24" s="642" t="e">
        <f>#REF!</f>
        <v>#REF!</v>
      </c>
      <c r="C24" s="747" t="s">
        <v>505</v>
      </c>
      <c r="D24" s="753">
        <v>1</v>
      </c>
      <c r="E24" s="753" t="e">
        <f>#REF!*10^5</f>
        <v>#REF!</v>
      </c>
      <c r="F24" s="109" t="e">
        <f>D24*E24/10^5</f>
        <v>#REF!</v>
      </c>
    </row>
    <row r="25" spans="1:6" ht="18.75" customHeight="1" x14ac:dyDescent="0.2">
      <c r="A25" s="755">
        <v>18</v>
      </c>
      <c r="B25" s="642" t="e">
        <f>#REF!</f>
        <v>#REF!</v>
      </c>
      <c r="C25" s="747" t="s">
        <v>505</v>
      </c>
      <c r="D25" s="753">
        <v>1</v>
      </c>
      <c r="E25" s="753" t="e">
        <f>#REF!</f>
        <v>#REF!</v>
      </c>
      <c r="F25" s="109" t="e">
        <f>D25*E25/10^5</f>
        <v>#REF!</v>
      </c>
    </row>
    <row r="26" spans="1:6" ht="18.75" customHeight="1" x14ac:dyDescent="0.2">
      <c r="A26" s="755">
        <v>19</v>
      </c>
      <c r="B26" s="642" t="e">
        <f>#REF!</f>
        <v>#REF!</v>
      </c>
      <c r="C26" s="747" t="s">
        <v>504</v>
      </c>
      <c r="D26" s="753">
        <v>1</v>
      </c>
      <c r="E26" s="753" t="e">
        <f>#REF!</f>
        <v>#REF!</v>
      </c>
      <c r="F26" s="109" t="e">
        <f>D26*E26/10^5</f>
        <v>#REF!</v>
      </c>
    </row>
    <row r="27" spans="1:6" ht="20.25" customHeight="1" x14ac:dyDescent="0.2">
      <c r="A27" s="755"/>
      <c r="B27" s="1405" t="s">
        <v>627</v>
      </c>
      <c r="C27" s="1406"/>
      <c r="D27" s="1406"/>
      <c r="E27" s="1407"/>
      <c r="F27" s="747" t="e">
        <f>SUM(F8:F26)</f>
        <v>#REF!</v>
      </c>
    </row>
    <row r="28" spans="1:6" x14ac:dyDescent="0.2">
      <c r="A28" s="755">
        <v>20</v>
      </c>
      <c r="B28" s="109" t="s">
        <v>194</v>
      </c>
      <c r="C28" s="747"/>
      <c r="D28" s="753"/>
      <c r="E28" s="752"/>
      <c r="F28" s="747">
        <f>'Civil scope change from R1'!G33</f>
        <v>1730.0705340151235</v>
      </c>
    </row>
    <row r="30" spans="1:6" ht="18" x14ac:dyDescent="0.2">
      <c r="A30" s="1409" t="s">
        <v>660</v>
      </c>
      <c r="B30" s="1410"/>
      <c r="C30" s="1410"/>
      <c r="D30" s="1410"/>
      <c r="E30" s="1411"/>
      <c r="F30" s="108" t="e">
        <f>(F27+F28)/100</f>
        <v>#REF!</v>
      </c>
    </row>
    <row r="33" spans="2:6" ht="30" x14ac:dyDescent="0.2">
      <c r="B33" s="751" t="s">
        <v>620</v>
      </c>
      <c r="F33" s="669">
        <f>(5369-2000)</f>
        <v>3369</v>
      </c>
    </row>
  </sheetData>
  <mergeCells count="4">
    <mergeCell ref="B27:E27"/>
    <mergeCell ref="C2:F2"/>
    <mergeCell ref="A30:E30"/>
    <mergeCell ref="A4:B4"/>
  </mergeCells>
  <pageMargins left="0.7" right="0.7" top="0.75" bottom="0.75" header="0.3" footer="0.3"/>
  <pageSetup paperSize="9" scale="96"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3"/>
  <sheetViews>
    <sheetView zoomScale="88" zoomScaleNormal="88" workbookViewId="0">
      <selection activeCell="K16" sqref="K16"/>
    </sheetView>
  </sheetViews>
  <sheetFormatPr defaultRowHeight="15" x14ac:dyDescent="0.2"/>
  <cols>
    <col min="1" max="1" width="3.6640625" customWidth="1"/>
    <col min="2" max="2" width="20.6640625" style="669" customWidth="1"/>
    <col min="5" max="5" width="8.88671875" style="11"/>
    <col min="6" max="6" width="8.88671875" style="9"/>
    <col min="7" max="7" width="8.88671875" style="640"/>
  </cols>
  <sheetData>
    <row r="1" spans="1:7" ht="31.5" x14ac:dyDescent="0.2">
      <c r="A1" s="1413" t="s">
        <v>618</v>
      </c>
      <c r="B1" s="1413"/>
      <c r="C1" s="671"/>
      <c r="D1" s="674"/>
      <c r="E1" s="750" t="s">
        <v>499</v>
      </c>
      <c r="F1" s="674" t="s">
        <v>609</v>
      </c>
      <c r="G1" s="770" t="s">
        <v>661</v>
      </c>
    </row>
    <row r="2" spans="1:7" ht="15.75" x14ac:dyDescent="0.2">
      <c r="A2" s="674"/>
      <c r="B2" s="674"/>
      <c r="C2" s="671"/>
      <c r="D2" s="674"/>
      <c r="E2" s="750"/>
      <c r="F2" s="674"/>
      <c r="G2" s="745"/>
    </row>
    <row r="3" spans="1:7" ht="15.75" x14ac:dyDescent="0.25">
      <c r="A3" s="748">
        <v>1</v>
      </c>
      <c r="B3" s="670" t="s">
        <v>326</v>
      </c>
      <c r="C3" s="675"/>
      <c r="D3" s="674" t="s">
        <v>425</v>
      </c>
      <c r="E3" s="672">
        <v>13331</v>
      </c>
      <c r="F3" s="758">
        <v>473.30434782608694</v>
      </c>
      <c r="G3" s="745">
        <f>E3*F3/10^5</f>
        <v>63.096202608695656</v>
      </c>
    </row>
    <row r="4" spans="1:7" ht="15.75" x14ac:dyDescent="0.25">
      <c r="A4" s="748">
        <v>2</v>
      </c>
      <c r="B4" s="670" t="s">
        <v>535</v>
      </c>
      <c r="C4" s="675"/>
      <c r="D4" s="674" t="s">
        <v>425</v>
      </c>
      <c r="E4" s="672">
        <v>349</v>
      </c>
      <c r="F4" s="758">
        <v>7253.1739130434789</v>
      </c>
      <c r="G4" s="745">
        <f t="shared" ref="G4:G30" si="0">E4*F4/10^5</f>
        <v>25.313576956521743</v>
      </c>
    </row>
    <row r="5" spans="1:7" ht="15.75" x14ac:dyDescent="0.25">
      <c r="A5" s="748">
        <v>3</v>
      </c>
      <c r="B5" s="670" t="s">
        <v>537</v>
      </c>
      <c r="C5" s="675"/>
      <c r="D5" s="674" t="s">
        <v>425</v>
      </c>
      <c r="E5" s="672">
        <f>5209+410</f>
        <v>5619</v>
      </c>
      <c r="F5" s="758">
        <v>11410.347826086958</v>
      </c>
      <c r="G5" s="745">
        <f t="shared" si="0"/>
        <v>641.14744434782619</v>
      </c>
    </row>
    <row r="6" spans="1:7" ht="15.75" x14ac:dyDescent="0.2">
      <c r="A6" s="748">
        <v>4</v>
      </c>
      <c r="B6" s="670" t="s">
        <v>544</v>
      </c>
      <c r="C6" s="675"/>
      <c r="D6" s="674" t="s">
        <v>425</v>
      </c>
      <c r="E6" s="672">
        <v>5</v>
      </c>
      <c r="F6" s="759">
        <v>50000</v>
      </c>
      <c r="G6" s="745">
        <f t="shared" si="0"/>
        <v>2.5</v>
      </c>
    </row>
    <row r="7" spans="1:7" ht="15.75" x14ac:dyDescent="0.2">
      <c r="A7" s="748">
        <v>5</v>
      </c>
      <c r="B7" s="670" t="s">
        <v>617</v>
      </c>
      <c r="C7" s="675"/>
      <c r="D7" s="674" t="s">
        <v>425</v>
      </c>
      <c r="E7" s="672">
        <v>60</v>
      </c>
      <c r="F7" s="759">
        <v>13623.021739130436</v>
      </c>
      <c r="G7" s="745">
        <f t="shared" si="0"/>
        <v>8.1738130434782619</v>
      </c>
    </row>
    <row r="8" spans="1:7" ht="15.75" x14ac:dyDescent="0.25">
      <c r="A8" s="748">
        <v>6</v>
      </c>
      <c r="B8" s="670" t="s">
        <v>485</v>
      </c>
      <c r="C8" s="675"/>
      <c r="D8" s="674" t="s">
        <v>538</v>
      </c>
      <c r="E8" s="672">
        <v>767</v>
      </c>
      <c r="F8" s="760">
        <v>77956.521739130447</v>
      </c>
      <c r="G8" s="745">
        <f t="shared" si="0"/>
        <v>597.92652173913052</v>
      </c>
    </row>
    <row r="9" spans="1:7" ht="15.75" x14ac:dyDescent="0.2">
      <c r="A9" s="748">
        <v>8</v>
      </c>
      <c r="B9" s="670" t="s">
        <v>540</v>
      </c>
      <c r="C9" s="675"/>
      <c r="D9" s="674" t="s">
        <v>538</v>
      </c>
      <c r="E9" s="672">
        <v>8</v>
      </c>
      <c r="F9" s="759">
        <v>100000</v>
      </c>
      <c r="G9" s="745">
        <f t="shared" si="0"/>
        <v>8</v>
      </c>
    </row>
    <row r="10" spans="1:7" ht="15.75" x14ac:dyDescent="0.2">
      <c r="A10" s="748">
        <v>10</v>
      </c>
      <c r="B10" s="670" t="s">
        <v>545</v>
      </c>
      <c r="C10" s="675"/>
      <c r="D10" s="674" t="s">
        <v>503</v>
      </c>
      <c r="E10" s="672">
        <v>720</v>
      </c>
      <c r="F10" s="673">
        <v>473.91304347826093</v>
      </c>
      <c r="G10" s="745">
        <f t="shared" si="0"/>
        <v>3.4121739130434792</v>
      </c>
    </row>
    <row r="11" spans="1:7" ht="15.75" x14ac:dyDescent="0.2">
      <c r="A11" s="748">
        <v>14</v>
      </c>
      <c r="B11" s="670" t="s">
        <v>546</v>
      </c>
      <c r="C11" s="675"/>
      <c r="D11" s="674" t="s">
        <v>425</v>
      </c>
      <c r="E11" s="672">
        <v>569</v>
      </c>
      <c r="F11" s="673">
        <v>7317.086956521739</v>
      </c>
      <c r="G11" s="745">
        <f t="shared" si="0"/>
        <v>41.634224782608698</v>
      </c>
    </row>
    <row r="12" spans="1:7" ht="15.75" x14ac:dyDescent="0.2">
      <c r="A12" s="748">
        <v>15</v>
      </c>
      <c r="B12" s="670" t="s">
        <v>547</v>
      </c>
      <c r="C12" s="675"/>
      <c r="D12" s="674" t="s">
        <v>503</v>
      </c>
      <c r="E12" s="672">
        <v>1824</v>
      </c>
      <c r="F12" s="673">
        <v>349.69565217391306</v>
      </c>
      <c r="G12" s="745">
        <f t="shared" si="0"/>
        <v>6.3784486956521738</v>
      </c>
    </row>
    <row r="13" spans="1:7" ht="15.75" x14ac:dyDescent="0.2">
      <c r="A13" s="748">
        <v>16</v>
      </c>
      <c r="B13" s="670" t="s">
        <v>548</v>
      </c>
      <c r="C13" s="675"/>
      <c r="D13" s="674" t="s">
        <v>503</v>
      </c>
      <c r="E13" s="672">
        <v>1604</v>
      </c>
      <c r="F13" s="673">
        <v>295.39130434782612</v>
      </c>
      <c r="G13" s="745">
        <f t="shared" si="0"/>
        <v>4.7380765217391305</v>
      </c>
    </row>
    <row r="14" spans="1:7" ht="15.75" x14ac:dyDescent="0.2">
      <c r="A14" s="748">
        <v>17</v>
      </c>
      <c r="B14" s="670" t="s">
        <v>549</v>
      </c>
      <c r="C14" s="675"/>
      <c r="D14" s="674" t="s">
        <v>503</v>
      </c>
      <c r="E14" s="672">
        <v>2772</v>
      </c>
      <c r="F14" s="673">
        <v>253.05</v>
      </c>
      <c r="G14" s="745">
        <f t="shared" si="0"/>
        <v>7.0145460000000002</v>
      </c>
    </row>
    <row r="15" spans="1:7" ht="15.75" x14ac:dyDescent="0.2">
      <c r="A15" s="748">
        <v>18</v>
      </c>
      <c r="B15" s="670" t="s">
        <v>550</v>
      </c>
      <c r="C15" s="675"/>
      <c r="D15" s="674" t="s">
        <v>503</v>
      </c>
      <c r="E15" s="672">
        <v>1824</v>
      </c>
      <c r="F15" s="673">
        <v>213.04347826086959</v>
      </c>
      <c r="G15" s="745">
        <f t="shared" si="0"/>
        <v>3.8859130434782609</v>
      </c>
    </row>
    <row r="16" spans="1:7" ht="15.75" x14ac:dyDescent="0.2">
      <c r="A16" s="748">
        <v>19</v>
      </c>
      <c r="B16" s="670" t="s">
        <v>551</v>
      </c>
      <c r="C16" s="675"/>
      <c r="D16" s="674" t="s">
        <v>503</v>
      </c>
      <c r="E16" s="672">
        <v>4320</v>
      </c>
      <c r="F16" s="673">
        <v>28.217391304347831</v>
      </c>
      <c r="G16" s="745">
        <f t="shared" si="0"/>
        <v>1.2189913043478264</v>
      </c>
    </row>
    <row r="17" spans="1:7" ht="15.75" x14ac:dyDescent="0.2">
      <c r="A17" s="748">
        <v>20</v>
      </c>
      <c r="B17" s="670" t="s">
        <v>502</v>
      </c>
      <c r="C17" s="675"/>
      <c r="D17" s="674" t="s">
        <v>425</v>
      </c>
      <c r="E17" s="672">
        <v>180</v>
      </c>
      <c r="F17" s="673">
        <v>1562.8695652173915</v>
      </c>
      <c r="G17" s="745">
        <f t="shared" si="0"/>
        <v>2.8131652173913051</v>
      </c>
    </row>
    <row r="18" spans="1:7" ht="15.75" x14ac:dyDescent="0.2">
      <c r="A18" s="748">
        <v>21</v>
      </c>
      <c r="B18" s="670" t="s">
        <v>552</v>
      </c>
      <c r="C18" s="675"/>
      <c r="D18" s="674" t="s">
        <v>503</v>
      </c>
      <c r="E18" s="672">
        <v>696</v>
      </c>
      <c r="F18" s="673">
        <v>490.00000000000006</v>
      </c>
      <c r="G18" s="745">
        <f t="shared" si="0"/>
        <v>3.4104000000000005</v>
      </c>
    </row>
    <row r="19" spans="1:7" ht="15.75" x14ac:dyDescent="0.2">
      <c r="A19" s="748">
        <v>22</v>
      </c>
      <c r="B19" s="670" t="s">
        <v>553</v>
      </c>
      <c r="C19" s="675"/>
      <c r="D19" s="674" t="s">
        <v>503</v>
      </c>
      <c r="E19" s="672">
        <v>19</v>
      </c>
      <c r="F19" s="673">
        <v>7234.826086956522</v>
      </c>
      <c r="G19" s="745">
        <f t="shared" si="0"/>
        <v>1.3746169565217392</v>
      </c>
    </row>
    <row r="20" spans="1:7" ht="15.75" x14ac:dyDescent="0.2">
      <c r="A20" s="748">
        <v>23</v>
      </c>
      <c r="B20" s="670" t="s">
        <v>554</v>
      </c>
      <c r="C20" s="675"/>
      <c r="D20" s="674" t="s">
        <v>503</v>
      </c>
      <c r="E20" s="672">
        <v>31</v>
      </c>
      <c r="F20" s="673">
        <v>7234.826086956522</v>
      </c>
      <c r="G20" s="745">
        <f t="shared" si="0"/>
        <v>2.2427960869565218</v>
      </c>
    </row>
    <row r="21" spans="1:7" ht="15.75" x14ac:dyDescent="0.2">
      <c r="A21" s="748">
        <v>25</v>
      </c>
      <c r="B21" s="670" t="s">
        <v>555</v>
      </c>
      <c r="C21" s="675"/>
      <c r="D21" s="674" t="s">
        <v>503</v>
      </c>
      <c r="E21" s="672">
        <v>24</v>
      </c>
      <c r="F21" s="673">
        <v>4701.869565217391</v>
      </c>
      <c r="G21" s="745">
        <f t="shared" si="0"/>
        <v>1.1284486956521738</v>
      </c>
    </row>
    <row r="22" spans="1:7" ht="15.75" x14ac:dyDescent="0.2">
      <c r="A22" s="748">
        <v>27</v>
      </c>
      <c r="B22" s="670" t="s">
        <v>541</v>
      </c>
      <c r="C22" s="675"/>
      <c r="D22" s="674" t="s">
        <v>542</v>
      </c>
      <c r="E22" s="672">
        <v>2176</v>
      </c>
      <c r="F22" s="673">
        <v>2546.1739130434785</v>
      </c>
      <c r="G22" s="745">
        <f t="shared" si="0"/>
        <v>55.404744347826096</v>
      </c>
    </row>
    <row r="23" spans="1:7" ht="15.75" x14ac:dyDescent="0.2">
      <c r="A23" s="748">
        <v>32</v>
      </c>
      <c r="B23" s="670" t="s">
        <v>543</v>
      </c>
      <c r="C23" s="675"/>
      <c r="D23" s="674" t="s">
        <v>542</v>
      </c>
      <c r="E23" s="672">
        <v>4056</v>
      </c>
      <c r="F23" s="673">
        <v>3413.5349716446131</v>
      </c>
      <c r="G23" s="745">
        <f t="shared" si="0"/>
        <v>138.45297844990549</v>
      </c>
    </row>
    <row r="24" spans="1:7" ht="15.75" x14ac:dyDescent="0.2">
      <c r="A24" s="748">
        <v>33</v>
      </c>
      <c r="B24" s="670" t="s">
        <v>556</v>
      </c>
      <c r="C24" s="675"/>
      <c r="D24" s="674" t="s">
        <v>503</v>
      </c>
      <c r="E24" s="672">
        <v>32</v>
      </c>
      <c r="F24" s="673">
        <v>322.47826086956525</v>
      </c>
      <c r="G24" s="745">
        <f t="shared" si="0"/>
        <v>0.10319304347826087</v>
      </c>
    </row>
    <row r="25" spans="1:7" ht="15.75" x14ac:dyDescent="0.2">
      <c r="A25" s="748">
        <v>34</v>
      </c>
      <c r="B25" s="670" t="s">
        <v>557</v>
      </c>
      <c r="C25" s="675"/>
      <c r="D25" s="674" t="s">
        <v>503</v>
      </c>
      <c r="E25" s="672">
        <v>70</v>
      </c>
      <c r="F25" s="673">
        <v>592.73913043478262</v>
      </c>
      <c r="G25" s="745">
        <f t="shared" si="0"/>
        <v>0.41491739130434785</v>
      </c>
    </row>
    <row r="26" spans="1:7" ht="15.75" x14ac:dyDescent="0.2">
      <c r="A26" s="748">
        <v>35</v>
      </c>
      <c r="B26" s="670" t="s">
        <v>558</v>
      </c>
      <c r="C26" s="675"/>
      <c r="D26" s="674" t="s">
        <v>503</v>
      </c>
      <c r="E26" s="672">
        <v>684</v>
      </c>
      <c r="F26" s="673">
        <v>1582.6521739130435</v>
      </c>
      <c r="G26" s="745">
        <f t="shared" si="0"/>
        <v>10.825340869565217</v>
      </c>
    </row>
    <row r="27" spans="1:7" ht="30" x14ac:dyDescent="0.2">
      <c r="A27" s="748">
        <v>52</v>
      </c>
      <c r="B27" s="744" t="s">
        <v>559</v>
      </c>
      <c r="C27" s="676"/>
      <c r="D27" s="674" t="s">
        <v>503</v>
      </c>
      <c r="E27" s="672">
        <v>20</v>
      </c>
      <c r="F27" s="673">
        <v>6000</v>
      </c>
      <c r="G27" s="745">
        <f t="shared" si="0"/>
        <v>1.2</v>
      </c>
    </row>
    <row r="28" spans="1:7" ht="30" x14ac:dyDescent="0.2">
      <c r="A28" s="748">
        <v>53</v>
      </c>
      <c r="B28" s="744" t="s">
        <v>560</v>
      </c>
      <c r="C28" s="676"/>
      <c r="D28" s="674" t="s">
        <v>561</v>
      </c>
      <c r="E28" s="672">
        <v>1</v>
      </c>
      <c r="F28" s="761">
        <v>800000</v>
      </c>
      <c r="G28" s="745">
        <f t="shared" si="0"/>
        <v>8</v>
      </c>
    </row>
    <row r="29" spans="1:7" ht="15.75" x14ac:dyDescent="0.2">
      <c r="A29" s="748">
        <v>54</v>
      </c>
      <c r="B29" s="744" t="s">
        <v>562</v>
      </c>
      <c r="C29" s="676"/>
      <c r="D29" s="674" t="s">
        <v>503</v>
      </c>
      <c r="E29" s="672">
        <v>684</v>
      </c>
      <c r="F29" s="673">
        <v>1500</v>
      </c>
      <c r="G29" s="745">
        <f t="shared" si="0"/>
        <v>10.26</v>
      </c>
    </row>
    <row r="30" spans="1:7" ht="15.75" x14ac:dyDescent="0.2">
      <c r="A30" s="748">
        <v>55</v>
      </c>
      <c r="B30" s="744" t="s">
        <v>563</v>
      </c>
      <c r="C30" s="676"/>
      <c r="D30" s="674" t="s">
        <v>538</v>
      </c>
      <c r="E30" s="672">
        <v>13</v>
      </c>
      <c r="F30" s="673">
        <v>400000</v>
      </c>
      <c r="G30" s="745">
        <f t="shared" si="0"/>
        <v>52</v>
      </c>
    </row>
    <row r="31" spans="1:7" ht="15.75" x14ac:dyDescent="0.2">
      <c r="A31" s="748">
        <v>29</v>
      </c>
      <c r="B31" s="109" t="s">
        <v>612</v>
      </c>
      <c r="C31" s="596"/>
      <c r="D31" s="674" t="s">
        <v>542</v>
      </c>
      <c r="E31" s="753">
        <v>80</v>
      </c>
      <c r="F31" s="762">
        <v>30000</v>
      </c>
      <c r="G31" s="641">
        <f t="shared" ref="G31:G32" si="1">E31*F31/10^5</f>
        <v>24</v>
      </c>
    </row>
    <row r="32" spans="1:7" ht="15.75" x14ac:dyDescent="0.2">
      <c r="A32" s="748">
        <v>30</v>
      </c>
      <c r="B32" s="109" t="s">
        <v>613</v>
      </c>
      <c r="C32" s="596"/>
      <c r="D32" s="674" t="s">
        <v>542</v>
      </c>
      <c r="E32" s="753">
        <v>80</v>
      </c>
      <c r="F32" s="762">
        <v>5000</v>
      </c>
      <c r="G32" s="641">
        <f t="shared" si="1"/>
        <v>4</v>
      </c>
    </row>
    <row r="33" spans="6:7" ht="15.75" x14ac:dyDescent="0.2">
      <c r="F33" s="757" t="s">
        <v>4</v>
      </c>
      <c r="G33" s="757">
        <f>SUM(G3:G32)</f>
        <v>1730.0705340151235</v>
      </c>
    </row>
  </sheetData>
  <mergeCells count="1">
    <mergeCell ref="A1:B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35"/>
  <sheetViews>
    <sheetView showZeros="0" tabSelected="1" zoomScale="80" zoomScaleNormal="80" workbookViewId="0">
      <selection activeCell="E16" sqref="E16"/>
    </sheetView>
  </sheetViews>
  <sheetFormatPr defaultRowHeight="17.25" x14ac:dyDescent="0.3"/>
  <cols>
    <col min="1" max="1" width="5.21875" style="1239" bestFit="1" customWidth="1"/>
    <col min="2" max="2" width="45.88671875" style="1239" customWidth="1"/>
    <col min="3" max="3" width="11.88671875" style="1239" customWidth="1"/>
    <col min="4" max="4" width="13" style="1239" customWidth="1"/>
    <col min="5" max="5" width="15.44140625" style="1239" customWidth="1"/>
    <col min="6" max="6" width="15" style="1239" customWidth="1"/>
    <col min="7" max="7" width="14" style="1239" customWidth="1"/>
    <col min="8" max="255" width="8.88671875" style="1239"/>
    <col min="256" max="256" width="5.21875" style="1239" bestFit="1" customWidth="1"/>
    <col min="257" max="257" width="31.33203125" style="1239" bestFit="1" customWidth="1"/>
    <col min="258" max="258" width="10.21875" style="1239" customWidth="1"/>
    <col min="259" max="259" width="17.77734375" style="1239" customWidth="1"/>
    <col min="260" max="260" width="13.77734375" style="1239" customWidth="1"/>
    <col min="261" max="262" width="12" style="1239" bestFit="1" customWidth="1"/>
    <col min="263" max="511" width="8.88671875" style="1239"/>
    <col min="512" max="512" width="5.21875" style="1239" bestFit="1" customWidth="1"/>
    <col min="513" max="513" width="31.33203125" style="1239" bestFit="1" customWidth="1"/>
    <col min="514" max="514" width="10.21875" style="1239" customWidth="1"/>
    <col min="515" max="515" width="17.77734375" style="1239" customWidth="1"/>
    <col min="516" max="516" width="13.77734375" style="1239" customWidth="1"/>
    <col min="517" max="518" width="12" style="1239" bestFit="1" customWidth="1"/>
    <col min="519" max="767" width="8.88671875" style="1239"/>
    <col min="768" max="768" width="5.21875" style="1239" bestFit="1" customWidth="1"/>
    <col min="769" max="769" width="31.33203125" style="1239" bestFit="1" customWidth="1"/>
    <col min="770" max="770" width="10.21875" style="1239" customWidth="1"/>
    <col min="771" max="771" width="17.77734375" style="1239" customWidth="1"/>
    <col min="772" max="772" width="13.77734375" style="1239" customWidth="1"/>
    <col min="773" max="774" width="12" style="1239" bestFit="1" customWidth="1"/>
    <col min="775" max="1023" width="8.88671875" style="1239"/>
    <col min="1024" max="1024" width="5.21875" style="1239" bestFit="1" customWidth="1"/>
    <col min="1025" max="1025" width="31.33203125" style="1239" bestFit="1" customWidth="1"/>
    <col min="1026" max="1026" width="10.21875" style="1239" customWidth="1"/>
    <col min="1027" max="1027" width="17.77734375" style="1239" customWidth="1"/>
    <col min="1028" max="1028" width="13.77734375" style="1239" customWidth="1"/>
    <col min="1029" max="1030" width="12" style="1239" bestFit="1" customWidth="1"/>
    <col min="1031" max="1279" width="8.88671875" style="1239"/>
    <col min="1280" max="1280" width="5.21875" style="1239" bestFit="1" customWidth="1"/>
    <col min="1281" max="1281" width="31.33203125" style="1239" bestFit="1" customWidth="1"/>
    <col min="1282" max="1282" width="10.21875" style="1239" customWidth="1"/>
    <col min="1283" max="1283" width="17.77734375" style="1239" customWidth="1"/>
    <col min="1284" max="1284" width="13.77734375" style="1239" customWidth="1"/>
    <col min="1285" max="1286" width="12" style="1239" bestFit="1" customWidth="1"/>
    <col min="1287" max="1535" width="8.88671875" style="1239"/>
    <col min="1536" max="1536" width="5.21875" style="1239" bestFit="1" customWidth="1"/>
    <col min="1537" max="1537" width="31.33203125" style="1239" bestFit="1" customWidth="1"/>
    <col min="1538" max="1538" width="10.21875" style="1239" customWidth="1"/>
    <col min="1539" max="1539" width="17.77734375" style="1239" customWidth="1"/>
    <col min="1540" max="1540" width="13.77734375" style="1239" customWidth="1"/>
    <col min="1541" max="1542" width="12" style="1239" bestFit="1" customWidth="1"/>
    <col min="1543" max="1791" width="8.88671875" style="1239"/>
    <col min="1792" max="1792" width="5.21875" style="1239" bestFit="1" customWidth="1"/>
    <col min="1793" max="1793" width="31.33203125" style="1239" bestFit="1" customWidth="1"/>
    <col min="1794" max="1794" width="10.21875" style="1239" customWidth="1"/>
    <col min="1795" max="1795" width="17.77734375" style="1239" customWidth="1"/>
    <col min="1796" max="1796" width="13.77734375" style="1239" customWidth="1"/>
    <col min="1797" max="1798" width="12" style="1239" bestFit="1" customWidth="1"/>
    <col min="1799" max="2047" width="8.88671875" style="1239"/>
    <col min="2048" max="2048" width="5.21875" style="1239" bestFit="1" customWidth="1"/>
    <col min="2049" max="2049" width="31.33203125" style="1239" bestFit="1" customWidth="1"/>
    <col min="2050" max="2050" width="10.21875" style="1239" customWidth="1"/>
    <col min="2051" max="2051" width="17.77734375" style="1239" customWidth="1"/>
    <col min="2052" max="2052" width="13.77734375" style="1239" customWidth="1"/>
    <col min="2053" max="2054" width="12" style="1239" bestFit="1" customWidth="1"/>
    <col min="2055" max="2303" width="8.88671875" style="1239"/>
    <col min="2304" max="2304" width="5.21875" style="1239" bestFit="1" customWidth="1"/>
    <col min="2305" max="2305" width="31.33203125" style="1239" bestFit="1" customWidth="1"/>
    <col min="2306" max="2306" width="10.21875" style="1239" customWidth="1"/>
    <col min="2307" max="2307" width="17.77734375" style="1239" customWidth="1"/>
    <col min="2308" max="2308" width="13.77734375" style="1239" customWidth="1"/>
    <col min="2309" max="2310" width="12" style="1239" bestFit="1" customWidth="1"/>
    <col min="2311" max="2559" width="8.88671875" style="1239"/>
    <col min="2560" max="2560" width="5.21875" style="1239" bestFit="1" customWidth="1"/>
    <col min="2561" max="2561" width="31.33203125" style="1239" bestFit="1" customWidth="1"/>
    <col min="2562" max="2562" width="10.21875" style="1239" customWidth="1"/>
    <col min="2563" max="2563" width="17.77734375" style="1239" customWidth="1"/>
    <col min="2564" max="2564" width="13.77734375" style="1239" customWidth="1"/>
    <col min="2565" max="2566" width="12" style="1239" bestFit="1" customWidth="1"/>
    <col min="2567" max="2815" width="8.88671875" style="1239"/>
    <col min="2816" max="2816" width="5.21875" style="1239" bestFit="1" customWidth="1"/>
    <col min="2817" max="2817" width="31.33203125" style="1239" bestFit="1" customWidth="1"/>
    <col min="2818" max="2818" width="10.21875" style="1239" customWidth="1"/>
    <col min="2819" max="2819" width="17.77734375" style="1239" customWidth="1"/>
    <col min="2820" max="2820" width="13.77734375" style="1239" customWidth="1"/>
    <col min="2821" max="2822" width="12" style="1239" bestFit="1" customWidth="1"/>
    <col min="2823" max="3071" width="8.88671875" style="1239"/>
    <col min="3072" max="3072" width="5.21875" style="1239" bestFit="1" customWidth="1"/>
    <col min="3073" max="3073" width="31.33203125" style="1239" bestFit="1" customWidth="1"/>
    <col min="3074" max="3074" width="10.21875" style="1239" customWidth="1"/>
    <col min="3075" max="3075" width="17.77734375" style="1239" customWidth="1"/>
    <col min="3076" max="3076" width="13.77734375" style="1239" customWidth="1"/>
    <col min="3077" max="3078" width="12" style="1239" bestFit="1" customWidth="1"/>
    <col min="3079" max="3327" width="8.88671875" style="1239"/>
    <col min="3328" max="3328" width="5.21875" style="1239" bestFit="1" customWidth="1"/>
    <col min="3329" max="3329" width="31.33203125" style="1239" bestFit="1" customWidth="1"/>
    <col min="3330" max="3330" width="10.21875" style="1239" customWidth="1"/>
    <col min="3331" max="3331" width="17.77734375" style="1239" customWidth="1"/>
    <col min="3332" max="3332" width="13.77734375" style="1239" customWidth="1"/>
    <col min="3333" max="3334" width="12" style="1239" bestFit="1" customWidth="1"/>
    <col min="3335" max="3583" width="8.88671875" style="1239"/>
    <col min="3584" max="3584" width="5.21875" style="1239" bestFit="1" customWidth="1"/>
    <col min="3585" max="3585" width="31.33203125" style="1239" bestFit="1" customWidth="1"/>
    <col min="3586" max="3586" width="10.21875" style="1239" customWidth="1"/>
    <col min="3587" max="3587" width="17.77734375" style="1239" customWidth="1"/>
    <col min="3588" max="3588" width="13.77734375" style="1239" customWidth="1"/>
    <col min="3589" max="3590" width="12" style="1239" bestFit="1" customWidth="1"/>
    <col min="3591" max="3839" width="8.88671875" style="1239"/>
    <col min="3840" max="3840" width="5.21875" style="1239" bestFit="1" customWidth="1"/>
    <col min="3841" max="3841" width="31.33203125" style="1239" bestFit="1" customWidth="1"/>
    <col min="3842" max="3842" width="10.21875" style="1239" customWidth="1"/>
    <col min="3843" max="3843" width="17.77734375" style="1239" customWidth="1"/>
    <col min="3844" max="3844" width="13.77734375" style="1239" customWidth="1"/>
    <col min="3845" max="3846" width="12" style="1239" bestFit="1" customWidth="1"/>
    <col min="3847" max="4095" width="8.88671875" style="1239"/>
    <col min="4096" max="4096" width="5.21875" style="1239" bestFit="1" customWidth="1"/>
    <col min="4097" max="4097" width="31.33203125" style="1239" bestFit="1" customWidth="1"/>
    <col min="4098" max="4098" width="10.21875" style="1239" customWidth="1"/>
    <col min="4099" max="4099" width="17.77734375" style="1239" customWidth="1"/>
    <col min="4100" max="4100" width="13.77734375" style="1239" customWidth="1"/>
    <col min="4101" max="4102" width="12" style="1239" bestFit="1" customWidth="1"/>
    <col min="4103" max="4351" width="8.88671875" style="1239"/>
    <col min="4352" max="4352" width="5.21875" style="1239" bestFit="1" customWidth="1"/>
    <col min="4353" max="4353" width="31.33203125" style="1239" bestFit="1" customWidth="1"/>
    <col min="4354" max="4354" width="10.21875" style="1239" customWidth="1"/>
    <col min="4355" max="4355" width="17.77734375" style="1239" customWidth="1"/>
    <col min="4356" max="4356" width="13.77734375" style="1239" customWidth="1"/>
    <col min="4357" max="4358" width="12" style="1239" bestFit="1" customWidth="1"/>
    <col min="4359" max="4607" width="8.88671875" style="1239"/>
    <col min="4608" max="4608" width="5.21875" style="1239" bestFit="1" customWidth="1"/>
    <col min="4609" max="4609" width="31.33203125" style="1239" bestFit="1" customWidth="1"/>
    <col min="4610" max="4610" width="10.21875" style="1239" customWidth="1"/>
    <col min="4611" max="4611" width="17.77734375" style="1239" customWidth="1"/>
    <col min="4612" max="4612" width="13.77734375" style="1239" customWidth="1"/>
    <col min="4613" max="4614" width="12" style="1239" bestFit="1" customWidth="1"/>
    <col min="4615" max="4863" width="8.88671875" style="1239"/>
    <col min="4864" max="4864" width="5.21875" style="1239" bestFit="1" customWidth="1"/>
    <col min="4865" max="4865" width="31.33203125" style="1239" bestFit="1" customWidth="1"/>
    <col min="4866" max="4866" width="10.21875" style="1239" customWidth="1"/>
    <col min="4867" max="4867" width="17.77734375" style="1239" customWidth="1"/>
    <col min="4868" max="4868" width="13.77734375" style="1239" customWidth="1"/>
    <col min="4869" max="4870" width="12" style="1239" bestFit="1" customWidth="1"/>
    <col min="4871" max="5119" width="8.88671875" style="1239"/>
    <col min="5120" max="5120" width="5.21875" style="1239" bestFit="1" customWidth="1"/>
    <col min="5121" max="5121" width="31.33203125" style="1239" bestFit="1" customWidth="1"/>
    <col min="5122" max="5122" width="10.21875" style="1239" customWidth="1"/>
    <col min="5123" max="5123" width="17.77734375" style="1239" customWidth="1"/>
    <col min="5124" max="5124" width="13.77734375" style="1239" customWidth="1"/>
    <col min="5125" max="5126" width="12" style="1239" bestFit="1" customWidth="1"/>
    <col min="5127" max="5375" width="8.88671875" style="1239"/>
    <col min="5376" max="5376" width="5.21875" style="1239" bestFit="1" customWidth="1"/>
    <col min="5377" max="5377" width="31.33203125" style="1239" bestFit="1" customWidth="1"/>
    <col min="5378" max="5378" width="10.21875" style="1239" customWidth="1"/>
    <col min="5379" max="5379" width="17.77734375" style="1239" customWidth="1"/>
    <col min="5380" max="5380" width="13.77734375" style="1239" customWidth="1"/>
    <col min="5381" max="5382" width="12" style="1239" bestFit="1" customWidth="1"/>
    <col min="5383" max="5631" width="8.88671875" style="1239"/>
    <col min="5632" max="5632" width="5.21875" style="1239" bestFit="1" customWidth="1"/>
    <col min="5633" max="5633" width="31.33203125" style="1239" bestFit="1" customWidth="1"/>
    <col min="5634" max="5634" width="10.21875" style="1239" customWidth="1"/>
    <col min="5635" max="5635" width="17.77734375" style="1239" customWidth="1"/>
    <col min="5636" max="5636" width="13.77734375" style="1239" customWidth="1"/>
    <col min="5637" max="5638" width="12" style="1239" bestFit="1" customWidth="1"/>
    <col min="5639" max="5887" width="8.88671875" style="1239"/>
    <col min="5888" max="5888" width="5.21875" style="1239" bestFit="1" customWidth="1"/>
    <col min="5889" max="5889" width="31.33203125" style="1239" bestFit="1" customWidth="1"/>
    <col min="5890" max="5890" width="10.21875" style="1239" customWidth="1"/>
    <col min="5891" max="5891" width="17.77734375" style="1239" customWidth="1"/>
    <col min="5892" max="5892" width="13.77734375" style="1239" customWidth="1"/>
    <col min="5893" max="5894" width="12" style="1239" bestFit="1" customWidth="1"/>
    <col min="5895" max="6143" width="8.88671875" style="1239"/>
    <col min="6144" max="6144" width="5.21875" style="1239" bestFit="1" customWidth="1"/>
    <col min="6145" max="6145" width="31.33203125" style="1239" bestFit="1" customWidth="1"/>
    <col min="6146" max="6146" width="10.21875" style="1239" customWidth="1"/>
    <col min="6147" max="6147" width="17.77734375" style="1239" customWidth="1"/>
    <col min="6148" max="6148" width="13.77734375" style="1239" customWidth="1"/>
    <col min="6149" max="6150" width="12" style="1239" bestFit="1" customWidth="1"/>
    <col min="6151" max="6399" width="8.88671875" style="1239"/>
    <col min="6400" max="6400" width="5.21875" style="1239" bestFit="1" customWidth="1"/>
    <col min="6401" max="6401" width="31.33203125" style="1239" bestFit="1" customWidth="1"/>
    <col min="6402" max="6402" width="10.21875" style="1239" customWidth="1"/>
    <col min="6403" max="6403" width="17.77734375" style="1239" customWidth="1"/>
    <col min="6404" max="6404" width="13.77734375" style="1239" customWidth="1"/>
    <col min="6405" max="6406" width="12" style="1239" bestFit="1" customWidth="1"/>
    <col min="6407" max="6655" width="8.88671875" style="1239"/>
    <col min="6656" max="6656" width="5.21875" style="1239" bestFit="1" customWidth="1"/>
    <col min="6657" max="6657" width="31.33203125" style="1239" bestFit="1" customWidth="1"/>
    <col min="6658" max="6658" width="10.21875" style="1239" customWidth="1"/>
    <col min="6659" max="6659" width="17.77734375" style="1239" customWidth="1"/>
    <col min="6660" max="6660" width="13.77734375" style="1239" customWidth="1"/>
    <col min="6661" max="6662" width="12" style="1239" bestFit="1" customWidth="1"/>
    <col min="6663" max="6911" width="8.88671875" style="1239"/>
    <col min="6912" max="6912" width="5.21875" style="1239" bestFit="1" customWidth="1"/>
    <col min="6913" max="6913" width="31.33203125" style="1239" bestFit="1" customWidth="1"/>
    <col min="6914" max="6914" width="10.21875" style="1239" customWidth="1"/>
    <col min="6915" max="6915" width="17.77734375" style="1239" customWidth="1"/>
    <col min="6916" max="6916" width="13.77734375" style="1239" customWidth="1"/>
    <col min="6917" max="6918" width="12" style="1239" bestFit="1" customWidth="1"/>
    <col min="6919" max="7167" width="8.88671875" style="1239"/>
    <col min="7168" max="7168" width="5.21875" style="1239" bestFit="1" customWidth="1"/>
    <col min="7169" max="7169" width="31.33203125" style="1239" bestFit="1" customWidth="1"/>
    <col min="7170" max="7170" width="10.21875" style="1239" customWidth="1"/>
    <col min="7171" max="7171" width="17.77734375" style="1239" customWidth="1"/>
    <col min="7172" max="7172" width="13.77734375" style="1239" customWidth="1"/>
    <col min="7173" max="7174" width="12" style="1239" bestFit="1" customWidth="1"/>
    <col min="7175" max="7423" width="8.88671875" style="1239"/>
    <col min="7424" max="7424" width="5.21875" style="1239" bestFit="1" customWidth="1"/>
    <col min="7425" max="7425" width="31.33203125" style="1239" bestFit="1" customWidth="1"/>
    <col min="7426" max="7426" width="10.21875" style="1239" customWidth="1"/>
    <col min="7427" max="7427" width="17.77734375" style="1239" customWidth="1"/>
    <col min="7428" max="7428" width="13.77734375" style="1239" customWidth="1"/>
    <col min="7429" max="7430" width="12" style="1239" bestFit="1" customWidth="1"/>
    <col min="7431" max="7679" width="8.88671875" style="1239"/>
    <col min="7680" max="7680" width="5.21875" style="1239" bestFit="1" customWidth="1"/>
    <col min="7681" max="7681" width="31.33203125" style="1239" bestFit="1" customWidth="1"/>
    <col min="7682" max="7682" width="10.21875" style="1239" customWidth="1"/>
    <col min="7683" max="7683" width="17.77734375" style="1239" customWidth="1"/>
    <col min="7684" max="7684" width="13.77734375" style="1239" customWidth="1"/>
    <col min="7685" max="7686" width="12" style="1239" bestFit="1" customWidth="1"/>
    <col min="7687" max="7935" width="8.88671875" style="1239"/>
    <col min="7936" max="7936" width="5.21875" style="1239" bestFit="1" customWidth="1"/>
    <col min="7937" max="7937" width="31.33203125" style="1239" bestFit="1" customWidth="1"/>
    <col min="7938" max="7938" width="10.21875" style="1239" customWidth="1"/>
    <col min="7939" max="7939" width="17.77734375" style="1239" customWidth="1"/>
    <col min="7940" max="7940" width="13.77734375" style="1239" customWidth="1"/>
    <col min="7941" max="7942" width="12" style="1239" bestFit="1" customWidth="1"/>
    <col min="7943" max="8191" width="8.88671875" style="1239"/>
    <col min="8192" max="8192" width="5.21875" style="1239" bestFit="1" customWidth="1"/>
    <col min="8193" max="8193" width="31.33203125" style="1239" bestFit="1" customWidth="1"/>
    <col min="8194" max="8194" width="10.21875" style="1239" customWidth="1"/>
    <col min="8195" max="8195" width="17.77734375" style="1239" customWidth="1"/>
    <col min="8196" max="8196" width="13.77734375" style="1239" customWidth="1"/>
    <col min="8197" max="8198" width="12" style="1239" bestFit="1" customWidth="1"/>
    <col min="8199" max="8447" width="8.88671875" style="1239"/>
    <col min="8448" max="8448" width="5.21875" style="1239" bestFit="1" customWidth="1"/>
    <col min="8449" max="8449" width="31.33203125" style="1239" bestFit="1" customWidth="1"/>
    <col min="8450" max="8450" width="10.21875" style="1239" customWidth="1"/>
    <col min="8451" max="8451" width="17.77734375" style="1239" customWidth="1"/>
    <col min="8452" max="8452" width="13.77734375" style="1239" customWidth="1"/>
    <col min="8453" max="8454" width="12" style="1239" bestFit="1" customWidth="1"/>
    <col min="8455" max="8703" width="8.88671875" style="1239"/>
    <col min="8704" max="8704" width="5.21875" style="1239" bestFit="1" customWidth="1"/>
    <col min="8705" max="8705" width="31.33203125" style="1239" bestFit="1" customWidth="1"/>
    <col min="8706" max="8706" width="10.21875" style="1239" customWidth="1"/>
    <col min="8707" max="8707" width="17.77734375" style="1239" customWidth="1"/>
    <col min="8708" max="8708" width="13.77734375" style="1239" customWidth="1"/>
    <col min="8709" max="8710" width="12" style="1239" bestFit="1" customWidth="1"/>
    <col min="8711" max="8959" width="8.88671875" style="1239"/>
    <col min="8960" max="8960" width="5.21875" style="1239" bestFit="1" customWidth="1"/>
    <col min="8961" max="8961" width="31.33203125" style="1239" bestFit="1" customWidth="1"/>
    <col min="8962" max="8962" width="10.21875" style="1239" customWidth="1"/>
    <col min="8963" max="8963" width="17.77734375" style="1239" customWidth="1"/>
    <col min="8964" max="8964" width="13.77734375" style="1239" customWidth="1"/>
    <col min="8965" max="8966" width="12" style="1239" bestFit="1" customWidth="1"/>
    <col min="8967" max="9215" width="8.88671875" style="1239"/>
    <col min="9216" max="9216" width="5.21875" style="1239" bestFit="1" customWidth="1"/>
    <col min="9217" max="9217" width="31.33203125" style="1239" bestFit="1" customWidth="1"/>
    <col min="9218" max="9218" width="10.21875" style="1239" customWidth="1"/>
    <col min="9219" max="9219" width="17.77734375" style="1239" customWidth="1"/>
    <col min="9220" max="9220" width="13.77734375" style="1239" customWidth="1"/>
    <col min="9221" max="9222" width="12" style="1239" bestFit="1" customWidth="1"/>
    <col min="9223" max="9471" width="8.88671875" style="1239"/>
    <col min="9472" max="9472" width="5.21875" style="1239" bestFit="1" customWidth="1"/>
    <col min="9473" max="9473" width="31.33203125" style="1239" bestFit="1" customWidth="1"/>
    <col min="9474" max="9474" width="10.21875" style="1239" customWidth="1"/>
    <col min="9475" max="9475" width="17.77734375" style="1239" customWidth="1"/>
    <col min="9476" max="9476" width="13.77734375" style="1239" customWidth="1"/>
    <col min="9477" max="9478" width="12" style="1239" bestFit="1" customWidth="1"/>
    <col min="9479" max="9727" width="8.88671875" style="1239"/>
    <col min="9728" max="9728" width="5.21875" style="1239" bestFit="1" customWidth="1"/>
    <col min="9729" max="9729" width="31.33203125" style="1239" bestFit="1" customWidth="1"/>
    <col min="9730" max="9730" width="10.21875" style="1239" customWidth="1"/>
    <col min="9731" max="9731" width="17.77734375" style="1239" customWidth="1"/>
    <col min="9732" max="9732" width="13.77734375" style="1239" customWidth="1"/>
    <col min="9733" max="9734" width="12" style="1239" bestFit="1" customWidth="1"/>
    <col min="9735" max="9983" width="8.88671875" style="1239"/>
    <col min="9984" max="9984" width="5.21875" style="1239" bestFit="1" customWidth="1"/>
    <col min="9985" max="9985" width="31.33203125" style="1239" bestFit="1" customWidth="1"/>
    <col min="9986" max="9986" width="10.21875" style="1239" customWidth="1"/>
    <col min="9987" max="9987" width="17.77734375" style="1239" customWidth="1"/>
    <col min="9988" max="9988" width="13.77734375" style="1239" customWidth="1"/>
    <col min="9989" max="9990" width="12" style="1239" bestFit="1" customWidth="1"/>
    <col min="9991" max="10239" width="8.88671875" style="1239"/>
    <col min="10240" max="10240" width="5.21875" style="1239" bestFit="1" customWidth="1"/>
    <col min="10241" max="10241" width="31.33203125" style="1239" bestFit="1" customWidth="1"/>
    <col min="10242" max="10242" width="10.21875" style="1239" customWidth="1"/>
    <col min="10243" max="10243" width="17.77734375" style="1239" customWidth="1"/>
    <col min="10244" max="10244" width="13.77734375" style="1239" customWidth="1"/>
    <col min="10245" max="10246" width="12" style="1239" bestFit="1" customWidth="1"/>
    <col min="10247" max="10495" width="8.88671875" style="1239"/>
    <col min="10496" max="10496" width="5.21875" style="1239" bestFit="1" customWidth="1"/>
    <col min="10497" max="10497" width="31.33203125" style="1239" bestFit="1" customWidth="1"/>
    <col min="10498" max="10498" width="10.21875" style="1239" customWidth="1"/>
    <col min="10499" max="10499" width="17.77734375" style="1239" customWidth="1"/>
    <col min="10500" max="10500" width="13.77734375" style="1239" customWidth="1"/>
    <col min="10501" max="10502" width="12" style="1239" bestFit="1" customWidth="1"/>
    <col min="10503" max="10751" width="8.88671875" style="1239"/>
    <col min="10752" max="10752" width="5.21875" style="1239" bestFit="1" customWidth="1"/>
    <col min="10753" max="10753" width="31.33203125" style="1239" bestFit="1" customWidth="1"/>
    <col min="10754" max="10754" width="10.21875" style="1239" customWidth="1"/>
    <col min="10755" max="10755" width="17.77734375" style="1239" customWidth="1"/>
    <col min="10756" max="10756" width="13.77734375" style="1239" customWidth="1"/>
    <col min="10757" max="10758" width="12" style="1239" bestFit="1" customWidth="1"/>
    <col min="10759" max="11007" width="8.88671875" style="1239"/>
    <col min="11008" max="11008" width="5.21875" style="1239" bestFit="1" customWidth="1"/>
    <col min="11009" max="11009" width="31.33203125" style="1239" bestFit="1" customWidth="1"/>
    <col min="11010" max="11010" width="10.21875" style="1239" customWidth="1"/>
    <col min="11011" max="11011" width="17.77734375" style="1239" customWidth="1"/>
    <col min="11012" max="11012" width="13.77734375" style="1239" customWidth="1"/>
    <col min="11013" max="11014" width="12" style="1239" bestFit="1" customWidth="1"/>
    <col min="11015" max="11263" width="8.88671875" style="1239"/>
    <col min="11264" max="11264" width="5.21875" style="1239" bestFit="1" customWidth="1"/>
    <col min="11265" max="11265" width="31.33203125" style="1239" bestFit="1" customWidth="1"/>
    <col min="11266" max="11266" width="10.21875" style="1239" customWidth="1"/>
    <col min="11267" max="11267" width="17.77734375" style="1239" customWidth="1"/>
    <col min="11268" max="11268" width="13.77734375" style="1239" customWidth="1"/>
    <col min="11269" max="11270" width="12" style="1239" bestFit="1" customWidth="1"/>
    <col min="11271" max="11519" width="8.88671875" style="1239"/>
    <col min="11520" max="11520" width="5.21875" style="1239" bestFit="1" customWidth="1"/>
    <col min="11521" max="11521" width="31.33203125" style="1239" bestFit="1" customWidth="1"/>
    <col min="11522" max="11522" width="10.21875" style="1239" customWidth="1"/>
    <col min="11523" max="11523" width="17.77734375" style="1239" customWidth="1"/>
    <col min="11524" max="11524" width="13.77734375" style="1239" customWidth="1"/>
    <col min="11525" max="11526" width="12" style="1239" bestFit="1" customWidth="1"/>
    <col min="11527" max="11775" width="8.88671875" style="1239"/>
    <col min="11776" max="11776" width="5.21875" style="1239" bestFit="1" customWidth="1"/>
    <col min="11777" max="11777" width="31.33203125" style="1239" bestFit="1" customWidth="1"/>
    <col min="11778" max="11778" width="10.21875" style="1239" customWidth="1"/>
    <col min="11779" max="11779" width="17.77734375" style="1239" customWidth="1"/>
    <col min="11780" max="11780" width="13.77734375" style="1239" customWidth="1"/>
    <col min="11781" max="11782" width="12" style="1239" bestFit="1" customWidth="1"/>
    <col min="11783" max="12031" width="8.88671875" style="1239"/>
    <col min="12032" max="12032" width="5.21875" style="1239" bestFit="1" customWidth="1"/>
    <col min="12033" max="12033" width="31.33203125" style="1239" bestFit="1" customWidth="1"/>
    <col min="12034" max="12034" width="10.21875" style="1239" customWidth="1"/>
    <col min="12035" max="12035" width="17.77734375" style="1239" customWidth="1"/>
    <col min="12036" max="12036" width="13.77734375" style="1239" customWidth="1"/>
    <col min="12037" max="12038" width="12" style="1239" bestFit="1" customWidth="1"/>
    <col min="12039" max="12287" width="8.88671875" style="1239"/>
    <col min="12288" max="12288" width="5.21875" style="1239" bestFit="1" customWidth="1"/>
    <col min="12289" max="12289" width="31.33203125" style="1239" bestFit="1" customWidth="1"/>
    <col min="12290" max="12290" width="10.21875" style="1239" customWidth="1"/>
    <col min="12291" max="12291" width="17.77734375" style="1239" customWidth="1"/>
    <col min="12292" max="12292" width="13.77734375" style="1239" customWidth="1"/>
    <col min="12293" max="12294" width="12" style="1239" bestFit="1" customWidth="1"/>
    <col min="12295" max="12543" width="8.88671875" style="1239"/>
    <col min="12544" max="12544" width="5.21875" style="1239" bestFit="1" customWidth="1"/>
    <col min="12545" max="12545" width="31.33203125" style="1239" bestFit="1" customWidth="1"/>
    <col min="12546" max="12546" width="10.21875" style="1239" customWidth="1"/>
    <col min="12547" max="12547" width="17.77734375" style="1239" customWidth="1"/>
    <col min="12548" max="12548" width="13.77734375" style="1239" customWidth="1"/>
    <col min="12549" max="12550" width="12" style="1239" bestFit="1" customWidth="1"/>
    <col min="12551" max="12799" width="8.88671875" style="1239"/>
    <col min="12800" max="12800" width="5.21875" style="1239" bestFit="1" customWidth="1"/>
    <col min="12801" max="12801" width="31.33203125" style="1239" bestFit="1" customWidth="1"/>
    <col min="12802" max="12802" width="10.21875" style="1239" customWidth="1"/>
    <col min="12803" max="12803" width="17.77734375" style="1239" customWidth="1"/>
    <col min="12804" max="12804" width="13.77734375" style="1239" customWidth="1"/>
    <col min="12805" max="12806" width="12" style="1239" bestFit="1" customWidth="1"/>
    <col min="12807" max="13055" width="8.88671875" style="1239"/>
    <col min="13056" max="13056" width="5.21875" style="1239" bestFit="1" customWidth="1"/>
    <col min="13057" max="13057" width="31.33203125" style="1239" bestFit="1" customWidth="1"/>
    <col min="13058" max="13058" width="10.21875" style="1239" customWidth="1"/>
    <col min="13059" max="13059" width="17.77734375" style="1239" customWidth="1"/>
    <col min="13060" max="13060" width="13.77734375" style="1239" customWidth="1"/>
    <col min="13061" max="13062" width="12" style="1239" bestFit="1" customWidth="1"/>
    <col min="13063" max="13311" width="8.88671875" style="1239"/>
    <col min="13312" max="13312" width="5.21875" style="1239" bestFit="1" customWidth="1"/>
    <col min="13313" max="13313" width="31.33203125" style="1239" bestFit="1" customWidth="1"/>
    <col min="13314" max="13314" width="10.21875" style="1239" customWidth="1"/>
    <col min="13315" max="13315" width="17.77734375" style="1239" customWidth="1"/>
    <col min="13316" max="13316" width="13.77734375" style="1239" customWidth="1"/>
    <col min="13317" max="13318" width="12" style="1239" bestFit="1" customWidth="1"/>
    <col min="13319" max="13567" width="8.88671875" style="1239"/>
    <col min="13568" max="13568" width="5.21875" style="1239" bestFit="1" customWidth="1"/>
    <col min="13569" max="13569" width="31.33203125" style="1239" bestFit="1" customWidth="1"/>
    <col min="13570" max="13570" width="10.21875" style="1239" customWidth="1"/>
    <col min="13571" max="13571" width="17.77734375" style="1239" customWidth="1"/>
    <col min="13572" max="13572" width="13.77734375" style="1239" customWidth="1"/>
    <col min="13573" max="13574" width="12" style="1239" bestFit="1" customWidth="1"/>
    <col min="13575" max="13823" width="8.88671875" style="1239"/>
    <col min="13824" max="13824" width="5.21875" style="1239" bestFit="1" customWidth="1"/>
    <col min="13825" max="13825" width="31.33203125" style="1239" bestFit="1" customWidth="1"/>
    <col min="13826" max="13826" width="10.21875" style="1239" customWidth="1"/>
    <col min="13827" max="13827" width="17.77734375" style="1239" customWidth="1"/>
    <col min="13828" max="13828" width="13.77734375" style="1239" customWidth="1"/>
    <col min="13829" max="13830" width="12" style="1239" bestFit="1" customWidth="1"/>
    <col min="13831" max="14079" width="8.88671875" style="1239"/>
    <col min="14080" max="14080" width="5.21875" style="1239" bestFit="1" customWidth="1"/>
    <col min="14081" max="14081" width="31.33203125" style="1239" bestFit="1" customWidth="1"/>
    <col min="14082" max="14082" width="10.21875" style="1239" customWidth="1"/>
    <col min="14083" max="14083" width="17.77734375" style="1239" customWidth="1"/>
    <col min="14084" max="14084" width="13.77734375" style="1239" customWidth="1"/>
    <col min="14085" max="14086" width="12" style="1239" bestFit="1" customWidth="1"/>
    <col min="14087" max="14335" width="8.88671875" style="1239"/>
    <col min="14336" max="14336" width="5.21875" style="1239" bestFit="1" customWidth="1"/>
    <col min="14337" max="14337" width="31.33203125" style="1239" bestFit="1" customWidth="1"/>
    <col min="14338" max="14338" width="10.21875" style="1239" customWidth="1"/>
    <col min="14339" max="14339" width="17.77734375" style="1239" customWidth="1"/>
    <col min="14340" max="14340" width="13.77734375" style="1239" customWidth="1"/>
    <col min="14341" max="14342" width="12" style="1239" bestFit="1" customWidth="1"/>
    <col min="14343" max="14591" width="8.88671875" style="1239"/>
    <col min="14592" max="14592" width="5.21875" style="1239" bestFit="1" customWidth="1"/>
    <col min="14593" max="14593" width="31.33203125" style="1239" bestFit="1" customWidth="1"/>
    <col min="14594" max="14594" width="10.21875" style="1239" customWidth="1"/>
    <col min="14595" max="14595" width="17.77734375" style="1239" customWidth="1"/>
    <col min="14596" max="14596" width="13.77734375" style="1239" customWidth="1"/>
    <col min="14597" max="14598" width="12" style="1239" bestFit="1" customWidth="1"/>
    <col min="14599" max="14847" width="8.88671875" style="1239"/>
    <col min="14848" max="14848" width="5.21875" style="1239" bestFit="1" customWidth="1"/>
    <col min="14849" max="14849" width="31.33203125" style="1239" bestFit="1" customWidth="1"/>
    <col min="14850" max="14850" width="10.21875" style="1239" customWidth="1"/>
    <col min="14851" max="14851" width="17.77734375" style="1239" customWidth="1"/>
    <col min="14852" max="14852" width="13.77734375" style="1239" customWidth="1"/>
    <col min="14853" max="14854" width="12" style="1239" bestFit="1" customWidth="1"/>
    <col min="14855" max="15103" width="8.88671875" style="1239"/>
    <col min="15104" max="15104" width="5.21875" style="1239" bestFit="1" customWidth="1"/>
    <col min="15105" max="15105" width="31.33203125" style="1239" bestFit="1" customWidth="1"/>
    <col min="15106" max="15106" width="10.21875" style="1239" customWidth="1"/>
    <col min="15107" max="15107" width="17.77734375" style="1239" customWidth="1"/>
    <col min="15108" max="15108" width="13.77734375" style="1239" customWidth="1"/>
    <col min="15109" max="15110" width="12" style="1239" bestFit="1" customWidth="1"/>
    <col min="15111" max="15359" width="8.88671875" style="1239"/>
    <col min="15360" max="15360" width="5.21875" style="1239" bestFit="1" customWidth="1"/>
    <col min="15361" max="15361" width="31.33203125" style="1239" bestFit="1" customWidth="1"/>
    <col min="15362" max="15362" width="10.21875" style="1239" customWidth="1"/>
    <col min="15363" max="15363" width="17.77734375" style="1239" customWidth="1"/>
    <col min="15364" max="15364" width="13.77734375" style="1239" customWidth="1"/>
    <col min="15365" max="15366" width="12" style="1239" bestFit="1" customWidth="1"/>
    <col min="15367" max="15615" width="8.88671875" style="1239"/>
    <col min="15616" max="15616" width="5.21875" style="1239" bestFit="1" customWidth="1"/>
    <col min="15617" max="15617" width="31.33203125" style="1239" bestFit="1" customWidth="1"/>
    <col min="15618" max="15618" width="10.21875" style="1239" customWidth="1"/>
    <col min="15619" max="15619" width="17.77734375" style="1239" customWidth="1"/>
    <col min="15620" max="15620" width="13.77734375" style="1239" customWidth="1"/>
    <col min="15621" max="15622" width="12" style="1239" bestFit="1" customWidth="1"/>
    <col min="15623" max="15871" width="8.88671875" style="1239"/>
    <col min="15872" max="15872" width="5.21875" style="1239" bestFit="1" customWidth="1"/>
    <col min="15873" max="15873" width="31.33203125" style="1239" bestFit="1" customWidth="1"/>
    <col min="15874" max="15874" width="10.21875" style="1239" customWidth="1"/>
    <col min="15875" max="15875" width="17.77734375" style="1239" customWidth="1"/>
    <col min="15876" max="15876" width="13.77734375" style="1239" customWidth="1"/>
    <col min="15877" max="15878" width="12" style="1239" bestFit="1" customWidth="1"/>
    <col min="15879" max="16127" width="8.88671875" style="1239"/>
    <col min="16128" max="16128" width="5.21875" style="1239" bestFit="1" customWidth="1"/>
    <col min="16129" max="16129" width="31.33203125" style="1239" bestFit="1" customWidth="1"/>
    <col min="16130" max="16130" width="10.21875" style="1239" customWidth="1"/>
    <col min="16131" max="16131" width="17.77734375" style="1239" customWidth="1"/>
    <col min="16132" max="16132" width="13.77734375" style="1239" customWidth="1"/>
    <col min="16133" max="16134" width="12" style="1239" bestFit="1" customWidth="1"/>
    <col min="16135" max="16384" width="8.88671875" style="1239"/>
  </cols>
  <sheetData>
    <row r="1" spans="1:7" ht="18.75" x14ac:dyDescent="0.35">
      <c r="A1" s="1260"/>
      <c r="B1" s="1260"/>
      <c r="C1" s="1260"/>
      <c r="D1" s="1260"/>
      <c r="E1" s="1260"/>
      <c r="F1" s="1280" t="s">
        <v>251</v>
      </c>
    </row>
    <row r="2" spans="1:7" ht="18.75" x14ac:dyDescent="0.35">
      <c r="A2" s="1260"/>
      <c r="B2" s="1260"/>
      <c r="C2" s="1260"/>
      <c r="D2" s="1260"/>
      <c r="E2" s="1260"/>
      <c r="F2" s="1261" t="s">
        <v>1064</v>
      </c>
    </row>
    <row r="3" spans="1:7" ht="18.75" x14ac:dyDescent="0.35">
      <c r="A3" s="1260"/>
      <c r="B3" s="1260"/>
      <c r="C3" s="1260"/>
      <c r="D3" s="1260"/>
      <c r="E3" s="1260"/>
      <c r="F3" s="1261" t="s">
        <v>1079</v>
      </c>
    </row>
    <row r="4" spans="1:7" ht="18.75" x14ac:dyDescent="0.35">
      <c r="A4" s="1260"/>
      <c r="B4" s="1260"/>
      <c r="C4" s="1260"/>
      <c r="D4" s="1260"/>
      <c r="E4" s="1260"/>
      <c r="F4" s="1261" t="s">
        <v>1080</v>
      </c>
    </row>
    <row r="5" spans="1:7" ht="18.75" x14ac:dyDescent="0.35">
      <c r="A5" s="1416" t="s">
        <v>254</v>
      </c>
      <c r="B5" s="1416"/>
      <c r="C5" s="1416"/>
      <c r="D5" s="1416"/>
      <c r="E5" s="1416"/>
      <c r="F5" s="1416"/>
      <c r="G5" s="1259"/>
    </row>
    <row r="6" spans="1:7" ht="18.75" x14ac:dyDescent="0.35">
      <c r="A6" s="1416" t="s">
        <v>521</v>
      </c>
      <c r="B6" s="1416"/>
      <c r="C6" s="1416"/>
      <c r="D6" s="1416"/>
      <c r="E6" s="1416"/>
      <c r="F6" s="1416"/>
      <c r="G6" s="1259"/>
    </row>
    <row r="7" spans="1:7" ht="17.25" customHeight="1" x14ac:dyDescent="0.35">
      <c r="A7" s="1416" t="s">
        <v>1063</v>
      </c>
      <c r="B7" s="1416"/>
      <c r="C7" s="1416"/>
      <c r="D7" s="1416"/>
      <c r="E7" s="1416"/>
      <c r="F7" s="1416"/>
      <c r="G7" s="1259"/>
    </row>
    <row r="8" spans="1:7" ht="18.75" x14ac:dyDescent="0.35">
      <c r="A8" s="1416" t="s">
        <v>1065</v>
      </c>
      <c r="B8" s="1416"/>
      <c r="C8" s="1416"/>
      <c r="D8" s="1416"/>
      <c r="E8" s="1416"/>
      <c r="F8" s="1416"/>
      <c r="G8" s="1259"/>
    </row>
    <row r="9" spans="1:7" ht="18.75" x14ac:dyDescent="0.35">
      <c r="A9" s="1416" t="s">
        <v>1066</v>
      </c>
      <c r="B9" s="1416"/>
      <c r="C9" s="1416"/>
      <c r="D9" s="1416"/>
      <c r="E9" s="1416"/>
      <c r="F9" s="1416"/>
      <c r="G9" s="1259"/>
    </row>
    <row r="10" spans="1:7" ht="19.5" thickBot="1" x14ac:dyDescent="0.4">
      <c r="A10" s="1260"/>
      <c r="B10" s="1260"/>
      <c r="C10" s="1260"/>
      <c r="D10" s="1260"/>
      <c r="E10" s="1260"/>
      <c r="F10" s="1262" t="s">
        <v>1050</v>
      </c>
    </row>
    <row r="11" spans="1:7" s="1240" customFormat="1" ht="75" customHeight="1" thickBot="1" x14ac:dyDescent="0.25">
      <c r="A11" s="1263" t="s">
        <v>261</v>
      </c>
      <c r="B11" s="1264" t="s">
        <v>262</v>
      </c>
      <c r="C11" s="1265" t="s">
        <v>1067</v>
      </c>
      <c r="D11" s="1266" t="s">
        <v>1075</v>
      </c>
      <c r="E11" s="1265" t="s">
        <v>1073</v>
      </c>
      <c r="F11" s="1267" t="s">
        <v>1074</v>
      </c>
    </row>
    <row r="12" spans="1:7" x14ac:dyDescent="0.3">
      <c r="A12" s="1258">
        <v>1</v>
      </c>
      <c r="B12" s="1250" t="s">
        <v>1051</v>
      </c>
      <c r="C12" s="1247">
        <v>7.391592307597179</v>
      </c>
      <c r="D12" s="1257">
        <v>10.3988444</v>
      </c>
      <c r="E12" s="1256">
        <v>10.736112</v>
      </c>
      <c r="F12" s="1255">
        <v>7.08</v>
      </c>
    </row>
    <row r="13" spans="1:7" ht="34.5" x14ac:dyDescent="0.3">
      <c r="A13" s="1414">
        <v>2</v>
      </c>
      <c r="B13" s="1250" t="s">
        <v>1077</v>
      </c>
      <c r="C13" s="1247">
        <v>32.528944861503085</v>
      </c>
      <c r="D13" s="1257">
        <v>47.928491600000001</v>
      </c>
      <c r="E13" s="1256">
        <v>47.502434000000001</v>
      </c>
      <c r="F13" s="1255">
        <v>54.053204000000001</v>
      </c>
    </row>
    <row r="14" spans="1:7" x14ac:dyDescent="0.3">
      <c r="A14" s="1414"/>
      <c r="B14" s="1254" t="s">
        <v>1078</v>
      </c>
      <c r="C14" s="1247"/>
      <c r="D14" s="1257">
        <v>0.96641999999999995</v>
      </c>
      <c r="E14" s="1256">
        <v>0.83013000000000003</v>
      </c>
      <c r="F14" s="1255">
        <v>0.49559999999999998</v>
      </c>
    </row>
    <row r="15" spans="1:7" ht="34.5" x14ac:dyDescent="0.3">
      <c r="A15" s="1258">
        <v>3</v>
      </c>
      <c r="B15" s="1250" t="s">
        <v>1052</v>
      </c>
      <c r="C15" s="1247">
        <v>1.73637</v>
      </c>
      <c r="D15" s="1257"/>
      <c r="E15" s="1256">
        <v>2.5466760000000002</v>
      </c>
      <c r="F15" s="1255"/>
    </row>
    <row r="16" spans="1:7" x14ac:dyDescent="0.3">
      <c r="A16" s="1258">
        <v>4</v>
      </c>
      <c r="B16" s="1250" t="s">
        <v>266</v>
      </c>
      <c r="C16" s="1247">
        <v>51.282116435646046</v>
      </c>
      <c r="D16" s="1257">
        <v>35.127749600000001</v>
      </c>
      <c r="E16" s="1256">
        <v>47.608398000000001</v>
      </c>
      <c r="F16" s="1255">
        <v>58.306537599999999</v>
      </c>
    </row>
    <row r="17" spans="1:6" ht="34.5" x14ac:dyDescent="0.3">
      <c r="A17" s="1258">
        <v>5</v>
      </c>
      <c r="B17" s="1250" t="s">
        <v>267</v>
      </c>
      <c r="C17" s="1247">
        <v>0.39947932015612497</v>
      </c>
      <c r="D17" s="1257"/>
      <c r="E17" s="1256">
        <v>0.896092</v>
      </c>
      <c r="F17" s="1255">
        <v>0.78375600000000001</v>
      </c>
    </row>
    <row r="18" spans="1:6" ht="34.5" x14ac:dyDescent="0.3">
      <c r="A18" s="1258">
        <v>6</v>
      </c>
      <c r="B18" s="1250" t="s">
        <v>1053</v>
      </c>
      <c r="C18" s="1247">
        <v>0</v>
      </c>
      <c r="D18" s="1257">
        <v>2.4918300000000001E-2</v>
      </c>
      <c r="E18" s="1256">
        <v>5.9471999999999997E-2</v>
      </c>
      <c r="F18" s="1255">
        <v>5.8999999999999997E-2</v>
      </c>
    </row>
    <row r="19" spans="1:6" ht="51.75" x14ac:dyDescent="0.3">
      <c r="A19" s="1258">
        <v>7</v>
      </c>
      <c r="B19" s="1250" t="s">
        <v>1054</v>
      </c>
      <c r="C19" s="1247">
        <v>17.794665594777552</v>
      </c>
      <c r="D19" s="1257">
        <v>24.912338699999999</v>
      </c>
      <c r="E19" s="1256">
        <v>26.103252000000001</v>
      </c>
      <c r="F19" s="1255">
        <v>31.631864199999999</v>
      </c>
    </row>
    <row r="20" spans="1:6" ht="34.5" x14ac:dyDescent="0.3">
      <c r="A20" s="1258">
        <v>8</v>
      </c>
      <c r="B20" s="1250" t="s">
        <v>1055</v>
      </c>
      <c r="C20" s="1247">
        <v>0.37170000000000003</v>
      </c>
      <c r="D20" s="1257"/>
      <c r="E20" s="1256">
        <v>0.344914</v>
      </c>
      <c r="F20" s="1255"/>
    </row>
    <row r="21" spans="1:6" ht="34.5" x14ac:dyDescent="0.3">
      <c r="A21" s="1258">
        <v>9</v>
      </c>
      <c r="B21" s="1250" t="s">
        <v>1081</v>
      </c>
      <c r="C21" s="1247">
        <v>0</v>
      </c>
      <c r="D21" s="1257"/>
      <c r="E21" s="1256"/>
      <c r="F21" s="1255"/>
    </row>
    <row r="22" spans="1:6" ht="51.75" x14ac:dyDescent="0.3">
      <c r="A22" s="1258">
        <v>10</v>
      </c>
      <c r="B22" s="1253" t="s">
        <v>1056</v>
      </c>
      <c r="C22" s="1247">
        <v>0</v>
      </c>
      <c r="D22" s="1257"/>
      <c r="E22" s="1256"/>
      <c r="F22" s="1255"/>
    </row>
    <row r="23" spans="1:6" ht="51.75" x14ac:dyDescent="0.3">
      <c r="A23" s="1258">
        <v>11</v>
      </c>
      <c r="B23" s="1253" t="s">
        <v>1057</v>
      </c>
      <c r="C23" s="1247">
        <v>0</v>
      </c>
      <c r="D23" s="1257"/>
      <c r="E23" s="1256"/>
      <c r="F23" s="1255"/>
    </row>
    <row r="24" spans="1:6" ht="34.5" x14ac:dyDescent="0.3">
      <c r="A24" s="1258">
        <v>12</v>
      </c>
      <c r="B24" s="1253" t="s">
        <v>1058</v>
      </c>
      <c r="C24" s="1275" t="s">
        <v>274</v>
      </c>
      <c r="D24" s="1257">
        <v>0.179787</v>
      </c>
      <c r="E24" s="1256">
        <v>0.38397199999999998</v>
      </c>
      <c r="F24" s="1255">
        <v>0.1062</v>
      </c>
    </row>
    <row r="25" spans="1:6" ht="18" thickBot="1" x14ac:dyDescent="0.35">
      <c r="A25" s="1258">
        <v>13</v>
      </c>
      <c r="B25" s="1253" t="s">
        <v>1059</v>
      </c>
      <c r="C25" s="1247">
        <v>0</v>
      </c>
      <c r="D25" s="1257"/>
      <c r="E25" s="1256"/>
      <c r="F25" s="1255"/>
    </row>
    <row r="26" spans="1:6" x14ac:dyDescent="0.3">
      <c r="A26" s="1245">
        <v>14</v>
      </c>
      <c r="B26" s="1246" t="s">
        <v>1060</v>
      </c>
      <c r="C26" s="1248">
        <v>111.50486851967999</v>
      </c>
      <c r="D26" s="1276">
        <v>119.53854960000001</v>
      </c>
      <c r="E26" s="1248">
        <v>137.01145199999999</v>
      </c>
      <c r="F26" s="1277">
        <v>152.51616179999999</v>
      </c>
    </row>
    <row r="27" spans="1:6" x14ac:dyDescent="0.3">
      <c r="A27" s="1251">
        <v>15</v>
      </c>
      <c r="B27" s="1241" t="s">
        <v>1061</v>
      </c>
      <c r="C27" s="1268">
        <v>16.687647231815593</v>
      </c>
      <c r="D27" s="1278">
        <v>18.230892900000001</v>
      </c>
      <c r="E27" s="1268">
        <v>20.44989</v>
      </c>
      <c r="F27" s="1269">
        <v>23.2561772</v>
      </c>
    </row>
    <row r="28" spans="1:6" x14ac:dyDescent="0.3">
      <c r="A28" s="1251">
        <v>16</v>
      </c>
      <c r="B28" s="1242" t="s">
        <v>1062</v>
      </c>
      <c r="C28" s="1268">
        <v>94.817221287864399</v>
      </c>
      <c r="D28" s="1278">
        <v>101.30765670000001</v>
      </c>
      <c r="E28" s="1268">
        <v>116.561562</v>
      </c>
      <c r="F28" s="1269">
        <v>129.2599846</v>
      </c>
    </row>
    <row r="29" spans="1:6" x14ac:dyDescent="0.3">
      <c r="A29" s="1251">
        <v>17</v>
      </c>
      <c r="B29" s="1242" t="s">
        <v>1068</v>
      </c>
      <c r="C29" s="1244"/>
      <c r="D29" s="1279">
        <v>6.8452073621000809E-2</v>
      </c>
      <c r="E29" s="1270">
        <v>0.22932902290101853</v>
      </c>
      <c r="F29" s="1271">
        <v>0.36325429963368805</v>
      </c>
    </row>
    <row r="30" spans="1:6" ht="18" thickBot="1" x14ac:dyDescent="0.35">
      <c r="A30" s="1252">
        <v>18</v>
      </c>
      <c r="B30" s="1243" t="s">
        <v>1069</v>
      </c>
      <c r="C30" s="1249"/>
      <c r="D30" s="1272" t="s">
        <v>1070</v>
      </c>
      <c r="E30" s="1273" t="s">
        <v>1071</v>
      </c>
      <c r="F30" s="1274" t="s">
        <v>1076</v>
      </c>
    </row>
    <row r="31" spans="1:6" x14ac:dyDescent="0.3">
      <c r="B31" s="1415" t="s">
        <v>1072</v>
      </c>
      <c r="C31" s="1415"/>
      <c r="D31" s="1415"/>
      <c r="E31" s="1415"/>
    </row>
    <row r="35" spans="4:4" x14ac:dyDescent="0.3">
      <c r="D35" s="1281"/>
    </row>
  </sheetData>
  <mergeCells count="7">
    <mergeCell ref="A13:A14"/>
    <mergeCell ref="B31:E31"/>
    <mergeCell ref="A5:F5"/>
    <mergeCell ref="A6:F6"/>
    <mergeCell ref="A7:F7"/>
    <mergeCell ref="A8:F8"/>
    <mergeCell ref="A9:F9"/>
  </mergeCells>
  <pageMargins left="0.25" right="0.25" top="0.75" bottom="0.75" header="0.3" footer="0.3"/>
  <pageSetup paperSize="9" scale="78"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O148"/>
  <sheetViews>
    <sheetView workbookViewId="0">
      <selection activeCell="A5" sqref="A5:F5"/>
    </sheetView>
  </sheetViews>
  <sheetFormatPr defaultRowHeight="15" x14ac:dyDescent="0.2"/>
  <cols>
    <col min="1" max="1" width="7.109375" customWidth="1"/>
    <col min="2" max="2" width="50.109375" customWidth="1"/>
    <col min="3" max="3" width="10" customWidth="1"/>
    <col min="4" max="4" width="9.109375" customWidth="1"/>
    <col min="5" max="5" width="11.6640625" customWidth="1"/>
    <col min="6" max="6" width="9.6640625" customWidth="1"/>
    <col min="7" max="7" width="17.109375" customWidth="1"/>
    <col min="8" max="8" width="20.77734375" customWidth="1"/>
    <col min="9" max="9" width="14.88671875" customWidth="1"/>
    <col min="10" max="10" width="13.77734375" customWidth="1"/>
    <col min="11" max="11" width="17.109375" customWidth="1"/>
    <col min="12" max="12" width="9" bestFit="1" customWidth="1"/>
  </cols>
  <sheetData>
    <row r="1" spans="1:6" ht="15.75" x14ac:dyDescent="0.25">
      <c r="E1" s="87"/>
    </row>
    <row r="2" spans="1:6" ht="15.75" x14ac:dyDescent="0.25">
      <c r="E2" s="87" t="s">
        <v>433</v>
      </c>
    </row>
    <row r="3" spans="1:6" x14ac:dyDescent="0.2">
      <c r="A3" s="1304" t="s">
        <v>483</v>
      </c>
      <c r="B3" s="1304"/>
      <c r="C3" s="1304"/>
      <c r="D3" s="1304"/>
      <c r="E3" s="1304"/>
      <c r="F3" s="1304"/>
    </row>
    <row r="4" spans="1:6" ht="15" customHeight="1" x14ac:dyDescent="0.25">
      <c r="A4" s="1305" t="s">
        <v>484</v>
      </c>
      <c r="B4" s="1305"/>
      <c r="C4" s="1305"/>
      <c r="D4" s="1305"/>
      <c r="E4" s="1305"/>
      <c r="F4" s="1305"/>
    </row>
    <row r="5" spans="1:6" ht="15" customHeight="1" x14ac:dyDescent="0.25">
      <c r="A5" s="1305" t="s">
        <v>434</v>
      </c>
      <c r="B5" s="1305"/>
      <c r="C5" s="1305"/>
      <c r="D5" s="1305"/>
      <c r="E5" s="1305"/>
      <c r="F5" s="1305"/>
    </row>
    <row r="6" spans="1:6" ht="15.75" x14ac:dyDescent="0.25">
      <c r="A6" s="2" t="s">
        <v>28</v>
      </c>
      <c r="B6" s="1" t="s">
        <v>435</v>
      </c>
    </row>
    <row r="7" spans="1:6" ht="15.75" x14ac:dyDescent="0.2">
      <c r="A7" s="533" t="s">
        <v>27</v>
      </c>
      <c r="B7" s="533" t="s">
        <v>124</v>
      </c>
      <c r="C7" s="533" t="s">
        <v>38</v>
      </c>
      <c r="D7" s="533" t="s">
        <v>141</v>
      </c>
    </row>
    <row r="8" spans="1:6" ht="21.95" customHeight="1" x14ac:dyDescent="0.2">
      <c r="A8" s="534">
        <v>1</v>
      </c>
      <c r="B8" s="531" t="s">
        <v>424</v>
      </c>
      <c r="C8" s="530" t="s">
        <v>425</v>
      </c>
      <c r="D8" s="535">
        <f>D129</f>
        <v>1758</v>
      </c>
    </row>
    <row r="9" spans="1:6" ht="21.95" customHeight="1" x14ac:dyDescent="0.2">
      <c r="A9" s="536">
        <f>1+A8</f>
        <v>2</v>
      </c>
      <c r="B9" s="531" t="s">
        <v>477</v>
      </c>
      <c r="C9" s="530" t="s">
        <v>329</v>
      </c>
      <c r="D9" s="535">
        <f>F79</f>
        <v>2760.06</v>
      </c>
    </row>
    <row r="10" spans="1:6" ht="21.95" customHeight="1" x14ac:dyDescent="0.2">
      <c r="A10" s="536">
        <f t="shared" ref="A10:A24" si="0">1+A9</f>
        <v>3</v>
      </c>
      <c r="B10" s="531" t="s">
        <v>426</v>
      </c>
      <c r="C10" s="530" t="s">
        <v>436</v>
      </c>
      <c r="D10" s="535">
        <f>D130</f>
        <v>350</v>
      </c>
    </row>
    <row r="11" spans="1:6" ht="21.95" customHeight="1" x14ac:dyDescent="0.2">
      <c r="A11" s="536">
        <f t="shared" si="0"/>
        <v>4</v>
      </c>
      <c r="B11" s="531" t="s">
        <v>478</v>
      </c>
      <c r="C11" s="530" t="s">
        <v>428</v>
      </c>
      <c r="D11" s="535">
        <f>F78</f>
        <v>912</v>
      </c>
    </row>
    <row r="12" spans="1:6" ht="21.95" customHeight="1" x14ac:dyDescent="0.2">
      <c r="A12" s="536">
        <f t="shared" si="0"/>
        <v>5</v>
      </c>
      <c r="B12" s="531" t="s">
        <v>429</v>
      </c>
      <c r="C12" s="530" t="s">
        <v>428</v>
      </c>
      <c r="D12" s="535">
        <f>E94</f>
        <v>1200</v>
      </c>
    </row>
    <row r="13" spans="1:6" ht="21.95" customHeight="1" x14ac:dyDescent="0.2">
      <c r="A13" s="536">
        <f t="shared" si="0"/>
        <v>6</v>
      </c>
      <c r="B13" s="532" t="s">
        <v>479</v>
      </c>
      <c r="C13" s="530" t="s">
        <v>437</v>
      </c>
      <c r="D13" s="537">
        <f>D97</f>
        <v>0.86</v>
      </c>
    </row>
    <row r="14" spans="1:6" ht="21.95" customHeight="1" x14ac:dyDescent="0.2">
      <c r="A14" s="536">
        <f t="shared" si="0"/>
        <v>7</v>
      </c>
      <c r="B14" s="532" t="s">
        <v>438</v>
      </c>
      <c r="C14" s="530" t="s">
        <v>437</v>
      </c>
      <c r="D14" s="537">
        <f>D98</f>
        <v>1</v>
      </c>
    </row>
    <row r="15" spans="1:6" ht="21.95" customHeight="1" x14ac:dyDescent="0.2">
      <c r="A15" s="536">
        <f t="shared" si="0"/>
        <v>8</v>
      </c>
      <c r="B15" s="532" t="s">
        <v>430</v>
      </c>
      <c r="C15" s="530" t="s">
        <v>329</v>
      </c>
      <c r="D15" s="535">
        <f>SUM(G52:G54)+F92*0</f>
        <v>118.95858600000001</v>
      </c>
    </row>
    <row r="16" spans="1:6" ht="21.95" customHeight="1" x14ac:dyDescent="0.2">
      <c r="A16" s="536">
        <f t="shared" si="0"/>
        <v>9</v>
      </c>
      <c r="B16" s="532" t="s">
        <v>439</v>
      </c>
      <c r="C16" s="530" t="s">
        <v>329</v>
      </c>
      <c r="D16" s="538">
        <f>(D14-D13)*0.11*D9</f>
        <v>42.504924000000003</v>
      </c>
    </row>
    <row r="17" spans="1:15" ht="21.95" customHeight="1" x14ac:dyDescent="0.2">
      <c r="A17" s="536">
        <f t="shared" si="0"/>
        <v>10</v>
      </c>
      <c r="B17" s="531" t="s">
        <v>440</v>
      </c>
      <c r="C17" s="530" t="s">
        <v>329</v>
      </c>
      <c r="D17" s="535">
        <f>D9+D15+D16</f>
        <v>2921.52351</v>
      </c>
      <c r="F17" s="539"/>
      <c r="G17" s="11"/>
      <c r="H17" s="540"/>
    </row>
    <row r="18" spans="1:15" ht="21.95" customHeight="1" x14ac:dyDescent="0.2">
      <c r="A18" s="536">
        <f t="shared" si="0"/>
        <v>11</v>
      </c>
      <c r="B18" s="531" t="s">
        <v>441</v>
      </c>
      <c r="C18" s="541" t="s">
        <v>442</v>
      </c>
      <c r="D18" s="535">
        <f>+D10*(D17-D9)</f>
        <v>56512.228500000012</v>
      </c>
    </row>
    <row r="19" spans="1:15" ht="21.95" customHeight="1" x14ac:dyDescent="0.2">
      <c r="A19" s="536">
        <f t="shared" si="0"/>
        <v>12</v>
      </c>
      <c r="B19" s="531" t="s">
        <v>431</v>
      </c>
      <c r="C19" s="541" t="s">
        <v>442</v>
      </c>
      <c r="D19" s="535">
        <f>+D18*D123</f>
        <v>52556.372505000014</v>
      </c>
      <c r="I19" s="542"/>
    </row>
    <row r="20" spans="1:15" ht="21.95" customHeight="1" x14ac:dyDescent="0.2">
      <c r="A20" s="536">
        <f t="shared" si="0"/>
        <v>13</v>
      </c>
      <c r="B20" s="531" t="s">
        <v>480</v>
      </c>
      <c r="C20" s="530" t="s">
        <v>332</v>
      </c>
      <c r="D20" s="535">
        <f>F80</f>
        <v>453</v>
      </c>
    </row>
    <row r="21" spans="1:15" ht="21.95" customHeight="1" x14ac:dyDescent="0.2">
      <c r="A21" s="536">
        <f t="shared" si="0"/>
        <v>14</v>
      </c>
      <c r="B21" s="532" t="s">
        <v>432</v>
      </c>
      <c r="C21" s="530" t="s">
        <v>332</v>
      </c>
      <c r="D21" s="535">
        <f>SUM(F52:F54)-F93*0</f>
        <v>18.618299999999998</v>
      </c>
    </row>
    <row r="22" spans="1:15" ht="21.95" customHeight="1" x14ac:dyDescent="0.2">
      <c r="A22" s="536">
        <f t="shared" si="0"/>
        <v>15</v>
      </c>
      <c r="B22" s="532" t="s">
        <v>443</v>
      </c>
      <c r="C22" s="530" t="s">
        <v>332</v>
      </c>
      <c r="D22" s="535">
        <f>(D14-D13)*0.05*D20</f>
        <v>3.1710000000000003</v>
      </c>
    </row>
    <row r="23" spans="1:15" ht="21.95" customHeight="1" x14ac:dyDescent="0.2">
      <c r="A23" s="536">
        <f t="shared" si="0"/>
        <v>16</v>
      </c>
      <c r="B23" s="531" t="s">
        <v>444</v>
      </c>
      <c r="C23" s="530" t="s">
        <v>332</v>
      </c>
      <c r="D23" s="535">
        <f>D20-D21-D22</f>
        <v>431.21070000000003</v>
      </c>
    </row>
    <row r="24" spans="1:15" ht="21.95" customHeight="1" x14ac:dyDescent="0.2">
      <c r="A24" s="543">
        <f t="shared" si="0"/>
        <v>17</v>
      </c>
      <c r="B24" s="544" t="s">
        <v>445</v>
      </c>
      <c r="C24" s="545" t="s">
        <v>332</v>
      </c>
      <c r="D24" s="546">
        <f>D20-D23</f>
        <v>21.789299999999969</v>
      </c>
    </row>
    <row r="26" spans="1:15" ht="15.75" x14ac:dyDescent="0.25">
      <c r="A26" s="547" t="s">
        <v>29</v>
      </c>
      <c r="B26" s="548" t="s">
        <v>446</v>
      </c>
      <c r="C26" s="9"/>
      <c r="D26" s="11"/>
      <c r="E26" s="11"/>
      <c r="F26" s="11"/>
    </row>
    <row r="27" spans="1:15" ht="30" x14ac:dyDescent="0.25">
      <c r="A27" s="549" t="s">
        <v>27</v>
      </c>
      <c r="B27" s="549" t="s">
        <v>124</v>
      </c>
      <c r="C27" s="549" t="s">
        <v>38</v>
      </c>
      <c r="D27" s="550" t="s">
        <v>447</v>
      </c>
      <c r="E27" s="550" t="s">
        <v>448</v>
      </c>
      <c r="F27" s="550" t="s">
        <v>449</v>
      </c>
      <c r="G27" s="551"/>
      <c r="H27" s="87"/>
      <c r="I27" s="2"/>
    </row>
    <row r="28" spans="1:15" ht="30" x14ac:dyDescent="0.2">
      <c r="A28" s="552">
        <v>1</v>
      </c>
      <c r="B28" s="635" t="s">
        <v>481</v>
      </c>
      <c r="C28" s="541" t="s">
        <v>442</v>
      </c>
      <c r="D28" s="553">
        <f>+D19</f>
        <v>52556.372505000014</v>
      </c>
      <c r="E28" s="553">
        <f>D114</f>
        <v>5487.3333333333321</v>
      </c>
      <c r="F28" s="554">
        <f>E28*D28/10^7</f>
        <v>28.839433472576999</v>
      </c>
      <c r="H28" s="555"/>
    </row>
    <row r="29" spans="1:15" ht="26.25" customHeight="1" x14ac:dyDescent="0.2">
      <c r="A29" s="556">
        <v>2</v>
      </c>
      <c r="B29" s="557" t="s">
        <v>482</v>
      </c>
      <c r="C29" s="558" t="s">
        <v>442</v>
      </c>
      <c r="D29" s="559">
        <f>+D24*D17*D10/1000</f>
        <v>22280.283275755017</v>
      </c>
      <c r="E29" s="559">
        <f>D115</f>
        <v>23586.55</v>
      </c>
      <c r="F29" s="560">
        <f>E29*D29/10^7</f>
        <v>52.551501549775949</v>
      </c>
      <c r="H29" s="555"/>
    </row>
    <row r="30" spans="1:15" ht="15.75" x14ac:dyDescent="0.25">
      <c r="A30" s="186"/>
      <c r="B30" s="561" t="s">
        <v>450</v>
      </c>
      <c r="C30" s="186"/>
      <c r="D30" s="562"/>
      <c r="E30" s="563"/>
      <c r="F30" s="564">
        <f>+F29+F28</f>
        <v>81.390935022352949</v>
      </c>
      <c r="H30" s="555"/>
      <c r="I30" t="s">
        <v>469</v>
      </c>
      <c r="J30" t="s">
        <v>470</v>
      </c>
      <c r="K30">
        <v>4200</v>
      </c>
      <c r="L30" t="s">
        <v>471</v>
      </c>
      <c r="M30" t="s">
        <v>472</v>
      </c>
      <c r="N30" t="s">
        <v>473</v>
      </c>
      <c r="O30" t="s">
        <v>474</v>
      </c>
    </row>
    <row r="31" spans="1:15" ht="15.75" x14ac:dyDescent="0.25">
      <c r="A31" s="565" t="s">
        <v>30</v>
      </c>
      <c r="B31" s="566" t="s">
        <v>451</v>
      </c>
      <c r="C31" s="567"/>
      <c r="D31" s="568"/>
      <c r="E31" s="569"/>
      <c r="F31" s="569"/>
      <c r="I31" t="s">
        <v>475</v>
      </c>
      <c r="J31" t="s">
        <v>470</v>
      </c>
      <c r="K31">
        <v>780</v>
      </c>
      <c r="L31" t="s">
        <v>471</v>
      </c>
    </row>
    <row r="32" spans="1:15" x14ac:dyDescent="0.2">
      <c r="A32" s="552">
        <v>1</v>
      </c>
      <c r="B32" s="12" t="s">
        <v>467</v>
      </c>
      <c r="C32" s="570" t="s">
        <v>442</v>
      </c>
      <c r="D32" s="571">
        <f>(D106-F82)*24*350</f>
        <v>50400</v>
      </c>
      <c r="E32" s="572">
        <f>D124</f>
        <v>1176.3599999999999</v>
      </c>
      <c r="F32" s="573">
        <f>D32*E32/10^7</f>
        <v>5.9288543999999996</v>
      </c>
    </row>
    <row r="33" spans="1:10" x14ac:dyDescent="0.2">
      <c r="A33" s="552">
        <v>2</v>
      </c>
      <c r="B33" s="12" t="s">
        <v>468</v>
      </c>
      <c r="C33" s="575" t="s">
        <v>476</v>
      </c>
      <c r="D33" s="571">
        <f>(D107-F83)*24*350*780/10^6</f>
        <v>131040</v>
      </c>
      <c r="E33" s="572">
        <f>D116</f>
        <v>1080.19</v>
      </c>
      <c r="F33" s="573">
        <f>D33*E33/10^7</f>
        <v>14.154809759999999</v>
      </c>
    </row>
    <row r="34" spans="1:10" ht="18" x14ac:dyDescent="0.2">
      <c r="A34" s="574">
        <v>2</v>
      </c>
      <c r="B34" s="638" t="s">
        <v>492</v>
      </c>
      <c r="C34" s="639" t="s">
        <v>493</v>
      </c>
      <c r="D34" s="633">
        <f>(0)*24*350/10^3</f>
        <v>0</v>
      </c>
      <c r="E34" s="572">
        <f>D120+1000</f>
        <v>1935.5</v>
      </c>
      <c r="F34" s="576">
        <f t="shared" ref="F34:F37" si="1">D34*E34/10^7</f>
        <v>0</v>
      </c>
      <c r="H34" s="577"/>
      <c r="I34" s="577"/>
    </row>
    <row r="35" spans="1:10" x14ac:dyDescent="0.2">
      <c r="A35" s="574">
        <v>3</v>
      </c>
      <c r="B35" s="638" t="s">
        <v>452</v>
      </c>
      <c r="C35" s="639" t="s">
        <v>415</v>
      </c>
      <c r="D35" s="633">
        <f>0*24*350/10^3</f>
        <v>0</v>
      </c>
      <c r="E35" s="572">
        <f>D119</f>
        <v>5072.7</v>
      </c>
      <c r="F35" s="573">
        <f t="shared" si="1"/>
        <v>0</v>
      </c>
      <c r="H35" s="577"/>
      <c r="I35" s="577"/>
    </row>
    <row r="36" spans="1:10" ht="18" x14ac:dyDescent="0.2">
      <c r="A36" s="574">
        <v>4</v>
      </c>
      <c r="B36" s="638" t="s">
        <v>494</v>
      </c>
      <c r="C36" s="639" t="s">
        <v>493</v>
      </c>
      <c r="D36" s="633">
        <f>(0)*24*350/10^3</f>
        <v>0</v>
      </c>
      <c r="E36" s="572">
        <f>D121</f>
        <v>786.44</v>
      </c>
      <c r="F36" s="576">
        <f t="shared" si="1"/>
        <v>0</v>
      </c>
      <c r="H36" s="577"/>
      <c r="I36" s="577"/>
    </row>
    <row r="37" spans="1:10" ht="18" x14ac:dyDescent="0.2">
      <c r="A37" s="574">
        <v>5</v>
      </c>
      <c r="B37" s="638" t="s">
        <v>495</v>
      </c>
      <c r="C37" s="639" t="s">
        <v>496</v>
      </c>
      <c r="D37" s="634">
        <f>(0)*24*350/10^5</f>
        <v>0</v>
      </c>
      <c r="E37" s="572">
        <f>D122</f>
        <v>2216.2600000000002</v>
      </c>
      <c r="F37" s="576">
        <f t="shared" si="1"/>
        <v>0</v>
      </c>
      <c r="H37" s="577"/>
      <c r="I37" s="577"/>
    </row>
    <row r="38" spans="1:10" x14ac:dyDescent="0.2">
      <c r="A38" s="578">
        <v>6</v>
      </c>
      <c r="B38" s="579" t="s">
        <v>498</v>
      </c>
      <c r="C38" s="580"/>
      <c r="D38" s="581"/>
      <c r="E38" s="582"/>
      <c r="F38" s="583" t="e">
        <f>#REF!*0.025</f>
        <v>#REF!</v>
      </c>
      <c r="H38" s="577"/>
      <c r="I38" s="577"/>
    </row>
    <row r="39" spans="1:10" ht="15.75" x14ac:dyDescent="0.25">
      <c r="A39" s="584"/>
      <c r="B39" s="585" t="s">
        <v>453</v>
      </c>
      <c r="C39" s="15"/>
      <c r="D39" s="586"/>
      <c r="E39" s="586"/>
      <c r="F39" s="585" t="e">
        <f>SUM(F32:F38)</f>
        <v>#REF!</v>
      </c>
      <c r="H39" s="111"/>
      <c r="I39" s="111"/>
    </row>
    <row r="40" spans="1:10" ht="15.75" x14ac:dyDescent="0.25">
      <c r="A40" s="587"/>
      <c r="B40" s="588" t="s">
        <v>454</v>
      </c>
      <c r="C40" s="15" t="s">
        <v>155</v>
      </c>
      <c r="D40" s="589"/>
      <c r="E40" s="590"/>
      <c r="F40" s="585" t="e">
        <f>F30-F39</f>
        <v>#REF!</v>
      </c>
      <c r="G40">
        <v>49.816194747660603</v>
      </c>
      <c r="H40" s="111">
        <v>133.94723662613373</v>
      </c>
      <c r="I40" s="111"/>
    </row>
    <row r="41" spans="1:10" x14ac:dyDescent="0.2">
      <c r="G41">
        <v>108.39368225358277</v>
      </c>
      <c r="H41">
        <v>71.419693767441785</v>
      </c>
    </row>
    <row r="43" spans="1:10" x14ac:dyDescent="0.2">
      <c r="F43" s="592"/>
    </row>
    <row r="45" spans="1:10" ht="15.75" x14ac:dyDescent="0.25">
      <c r="B45" s="593" t="s">
        <v>455</v>
      </c>
      <c r="C45" s="594"/>
      <c r="D45" s="440"/>
      <c r="E45" s="440"/>
      <c r="F45" s="595"/>
    </row>
    <row r="46" spans="1:10" x14ac:dyDescent="0.2">
      <c r="B46" s="596"/>
      <c r="C46" s="596"/>
      <c r="D46" s="14" t="s">
        <v>346</v>
      </c>
      <c r="E46" s="90" t="s">
        <v>333</v>
      </c>
      <c r="F46" s="90" t="s">
        <v>347</v>
      </c>
      <c r="G46" s="98"/>
    </row>
    <row r="47" spans="1:10" ht="15.75" x14ac:dyDescent="0.25">
      <c r="B47" s="14" t="s">
        <v>348</v>
      </c>
      <c r="C47" s="90" t="s">
        <v>329</v>
      </c>
      <c r="D47" s="597">
        <f>F79</f>
        <v>2760.06</v>
      </c>
      <c r="E47" s="598">
        <f>(+D47+D47*(E49-D49)/100*C55)*0+G56</f>
        <v>2921.52351</v>
      </c>
      <c r="F47" s="599">
        <f>ROUND(+E47-D47,0)</f>
        <v>161</v>
      </c>
      <c r="G47" s="434"/>
      <c r="H47">
        <f>D47+H53</f>
        <v>2879.0185860000001</v>
      </c>
      <c r="J47" s="3"/>
    </row>
    <row r="48" spans="1:10" ht="15.75" x14ac:dyDescent="0.25">
      <c r="B48" s="14" t="s">
        <v>381</v>
      </c>
      <c r="C48" s="90" t="s">
        <v>332</v>
      </c>
      <c r="D48" s="597">
        <f>F80</f>
        <v>453</v>
      </c>
      <c r="E48" s="598">
        <f>(+D48-D48*(E49-D49)/100*D55)*0+F56</f>
        <v>431.21069999999997</v>
      </c>
      <c r="F48" s="599">
        <f>ROUND(+E48-D48,0)</f>
        <v>-22</v>
      </c>
      <c r="G48" s="434"/>
    </row>
    <row r="49" spans="1:9" x14ac:dyDescent="0.2">
      <c r="B49" s="14" t="s">
        <v>383</v>
      </c>
      <c r="C49" s="90" t="s">
        <v>384</v>
      </c>
      <c r="D49" s="597">
        <f>F78</f>
        <v>912</v>
      </c>
      <c r="E49" s="599">
        <f>1200</f>
        <v>1200</v>
      </c>
      <c r="F49" s="599">
        <f>+E49-D49</f>
        <v>288</v>
      </c>
      <c r="G49" s="600"/>
    </row>
    <row r="50" spans="1:9" x14ac:dyDescent="0.2">
      <c r="B50" s="601"/>
      <c r="D50" s="11"/>
      <c r="F50" s="602"/>
    </row>
    <row r="51" spans="1:9" ht="90" x14ac:dyDescent="0.2">
      <c r="B51" s="603" t="s">
        <v>456</v>
      </c>
      <c r="C51" s="80" t="s">
        <v>457</v>
      </c>
      <c r="D51" s="80" t="s">
        <v>458</v>
      </c>
      <c r="E51" s="604" t="s">
        <v>459</v>
      </c>
      <c r="F51" t="s">
        <v>381</v>
      </c>
      <c r="G51" t="s">
        <v>348</v>
      </c>
    </row>
    <row r="52" spans="1:9" x14ac:dyDescent="0.2">
      <c r="B52" s="603" t="s">
        <v>460</v>
      </c>
      <c r="C52" s="605">
        <v>0.02</v>
      </c>
      <c r="D52" s="605">
        <v>0.02</v>
      </c>
      <c r="E52">
        <f>1000-D49</f>
        <v>88</v>
      </c>
      <c r="F52" s="606">
        <f>D48*E52*D52/100</f>
        <v>7.9727999999999994</v>
      </c>
      <c r="G52" s="606">
        <f>D47*C52*E52/100</f>
        <v>48.577055999999999</v>
      </c>
      <c r="H52">
        <f>D47*0.02*F49/100</f>
        <v>158.979456</v>
      </c>
      <c r="I52" s="441" t="s">
        <v>380</v>
      </c>
    </row>
    <row r="53" spans="1:9" x14ac:dyDescent="0.2">
      <c r="B53" s="603" t="s">
        <v>461</v>
      </c>
      <c r="C53" s="605">
        <v>1.4999999999999999E-2</v>
      </c>
      <c r="D53" s="605">
        <v>1.4999999999999999E-2</v>
      </c>
      <c r="E53">
        <v>100</v>
      </c>
      <c r="F53" s="606">
        <f>D48*E53*D53/100</f>
        <v>6.7949999999999999</v>
      </c>
      <c r="G53" s="606">
        <f>D47*E53*C53/100</f>
        <v>41.4009</v>
      </c>
      <c r="H53">
        <f>SUM(G52:G54)</f>
        <v>118.95858600000001</v>
      </c>
      <c r="I53" t="s">
        <v>462</v>
      </c>
    </row>
    <row r="54" spans="1:9" x14ac:dyDescent="0.2">
      <c r="B54" s="603" t="s">
        <v>463</v>
      </c>
      <c r="C54" s="605">
        <v>1.0500000000000001E-2</v>
      </c>
      <c r="D54" s="605">
        <v>8.5000000000000006E-3</v>
      </c>
      <c r="E54">
        <v>100</v>
      </c>
      <c r="F54" s="606">
        <f>D48*E54*D54/100</f>
        <v>3.8505000000000003</v>
      </c>
      <c r="G54" s="606">
        <f>D47*E54*C54/100</f>
        <v>28.980630000000001</v>
      </c>
      <c r="H54">
        <f>D48*0.033*F49/100</f>
        <v>43.05312</v>
      </c>
      <c r="I54" s="441" t="s">
        <v>382</v>
      </c>
    </row>
    <row r="55" spans="1:9" ht="47.25" x14ac:dyDescent="0.25">
      <c r="B55" s="603" t="s">
        <v>336</v>
      </c>
      <c r="C55" s="605">
        <f>AVERAGE(C52:C54)</f>
        <v>1.5166666666666669E-2</v>
      </c>
      <c r="D55" s="605">
        <f>AVERAGE(D52:D54)</f>
        <v>1.4500000000000001E-2</v>
      </c>
      <c r="E55" s="607" t="s">
        <v>464</v>
      </c>
      <c r="F55" s="606">
        <f>D61*D20</f>
        <v>3.1710000000000003</v>
      </c>
      <c r="G55" s="606">
        <f>D60*D9</f>
        <v>42.504924000000003</v>
      </c>
      <c r="H55">
        <f>SUM(F52:F54)</f>
        <v>18.618299999999998</v>
      </c>
      <c r="I55" t="s">
        <v>462</v>
      </c>
    </row>
    <row r="56" spans="1:9" ht="31.5" x14ac:dyDescent="0.25">
      <c r="B56" s="112"/>
      <c r="C56" s="608"/>
      <c r="D56" s="608"/>
      <c r="E56" s="607" t="s">
        <v>465</v>
      </c>
      <c r="F56" s="606">
        <f>D48-SUM(F52:F55)</f>
        <v>431.21069999999997</v>
      </c>
      <c r="G56" s="606">
        <f>D47+SUM(G52:G55)</f>
        <v>2921.52351</v>
      </c>
    </row>
    <row r="57" spans="1:9" ht="15.75" x14ac:dyDescent="0.25">
      <c r="B57" s="609" t="s">
        <v>386</v>
      </c>
      <c r="G57" s="609"/>
      <c r="H57" s="606"/>
      <c r="I57" s="606"/>
    </row>
    <row r="58" spans="1:9" ht="15.75" x14ac:dyDescent="0.25">
      <c r="A58" s="610">
        <v>1</v>
      </c>
      <c r="B58" s="611" t="s">
        <v>387</v>
      </c>
      <c r="C58" s="612" t="s">
        <v>388</v>
      </c>
      <c r="D58" s="613">
        <f>F81</f>
        <v>0.86</v>
      </c>
      <c r="G58" s="609"/>
      <c r="H58" s="606"/>
      <c r="I58" s="606"/>
    </row>
    <row r="59" spans="1:9" ht="15.75" x14ac:dyDescent="0.25">
      <c r="A59" s="610">
        <v>2</v>
      </c>
      <c r="B59" s="611" t="s">
        <v>389</v>
      </c>
      <c r="C59" s="612" t="s">
        <v>390</v>
      </c>
      <c r="D59" s="613">
        <f>D98</f>
        <v>1</v>
      </c>
      <c r="G59" s="609"/>
      <c r="H59" s="606"/>
      <c r="I59" s="606"/>
    </row>
    <row r="60" spans="1:9" ht="15.75" x14ac:dyDescent="0.25">
      <c r="A60" s="610">
        <v>3</v>
      </c>
      <c r="B60" s="611" t="s">
        <v>391</v>
      </c>
      <c r="C60" s="612"/>
      <c r="D60" s="614">
        <f>0.011*(D59-D58)/0.1</f>
        <v>1.54E-2</v>
      </c>
      <c r="E60" s="441" t="s">
        <v>392</v>
      </c>
      <c r="G60" s="609"/>
      <c r="H60" s="606"/>
      <c r="I60" s="606"/>
    </row>
    <row r="61" spans="1:9" ht="15.75" x14ac:dyDescent="0.25">
      <c r="A61" s="610">
        <v>4</v>
      </c>
      <c r="B61" s="611" t="s">
        <v>393</v>
      </c>
      <c r="C61" s="612" t="s">
        <v>332</v>
      </c>
      <c r="D61" s="615">
        <f>(D59-D58)*(0.05)*0+0.005*(D59-D58)/0.1</f>
        <v>7.000000000000001E-3</v>
      </c>
      <c r="E61" s="441" t="s">
        <v>394</v>
      </c>
      <c r="G61" s="609"/>
      <c r="H61" s="606"/>
      <c r="I61" s="606"/>
    </row>
    <row r="62" spans="1:9" x14ac:dyDescent="0.2">
      <c r="B62" s="591"/>
      <c r="C62" s="591"/>
      <c r="D62" s="591"/>
      <c r="E62" s="591"/>
      <c r="F62" s="591"/>
    </row>
    <row r="63" spans="1:9" x14ac:dyDescent="0.2">
      <c r="A63" s="616"/>
      <c r="B63" s="616"/>
      <c r="C63" s="616"/>
      <c r="D63" s="616"/>
      <c r="E63" s="616"/>
      <c r="F63" s="616"/>
    </row>
    <row r="64" spans="1:9" ht="15.75" x14ac:dyDescent="0.2">
      <c r="A64" s="617" t="s">
        <v>338</v>
      </c>
      <c r="B64" s="618"/>
      <c r="C64" s="619"/>
      <c r="D64" s="618"/>
      <c r="E64" s="618"/>
    </row>
    <row r="65" spans="1:9" x14ac:dyDescent="0.2">
      <c r="A65" s="620">
        <v>1</v>
      </c>
      <c r="B65" s="621" t="s">
        <v>339</v>
      </c>
      <c r="C65" s="622" t="s">
        <v>16</v>
      </c>
      <c r="D65" s="619">
        <f>D9*D10</f>
        <v>966021</v>
      </c>
      <c r="E65" s="618"/>
    </row>
    <row r="66" spans="1:9" x14ac:dyDescent="0.2">
      <c r="A66" s="620">
        <f t="shared" ref="A66:A71" si="2">+A65+1</f>
        <v>2</v>
      </c>
      <c r="B66" s="621" t="s">
        <v>340</v>
      </c>
      <c r="C66" s="623" t="s">
        <v>328</v>
      </c>
      <c r="D66" s="624">
        <f>D126</f>
        <v>180</v>
      </c>
      <c r="E66" s="618"/>
    </row>
    <row r="67" spans="1:9" x14ac:dyDescent="0.2">
      <c r="A67" s="620">
        <v>3</v>
      </c>
      <c r="B67" s="621" t="s">
        <v>423</v>
      </c>
      <c r="C67" s="623" t="s">
        <v>328</v>
      </c>
      <c r="D67" s="624">
        <f>D127</f>
        <v>180</v>
      </c>
      <c r="E67" s="618"/>
    </row>
    <row r="68" spans="1:9" x14ac:dyDescent="0.2">
      <c r="A68" s="620">
        <f t="shared" si="2"/>
        <v>4</v>
      </c>
      <c r="B68" s="621" t="s">
        <v>341</v>
      </c>
      <c r="C68" s="623" t="s">
        <v>328</v>
      </c>
      <c r="D68" s="625">
        <f>+D66-D67</f>
        <v>0</v>
      </c>
      <c r="E68" s="618"/>
    </row>
    <row r="69" spans="1:9" x14ac:dyDescent="0.2">
      <c r="A69" s="620">
        <f t="shared" si="2"/>
        <v>5</v>
      </c>
      <c r="B69" s="626" t="s">
        <v>342</v>
      </c>
      <c r="C69" s="627" t="s">
        <v>343</v>
      </c>
      <c r="D69" s="619">
        <f>+D68*D65/350</f>
        <v>0</v>
      </c>
      <c r="E69" s="618"/>
    </row>
    <row r="70" spans="1:9" x14ac:dyDescent="0.2">
      <c r="A70" s="620">
        <f t="shared" si="2"/>
        <v>6</v>
      </c>
      <c r="B70" s="628" t="s">
        <v>331</v>
      </c>
      <c r="C70" s="623" t="s">
        <v>330</v>
      </c>
      <c r="D70" s="619">
        <f>D69*D123</f>
        <v>0</v>
      </c>
      <c r="E70" s="618"/>
    </row>
    <row r="71" spans="1:9" ht="15.75" x14ac:dyDescent="0.2">
      <c r="A71" s="620">
        <f t="shared" si="2"/>
        <v>7</v>
      </c>
      <c r="B71" s="629" t="s">
        <v>344</v>
      </c>
      <c r="C71" s="630" t="s">
        <v>345</v>
      </c>
      <c r="D71" s="631">
        <f>D70*E28/10^7</f>
        <v>0</v>
      </c>
      <c r="E71" s="618"/>
    </row>
    <row r="72" spans="1:9" x14ac:dyDescent="0.2">
      <c r="A72" s="620"/>
      <c r="B72" s="629"/>
      <c r="C72" s="630"/>
      <c r="D72" s="629"/>
      <c r="E72" s="618"/>
    </row>
    <row r="74" spans="1:9" ht="18" x14ac:dyDescent="0.25">
      <c r="A74" s="441"/>
      <c r="B74" s="1306" t="s">
        <v>365</v>
      </c>
      <c r="C74" s="1306"/>
      <c r="D74" s="1306"/>
      <c r="E74" s="1306"/>
      <c r="F74" s="1306"/>
      <c r="G74" s="1306"/>
      <c r="H74" s="1306"/>
      <c r="I74" s="441"/>
    </row>
    <row r="75" spans="1:9" x14ac:dyDescent="0.2">
      <c r="A75" s="441"/>
      <c r="B75" s="441"/>
      <c r="C75" s="441"/>
      <c r="D75" s="441"/>
      <c r="E75" s="441"/>
      <c r="F75" s="441"/>
      <c r="G75" s="441"/>
      <c r="H75" s="441"/>
      <c r="I75" s="441"/>
    </row>
    <row r="76" spans="1:9" ht="15.75" thickBot="1" x14ac:dyDescent="0.25">
      <c r="A76" s="441"/>
      <c r="B76" s="442" t="s">
        <v>349</v>
      </c>
      <c r="C76" s="443"/>
      <c r="D76" s="443"/>
      <c r="E76" s="443"/>
      <c r="F76" s="443"/>
      <c r="G76" s="441"/>
      <c r="H76" s="441"/>
      <c r="I76" s="441"/>
    </row>
    <row r="77" spans="1:9" ht="16.5" thickBot="1" x14ac:dyDescent="0.3">
      <c r="A77" s="441"/>
      <c r="B77" s="444" t="s">
        <v>3</v>
      </c>
      <c r="C77" s="445" t="s">
        <v>38</v>
      </c>
      <c r="D77" s="445" t="s">
        <v>335</v>
      </c>
      <c r="E77" s="445" t="s">
        <v>334</v>
      </c>
      <c r="F77" s="467" t="s">
        <v>350</v>
      </c>
      <c r="G77" s="466" t="s">
        <v>351</v>
      </c>
      <c r="H77" s="468"/>
      <c r="I77" s="441"/>
    </row>
    <row r="78" spans="1:9" x14ac:dyDescent="0.2">
      <c r="A78" s="441"/>
      <c r="B78" s="469" t="s">
        <v>366</v>
      </c>
      <c r="C78" s="470" t="s">
        <v>367</v>
      </c>
      <c r="D78" s="471">
        <v>901</v>
      </c>
      <c r="E78" s="471">
        <v>869</v>
      </c>
      <c r="F78" s="472">
        <v>912</v>
      </c>
      <c r="G78" s="473">
        <f>AVERAGE(D78:F78)</f>
        <v>894</v>
      </c>
      <c r="H78" s="474"/>
      <c r="I78" s="441"/>
    </row>
    <row r="79" spans="1:9" x14ac:dyDescent="0.2">
      <c r="A79" s="441"/>
      <c r="B79" s="447" t="s">
        <v>352</v>
      </c>
      <c r="C79" s="448" t="s">
        <v>329</v>
      </c>
      <c r="D79" s="475">
        <v>2681</v>
      </c>
      <c r="E79" s="475">
        <v>2827</v>
      </c>
      <c r="F79" s="476">
        <f>F88*1758</f>
        <v>2760.06</v>
      </c>
      <c r="G79" s="473">
        <f>AVERAGE(D79:F79)</f>
        <v>2756.02</v>
      </c>
      <c r="H79" s="474"/>
      <c r="I79" s="441"/>
    </row>
    <row r="80" spans="1:9" x14ac:dyDescent="0.2">
      <c r="A80" s="441"/>
      <c r="B80" s="447" t="s">
        <v>353</v>
      </c>
      <c r="C80" s="448" t="s">
        <v>354</v>
      </c>
      <c r="D80" s="475">
        <f>433833*1000/930981</f>
        <v>465.9955466330677</v>
      </c>
      <c r="E80" s="475">
        <f>483248*1000/981175</f>
        <v>492.51968303309809</v>
      </c>
      <c r="F80" s="476">
        <v>453</v>
      </c>
      <c r="G80" s="473">
        <f>(D79*D80+E79*E80+F79*F80)/(D79+E79+F79)</f>
        <v>470.72643213254656</v>
      </c>
      <c r="H80" s="474"/>
      <c r="I80" s="441"/>
    </row>
    <row r="81" spans="1:12" x14ac:dyDescent="0.2">
      <c r="A81" s="441"/>
      <c r="B81" s="447" t="s">
        <v>368</v>
      </c>
      <c r="C81" s="448" t="s">
        <v>369</v>
      </c>
      <c r="D81" s="477">
        <v>0.89</v>
      </c>
      <c r="E81" s="477">
        <v>0.86</v>
      </c>
      <c r="F81" s="478">
        <v>0.86</v>
      </c>
      <c r="G81" s="479">
        <f>AVERAGE(D81:F81)</f>
        <v>0.87</v>
      </c>
      <c r="H81" s="480"/>
      <c r="I81" s="441"/>
    </row>
    <row r="82" spans="1:12" x14ac:dyDescent="0.2">
      <c r="A82" s="441"/>
      <c r="B82" s="447" t="s">
        <v>370</v>
      </c>
      <c r="C82" s="448" t="s">
        <v>371</v>
      </c>
      <c r="D82" s="477">
        <v>1.96</v>
      </c>
      <c r="E82" s="477">
        <v>4</v>
      </c>
      <c r="F82" s="478">
        <v>4</v>
      </c>
      <c r="G82" s="479">
        <f>AVERAGE(D82:F82)</f>
        <v>3.3200000000000003</v>
      </c>
      <c r="H82" s="481"/>
      <c r="I82" s="441"/>
    </row>
    <row r="83" spans="1:12" x14ac:dyDescent="0.2">
      <c r="A83" s="441"/>
      <c r="B83" s="447" t="s">
        <v>372</v>
      </c>
      <c r="C83" s="448" t="s">
        <v>362</v>
      </c>
      <c r="D83" s="482">
        <v>90000</v>
      </c>
      <c r="E83" s="482">
        <v>90000</v>
      </c>
      <c r="F83" s="483">
        <v>90000</v>
      </c>
      <c r="G83" s="484">
        <v>90000</v>
      </c>
      <c r="H83" s="485"/>
      <c r="I83" s="441"/>
    </row>
    <row r="84" spans="1:12" x14ac:dyDescent="0.2">
      <c r="A84" s="441"/>
      <c r="B84" s="447" t="s">
        <v>373</v>
      </c>
      <c r="C84" s="448" t="s">
        <v>362</v>
      </c>
      <c r="D84" s="486" t="s">
        <v>374</v>
      </c>
      <c r="E84" s="486" t="s">
        <v>374</v>
      </c>
      <c r="F84" s="487" t="s">
        <v>374</v>
      </c>
      <c r="G84" s="486" t="s">
        <v>374</v>
      </c>
      <c r="H84" s="488"/>
      <c r="I84" s="441"/>
    </row>
    <row r="85" spans="1:12" ht="30.75" x14ac:dyDescent="0.2">
      <c r="A85" s="441"/>
      <c r="B85" s="465" t="s">
        <v>375</v>
      </c>
      <c r="C85" s="448" t="s">
        <v>363</v>
      </c>
      <c r="D85" s="486" t="s">
        <v>374</v>
      </c>
      <c r="E85" s="486" t="s">
        <v>374</v>
      </c>
      <c r="F85" s="487" t="s">
        <v>374</v>
      </c>
      <c r="G85" s="486" t="s">
        <v>374</v>
      </c>
      <c r="H85" s="488"/>
      <c r="I85" s="441" t="s">
        <v>488</v>
      </c>
    </row>
    <row r="86" spans="1:12" ht="29.25" x14ac:dyDescent="0.25">
      <c r="A86" s="441"/>
      <c r="B86" s="439" t="s">
        <v>355</v>
      </c>
      <c r="C86" s="448" t="s">
        <v>356</v>
      </c>
      <c r="D86" s="489">
        <v>27172</v>
      </c>
      <c r="E86" s="489">
        <v>24776</v>
      </c>
      <c r="F86" s="490">
        <v>21829</v>
      </c>
      <c r="G86" s="491">
        <f>AVERAGE(D86:F86)</f>
        <v>24592.333333333332</v>
      </c>
      <c r="H86" s="474" t="s">
        <v>376</v>
      </c>
      <c r="I86" s="636" t="s">
        <v>486</v>
      </c>
      <c r="L86">
        <f>36956</f>
        <v>36956</v>
      </c>
    </row>
    <row r="87" spans="1:12" ht="15.75" x14ac:dyDescent="0.25">
      <c r="A87" s="441"/>
      <c r="B87" s="439" t="s">
        <v>377</v>
      </c>
      <c r="C87" s="448"/>
      <c r="D87" s="489">
        <v>19215</v>
      </c>
      <c r="E87" s="489">
        <v>17775.04</v>
      </c>
      <c r="F87" s="489">
        <v>15018.09</v>
      </c>
      <c r="G87" s="491">
        <f>AVERAGE(D87:F87)</f>
        <v>17336.043333333335</v>
      </c>
      <c r="H87" s="474" t="s">
        <v>378</v>
      </c>
      <c r="I87" s="636" t="s">
        <v>487</v>
      </c>
      <c r="L87">
        <v>19105</v>
      </c>
    </row>
    <row r="88" spans="1:12" ht="15.75" x14ac:dyDescent="0.25">
      <c r="A88" s="441"/>
      <c r="B88" s="449" t="s">
        <v>337</v>
      </c>
      <c r="C88" s="439" t="s">
        <v>357</v>
      </c>
      <c r="D88" s="492">
        <v>1.5249999999999999</v>
      </c>
      <c r="E88" s="492">
        <v>1.6080000000000001</v>
      </c>
      <c r="F88" s="493">
        <v>1.57</v>
      </c>
      <c r="G88" s="494">
        <f>AVERAGE(D88:F88)</f>
        <v>1.5676666666666668</v>
      </c>
      <c r="H88" s="446"/>
      <c r="I88" s="441"/>
    </row>
    <row r="89" spans="1:12" x14ac:dyDescent="0.2">
      <c r="A89" s="441"/>
      <c r="B89" s="441"/>
      <c r="C89" s="441"/>
      <c r="D89" s="441"/>
      <c r="E89" s="441"/>
      <c r="F89" s="441"/>
      <c r="G89" s="441"/>
      <c r="H89" s="441"/>
      <c r="I89" s="441"/>
    </row>
    <row r="90" spans="1:12" ht="15.75" x14ac:dyDescent="0.25">
      <c r="A90" s="441"/>
      <c r="B90" s="450" t="s">
        <v>379</v>
      </c>
      <c r="C90" s="451"/>
      <c r="D90" s="452"/>
      <c r="E90" s="452"/>
      <c r="F90" s="453"/>
      <c r="G90" s="441"/>
      <c r="H90" s="441"/>
      <c r="I90" s="441"/>
    </row>
    <row r="91" spans="1:12" x14ac:dyDescent="0.2">
      <c r="A91" s="441"/>
      <c r="B91" s="439"/>
      <c r="C91" s="439"/>
      <c r="D91" s="439" t="s">
        <v>346</v>
      </c>
      <c r="E91" s="454" t="s">
        <v>333</v>
      </c>
      <c r="F91" s="454" t="s">
        <v>347</v>
      </c>
      <c r="G91" s="441"/>
      <c r="H91" s="441"/>
      <c r="I91" s="441"/>
    </row>
    <row r="92" spans="1:12" ht="15.75" x14ac:dyDescent="0.25">
      <c r="A92" s="441"/>
      <c r="B92" s="439" t="s">
        <v>348</v>
      </c>
      <c r="C92" s="454" t="s">
        <v>329</v>
      </c>
      <c r="D92" s="495">
        <f>F79</f>
        <v>2760.06</v>
      </c>
      <c r="E92" s="496">
        <f>D92+D92*0.02*F94/100</f>
        <v>2919.039456</v>
      </c>
      <c r="F92" s="439">
        <f>E92-D92</f>
        <v>158.97945600000003</v>
      </c>
      <c r="G92" s="441" t="s">
        <v>380</v>
      </c>
      <c r="H92" s="441"/>
      <c r="I92" s="441"/>
    </row>
    <row r="93" spans="1:12" ht="15.75" x14ac:dyDescent="0.25">
      <c r="A93" s="441"/>
      <c r="B93" s="439" t="s">
        <v>381</v>
      </c>
      <c r="C93" s="454" t="s">
        <v>332</v>
      </c>
      <c r="D93" s="495">
        <f>F80</f>
        <v>453</v>
      </c>
      <c r="E93" s="496">
        <f>D93-D93*0.033*F94/100</f>
        <v>409.94688000000002</v>
      </c>
      <c r="F93" s="455">
        <f>E93-D93</f>
        <v>-43.053119999999979</v>
      </c>
      <c r="G93" s="441" t="s">
        <v>382</v>
      </c>
      <c r="H93" s="441"/>
      <c r="I93" s="441"/>
    </row>
    <row r="94" spans="1:12" x14ac:dyDescent="0.2">
      <c r="A94" s="441"/>
      <c r="B94" s="439" t="s">
        <v>383</v>
      </c>
      <c r="C94" s="454" t="s">
        <v>384</v>
      </c>
      <c r="D94" s="495">
        <f>F78</f>
        <v>912</v>
      </c>
      <c r="E94" s="497">
        <v>1200</v>
      </c>
      <c r="F94" s="455">
        <f>+E94-D94</f>
        <v>288</v>
      </c>
      <c r="G94" s="441" t="s">
        <v>385</v>
      </c>
      <c r="H94" s="441"/>
      <c r="I94" s="441"/>
    </row>
    <row r="95" spans="1:12" x14ac:dyDescent="0.2">
      <c r="A95" s="441"/>
      <c r="B95" s="441"/>
      <c r="C95" s="441"/>
      <c r="D95" s="441"/>
      <c r="E95" s="441"/>
      <c r="F95" s="441"/>
      <c r="G95" s="441"/>
      <c r="H95" s="441"/>
      <c r="I95" s="441"/>
    </row>
    <row r="96" spans="1:12" ht="15.75" x14ac:dyDescent="0.25">
      <c r="A96" s="441"/>
      <c r="B96" s="456" t="s">
        <v>386</v>
      </c>
      <c r="C96" s="441"/>
      <c r="D96" s="441"/>
      <c r="E96" s="441"/>
      <c r="F96" s="441"/>
      <c r="G96" s="441"/>
      <c r="H96" s="441"/>
      <c r="I96" s="441"/>
    </row>
    <row r="97" spans="1:9" x14ac:dyDescent="0.2">
      <c r="A97" s="498">
        <v>1</v>
      </c>
      <c r="B97" s="499" t="s">
        <v>387</v>
      </c>
      <c r="C97" s="454" t="s">
        <v>388</v>
      </c>
      <c r="D97" s="500">
        <f>F81</f>
        <v>0.86</v>
      </c>
      <c r="E97" s="441"/>
      <c r="F97" s="441"/>
      <c r="G97" s="441"/>
      <c r="H97" s="441"/>
      <c r="I97" s="441"/>
    </row>
    <row r="98" spans="1:9" x14ac:dyDescent="0.2">
      <c r="A98" s="498">
        <v>2</v>
      </c>
      <c r="B98" s="499" t="s">
        <v>389</v>
      </c>
      <c r="C98" s="454" t="s">
        <v>390</v>
      </c>
      <c r="D98" s="501">
        <v>1</v>
      </c>
      <c r="E98" s="441"/>
      <c r="F98" s="441"/>
      <c r="G98" s="441"/>
      <c r="H98" s="441"/>
      <c r="I98" s="441"/>
    </row>
    <row r="99" spans="1:9" x14ac:dyDescent="0.2">
      <c r="A99" s="498">
        <v>3</v>
      </c>
      <c r="B99" s="499" t="s">
        <v>391</v>
      </c>
      <c r="C99" s="454" t="s">
        <v>35</v>
      </c>
      <c r="D99" s="502">
        <f>0.011*(D98-D97)/0.1</f>
        <v>1.54E-2</v>
      </c>
      <c r="E99" s="441" t="s">
        <v>392</v>
      </c>
      <c r="F99" s="441"/>
      <c r="G99" s="441"/>
      <c r="H99" s="441"/>
      <c r="I99" s="441"/>
    </row>
    <row r="100" spans="1:9" x14ac:dyDescent="0.2">
      <c r="A100" s="498">
        <v>4</v>
      </c>
      <c r="B100" s="499" t="s">
        <v>393</v>
      </c>
      <c r="C100" s="454" t="s">
        <v>35</v>
      </c>
      <c r="D100" s="503">
        <f>0.005*(D98-D97)/0.1</f>
        <v>7.000000000000001E-3</v>
      </c>
      <c r="E100" s="441" t="s">
        <v>394</v>
      </c>
      <c r="F100" s="441"/>
      <c r="G100" s="441"/>
      <c r="H100" s="441"/>
      <c r="I100" s="441"/>
    </row>
    <row r="101" spans="1:9" x14ac:dyDescent="0.2">
      <c r="A101" s="441"/>
      <c r="B101" s="441"/>
      <c r="C101" s="441"/>
      <c r="D101" s="441"/>
      <c r="E101" s="441"/>
      <c r="F101" s="441"/>
      <c r="G101" s="441"/>
      <c r="H101" s="441"/>
      <c r="I101" s="441"/>
    </row>
    <row r="102" spans="1:9" x14ac:dyDescent="0.2">
      <c r="A102" s="443"/>
      <c r="B102" s="457" t="s">
        <v>358</v>
      </c>
      <c r="C102" s="443"/>
      <c r="D102" s="443"/>
      <c r="E102" s="443" t="s">
        <v>466</v>
      </c>
      <c r="F102" s="443"/>
      <c r="G102" s="441"/>
      <c r="H102" s="441"/>
      <c r="I102" s="441"/>
    </row>
    <row r="103" spans="1:9" x14ac:dyDescent="0.2">
      <c r="A103" s="435">
        <v>1</v>
      </c>
      <c r="B103" s="458" t="s">
        <v>359</v>
      </c>
      <c r="C103" s="439" t="s">
        <v>360</v>
      </c>
      <c r="D103" s="501">
        <v>0</v>
      </c>
      <c r="E103" s="459"/>
      <c r="F103" s="443"/>
      <c r="G103" s="441"/>
      <c r="H103" s="441" t="s">
        <v>0</v>
      </c>
      <c r="I103" s="441"/>
    </row>
    <row r="104" spans="1:9" x14ac:dyDescent="0.2">
      <c r="A104" s="435">
        <v>2</v>
      </c>
      <c r="B104" s="458" t="s">
        <v>395</v>
      </c>
      <c r="C104" s="439" t="s">
        <v>363</v>
      </c>
      <c r="D104" s="501">
        <v>0</v>
      </c>
      <c r="E104" s="443"/>
      <c r="F104" s="443"/>
      <c r="G104" s="441"/>
      <c r="H104" s="441"/>
      <c r="I104" s="441"/>
    </row>
    <row r="105" spans="1:9" x14ac:dyDescent="0.2">
      <c r="A105" s="435">
        <v>3</v>
      </c>
      <c r="B105" s="435" t="s">
        <v>361</v>
      </c>
      <c r="C105" s="439" t="s">
        <v>362</v>
      </c>
      <c r="D105" s="504">
        <v>0</v>
      </c>
      <c r="E105" s="443"/>
      <c r="F105" s="443"/>
      <c r="G105" s="441"/>
      <c r="H105" s="441"/>
      <c r="I105" s="441"/>
    </row>
    <row r="106" spans="1:9" x14ac:dyDescent="0.2">
      <c r="A106" s="435">
        <v>4</v>
      </c>
      <c r="B106" s="505" t="s">
        <v>396</v>
      </c>
      <c r="C106" s="439" t="s">
        <v>371</v>
      </c>
      <c r="D106" s="506">
        <v>10</v>
      </c>
      <c r="E106" s="443">
        <f>4</f>
        <v>4</v>
      </c>
      <c r="F106" s="443">
        <f>D106-E106</f>
        <v>6</v>
      </c>
      <c r="G106" s="441"/>
      <c r="H106" s="441"/>
      <c r="I106" s="441"/>
    </row>
    <row r="107" spans="1:9" x14ac:dyDescent="0.2">
      <c r="A107" s="435">
        <v>5</v>
      </c>
      <c r="B107" s="465" t="s">
        <v>397</v>
      </c>
      <c r="C107" s="439" t="s">
        <v>362</v>
      </c>
      <c r="D107" s="506">
        <v>110000</v>
      </c>
      <c r="E107" s="443">
        <v>90000</v>
      </c>
      <c r="F107" s="443">
        <f>D107-E107</f>
        <v>20000</v>
      </c>
      <c r="G107" s="441"/>
      <c r="H107" s="441"/>
      <c r="I107" s="441"/>
    </row>
    <row r="108" spans="1:9" x14ac:dyDescent="0.2">
      <c r="A108" s="435">
        <v>6</v>
      </c>
      <c r="B108" s="465" t="s">
        <v>398</v>
      </c>
      <c r="C108" s="439" t="s">
        <v>362</v>
      </c>
      <c r="D108" s="507">
        <v>0</v>
      </c>
      <c r="E108" s="443"/>
      <c r="F108" s="443"/>
      <c r="G108" s="441"/>
      <c r="H108" s="441"/>
      <c r="I108" s="441"/>
    </row>
    <row r="109" spans="1:9" ht="28.5" x14ac:dyDescent="0.2">
      <c r="A109" s="435">
        <v>7</v>
      </c>
      <c r="B109" s="465" t="s">
        <v>399</v>
      </c>
      <c r="C109" s="439" t="s">
        <v>362</v>
      </c>
      <c r="D109" s="508">
        <v>0</v>
      </c>
      <c r="E109" s="443"/>
      <c r="F109" s="443"/>
      <c r="G109" s="441"/>
      <c r="H109" s="441"/>
      <c r="I109" s="441"/>
    </row>
    <row r="110" spans="1:9" x14ac:dyDescent="0.2">
      <c r="A110" s="441"/>
      <c r="B110" s="441"/>
      <c r="C110" s="441"/>
      <c r="D110" s="441"/>
      <c r="E110" s="441"/>
      <c r="F110" s="441"/>
      <c r="G110" s="441"/>
      <c r="H110" s="441"/>
      <c r="I110" s="441"/>
    </row>
    <row r="111" spans="1:9" x14ac:dyDescent="0.2">
      <c r="A111" s="435" t="s">
        <v>27</v>
      </c>
      <c r="B111" s="464" t="s">
        <v>3</v>
      </c>
      <c r="C111" s="464" t="s">
        <v>400</v>
      </c>
      <c r="D111" s="464" t="s">
        <v>401</v>
      </c>
      <c r="E111" s="509"/>
      <c r="F111" s="441"/>
      <c r="G111" s="441"/>
      <c r="H111" s="441"/>
      <c r="I111" s="441"/>
    </row>
    <row r="112" spans="1:9" ht="71.25" x14ac:dyDescent="0.2">
      <c r="A112" s="510">
        <v>1</v>
      </c>
      <c r="B112" s="435" t="s">
        <v>402</v>
      </c>
      <c r="C112" s="511"/>
      <c r="D112" s="512">
        <f>G86</f>
        <v>24592.333333333332</v>
      </c>
      <c r="E112" s="474" t="s">
        <v>403</v>
      </c>
      <c r="F112" s="441"/>
      <c r="G112" s="441"/>
      <c r="H112" s="441"/>
      <c r="I112" s="441"/>
    </row>
    <row r="113" spans="1:9" ht="57" x14ac:dyDescent="0.2">
      <c r="A113" s="510">
        <v>2</v>
      </c>
      <c r="B113" s="435" t="s">
        <v>404</v>
      </c>
      <c r="C113" s="464" t="s">
        <v>405</v>
      </c>
      <c r="D113" s="637">
        <f>17336*0+L87</f>
        <v>19105</v>
      </c>
      <c r="E113" s="513" t="s">
        <v>489</v>
      </c>
      <c r="F113" s="441"/>
      <c r="G113" s="446"/>
      <c r="H113" s="441"/>
      <c r="I113" s="441"/>
    </row>
    <row r="114" spans="1:9" x14ac:dyDescent="0.2">
      <c r="A114" s="510">
        <v>3</v>
      </c>
      <c r="B114" s="435" t="s">
        <v>406</v>
      </c>
      <c r="C114" s="464" t="s">
        <v>405</v>
      </c>
      <c r="D114" s="514">
        <f>+D112-D113</f>
        <v>5487.3333333333321</v>
      </c>
      <c r="E114" s="515"/>
      <c r="F114" s="441"/>
      <c r="G114" s="446"/>
      <c r="H114" s="441"/>
      <c r="I114" s="441"/>
    </row>
    <row r="115" spans="1:9" ht="42.75" x14ac:dyDescent="0.3">
      <c r="A115" s="510">
        <v>4</v>
      </c>
      <c r="B115" s="435" t="s">
        <v>407</v>
      </c>
      <c r="C115" s="464" t="s">
        <v>405</v>
      </c>
      <c r="D115" s="516">
        <v>23586.55</v>
      </c>
      <c r="E115" s="513" t="s">
        <v>408</v>
      </c>
      <c r="F115" s="441"/>
      <c r="G115" s="446"/>
      <c r="H115" s="441"/>
      <c r="I115" s="632"/>
    </row>
    <row r="116" spans="1:9" ht="42.75" x14ac:dyDescent="0.3">
      <c r="A116" s="510">
        <v>5</v>
      </c>
      <c r="B116" s="435" t="s">
        <v>409</v>
      </c>
      <c r="C116" s="464" t="s">
        <v>410</v>
      </c>
      <c r="D116" s="516">
        <v>1080.19</v>
      </c>
      <c r="E116" s="513" t="s">
        <v>408</v>
      </c>
      <c r="F116" s="517"/>
      <c r="G116" s="441"/>
      <c r="H116" s="441"/>
      <c r="I116" s="632"/>
    </row>
    <row r="117" spans="1:9" ht="42.75" x14ac:dyDescent="0.3">
      <c r="A117" s="510">
        <v>6</v>
      </c>
      <c r="B117" s="435" t="s">
        <v>411</v>
      </c>
      <c r="C117" s="464" t="s">
        <v>410</v>
      </c>
      <c r="D117" s="516">
        <v>1074.07</v>
      </c>
      <c r="E117" s="513" t="s">
        <v>408</v>
      </c>
      <c r="F117" s="517"/>
      <c r="G117" s="441"/>
      <c r="H117" s="441"/>
      <c r="I117" s="632"/>
    </row>
    <row r="118" spans="1:9" ht="16.5" x14ac:dyDescent="0.25">
      <c r="A118" s="510">
        <v>7</v>
      </c>
      <c r="B118" s="435" t="s">
        <v>412</v>
      </c>
      <c r="C118" s="464" t="s">
        <v>413</v>
      </c>
      <c r="D118" s="518" t="s">
        <v>374</v>
      </c>
      <c r="E118" s="519"/>
      <c r="F118" s="517"/>
      <c r="G118" s="441"/>
      <c r="H118" s="441"/>
      <c r="I118" s="632"/>
    </row>
    <row r="119" spans="1:9" ht="42.75" x14ac:dyDescent="0.3">
      <c r="A119" s="510">
        <v>8</v>
      </c>
      <c r="B119" s="435" t="s">
        <v>414</v>
      </c>
      <c r="C119" s="464" t="s">
        <v>415</v>
      </c>
      <c r="D119" s="516">
        <v>5072.7</v>
      </c>
      <c r="E119" s="513" t="s">
        <v>408</v>
      </c>
      <c r="F119" s="517"/>
      <c r="G119" s="441"/>
      <c r="H119" s="441"/>
      <c r="I119" s="632"/>
    </row>
    <row r="120" spans="1:9" ht="42.75" x14ac:dyDescent="0.3">
      <c r="A120" s="510">
        <v>9</v>
      </c>
      <c r="B120" s="435" t="s">
        <v>416</v>
      </c>
      <c r="C120" s="464" t="s">
        <v>417</v>
      </c>
      <c r="D120" s="520">
        <v>935.5</v>
      </c>
      <c r="E120" s="513" t="s">
        <v>408</v>
      </c>
      <c r="F120" s="517"/>
      <c r="G120" s="441"/>
      <c r="H120" s="441"/>
      <c r="I120" s="632"/>
    </row>
    <row r="121" spans="1:9" ht="42.75" x14ac:dyDescent="0.3">
      <c r="A121" s="510">
        <v>10</v>
      </c>
      <c r="B121" s="435" t="s">
        <v>418</v>
      </c>
      <c r="C121" s="464" t="s">
        <v>417</v>
      </c>
      <c r="D121" s="516">
        <v>786.44</v>
      </c>
      <c r="E121" s="513" t="s">
        <v>408</v>
      </c>
      <c r="F121" s="517"/>
      <c r="G121" s="441"/>
      <c r="H121" s="441"/>
      <c r="I121" s="632"/>
    </row>
    <row r="122" spans="1:9" ht="42.75" x14ac:dyDescent="0.3">
      <c r="A122" s="510">
        <v>10</v>
      </c>
      <c r="B122" s="435" t="s">
        <v>419</v>
      </c>
      <c r="C122" s="464" t="s">
        <v>417</v>
      </c>
      <c r="D122" s="516">
        <v>2216.2600000000002</v>
      </c>
      <c r="E122" s="513" t="s">
        <v>408</v>
      </c>
      <c r="F122" s="517"/>
      <c r="G122" s="441"/>
      <c r="H122" s="441"/>
      <c r="I122" s="632"/>
    </row>
    <row r="123" spans="1:9" ht="57" x14ac:dyDescent="0.25">
      <c r="A123" s="510">
        <v>11</v>
      </c>
      <c r="B123" s="509" t="s">
        <v>420</v>
      </c>
      <c r="C123" s="521" t="s">
        <v>35</v>
      </c>
      <c r="D123" s="522">
        <v>0.93</v>
      </c>
      <c r="E123" s="513" t="s">
        <v>421</v>
      </c>
      <c r="F123" s="517"/>
      <c r="G123" s="441"/>
      <c r="H123" s="441"/>
      <c r="I123" s="632"/>
    </row>
    <row r="124" spans="1:9" ht="42.75" x14ac:dyDescent="0.3">
      <c r="A124" s="510">
        <v>12</v>
      </c>
      <c r="B124" s="509" t="s">
        <v>422</v>
      </c>
      <c r="C124" s="464" t="s">
        <v>405</v>
      </c>
      <c r="D124" s="516">
        <v>1176.3599999999999</v>
      </c>
      <c r="E124" s="513" t="s">
        <v>408</v>
      </c>
      <c r="F124" s="441"/>
      <c r="G124" s="441"/>
      <c r="H124" s="441"/>
      <c r="I124" s="441"/>
    </row>
    <row r="125" spans="1:9" ht="16.5" x14ac:dyDescent="0.3">
      <c r="A125" s="441"/>
      <c r="B125" s="441"/>
      <c r="C125" s="441"/>
      <c r="D125" s="523"/>
      <c r="E125" s="524"/>
      <c r="F125" s="441"/>
      <c r="G125" s="441"/>
      <c r="H125" s="441"/>
      <c r="I125" s="441"/>
    </row>
    <row r="126" spans="1:9" x14ac:dyDescent="0.2">
      <c r="A126" s="441"/>
      <c r="B126" s="525" t="s">
        <v>340</v>
      </c>
      <c r="C126" s="526" t="s">
        <v>328</v>
      </c>
      <c r="D126" s="527">
        <v>180</v>
      </c>
      <c r="E126" s="441"/>
      <c r="F126" s="441"/>
      <c r="G126" s="441"/>
      <c r="H126" s="441"/>
      <c r="I126" s="441"/>
    </row>
    <row r="127" spans="1:9" x14ac:dyDescent="0.2">
      <c r="A127" s="441"/>
      <c r="B127" s="525" t="s">
        <v>423</v>
      </c>
      <c r="C127" s="526" t="s">
        <v>328</v>
      </c>
      <c r="D127" s="527">
        <v>180</v>
      </c>
      <c r="E127" s="441"/>
      <c r="F127" s="441"/>
      <c r="G127" s="441"/>
      <c r="H127" s="441"/>
      <c r="I127" s="441"/>
    </row>
    <row r="128" spans="1:9" x14ac:dyDescent="0.2">
      <c r="A128" s="441"/>
      <c r="B128" s="525" t="s">
        <v>341</v>
      </c>
      <c r="C128" s="526" t="s">
        <v>328</v>
      </c>
      <c r="D128" s="527">
        <v>0</v>
      </c>
      <c r="E128" s="441"/>
      <c r="F128" s="441"/>
      <c r="G128" s="441"/>
      <c r="H128" s="441"/>
      <c r="I128" s="441"/>
    </row>
    <row r="129" spans="1:9" x14ac:dyDescent="0.2">
      <c r="A129" s="441"/>
      <c r="B129" s="435" t="s">
        <v>424</v>
      </c>
      <c r="C129" s="464" t="s">
        <v>425</v>
      </c>
      <c r="D129" s="497">
        <v>1758</v>
      </c>
      <c r="E129" s="441"/>
      <c r="F129" s="441"/>
      <c r="G129" s="441"/>
      <c r="H129" s="441"/>
      <c r="I129" s="441"/>
    </row>
    <row r="130" spans="1:9" ht="15.75" x14ac:dyDescent="0.25">
      <c r="A130" s="441"/>
      <c r="B130" s="435" t="s">
        <v>426</v>
      </c>
      <c r="C130" s="526" t="s">
        <v>328</v>
      </c>
      <c r="D130" s="528">
        <v>350</v>
      </c>
      <c r="E130" s="529"/>
      <c r="F130" s="441"/>
      <c r="G130" s="441"/>
      <c r="H130" s="441"/>
      <c r="I130" s="441"/>
    </row>
    <row r="131" spans="1:9" x14ac:dyDescent="0.2">
      <c r="A131" s="441"/>
      <c r="B131" s="441"/>
      <c r="C131" s="441"/>
      <c r="D131" s="441"/>
      <c r="E131" s="441"/>
      <c r="F131" s="441"/>
      <c r="G131" s="441"/>
      <c r="H131" s="441"/>
      <c r="I131" s="441"/>
    </row>
    <row r="132" spans="1:9" ht="15.75" x14ac:dyDescent="0.25">
      <c r="A132" s="441"/>
      <c r="B132" s="456" t="s">
        <v>427</v>
      </c>
      <c r="C132" s="441"/>
      <c r="D132" s="441"/>
      <c r="E132" s="441"/>
      <c r="F132" s="441"/>
      <c r="G132" s="441"/>
      <c r="H132" s="441"/>
      <c r="I132" s="441"/>
    </row>
    <row r="133" spans="1:9" x14ac:dyDescent="0.2">
      <c r="A133" s="441"/>
      <c r="B133" s="441"/>
      <c r="C133" s="441"/>
      <c r="D133" s="441"/>
      <c r="E133" s="441"/>
      <c r="F133" s="441"/>
      <c r="G133" s="441"/>
      <c r="H133" s="441"/>
      <c r="I133" s="441"/>
    </row>
    <row r="134" spans="1:9" x14ac:dyDescent="0.2">
      <c r="A134" s="441"/>
      <c r="B134" s="441"/>
      <c r="C134" s="441"/>
      <c r="D134" s="441"/>
      <c r="E134" s="441"/>
      <c r="F134" s="441"/>
      <c r="G134" s="441"/>
      <c r="H134" s="441"/>
      <c r="I134" s="441"/>
    </row>
    <row r="135" spans="1:9" x14ac:dyDescent="0.2">
      <c r="A135" s="441"/>
      <c r="B135" s="441"/>
      <c r="C135" s="441"/>
      <c r="D135" s="441"/>
      <c r="E135" s="441"/>
      <c r="F135" s="441"/>
      <c r="G135" s="441"/>
      <c r="H135" s="441"/>
      <c r="I135" s="441"/>
    </row>
    <row r="136" spans="1:9" x14ac:dyDescent="0.2">
      <c r="A136" s="441"/>
      <c r="B136" s="441"/>
      <c r="C136" s="441"/>
      <c r="D136" s="441"/>
      <c r="E136" s="441"/>
      <c r="F136" s="441"/>
      <c r="G136" s="441"/>
      <c r="H136" s="441"/>
      <c r="I136" s="441"/>
    </row>
    <row r="137" spans="1:9" x14ac:dyDescent="0.2">
      <c r="A137" s="441"/>
      <c r="B137" s="441"/>
      <c r="C137" s="441"/>
      <c r="D137" s="441"/>
      <c r="E137" s="441"/>
      <c r="F137" s="441"/>
      <c r="G137" s="441"/>
      <c r="H137" s="441"/>
      <c r="I137" s="441"/>
    </row>
    <row r="138" spans="1:9" x14ac:dyDescent="0.2">
      <c r="A138" s="441"/>
      <c r="B138" s="441"/>
      <c r="C138" s="441"/>
      <c r="D138" s="441"/>
      <c r="E138" s="441"/>
      <c r="F138" s="441"/>
      <c r="G138" s="441"/>
      <c r="H138" s="441"/>
      <c r="I138" s="441"/>
    </row>
    <row r="139" spans="1:9" x14ac:dyDescent="0.2">
      <c r="A139" s="441"/>
      <c r="B139" s="441"/>
      <c r="C139" s="441"/>
      <c r="D139" s="441"/>
      <c r="E139" s="441"/>
      <c r="F139" s="441"/>
      <c r="G139" s="441"/>
      <c r="H139" s="441"/>
      <c r="I139" s="441"/>
    </row>
    <row r="140" spans="1:9" x14ac:dyDescent="0.2">
      <c r="A140" s="441"/>
      <c r="B140" s="441"/>
      <c r="C140" s="441"/>
      <c r="D140" s="441"/>
      <c r="E140" s="441"/>
      <c r="F140" s="441"/>
      <c r="G140" s="441"/>
      <c r="H140" s="441"/>
      <c r="I140" s="441"/>
    </row>
    <row r="141" spans="1:9" x14ac:dyDescent="0.2">
      <c r="A141" s="441"/>
      <c r="B141" s="441"/>
      <c r="C141" s="441"/>
      <c r="D141" s="441"/>
      <c r="E141" s="441"/>
      <c r="F141" s="441"/>
      <c r="G141" s="441"/>
      <c r="H141" s="441"/>
      <c r="I141" s="441"/>
    </row>
    <row r="142" spans="1:9" x14ac:dyDescent="0.2">
      <c r="A142" s="441"/>
      <c r="B142" s="441"/>
      <c r="C142" s="441"/>
      <c r="D142" s="441"/>
      <c r="E142" s="441"/>
      <c r="F142" s="441"/>
      <c r="G142" s="441"/>
      <c r="H142" s="441"/>
      <c r="I142" s="441"/>
    </row>
    <row r="143" spans="1:9" x14ac:dyDescent="0.2">
      <c r="A143" s="441"/>
      <c r="B143" s="441"/>
      <c r="C143" s="441"/>
      <c r="D143" s="441"/>
      <c r="E143" s="441"/>
      <c r="F143" s="441"/>
      <c r="G143" s="441"/>
      <c r="H143" s="441"/>
      <c r="I143" s="441"/>
    </row>
    <row r="144" spans="1:9" x14ac:dyDescent="0.2">
      <c r="A144" s="441"/>
      <c r="B144" s="441"/>
      <c r="C144" s="441"/>
      <c r="D144" s="441"/>
      <c r="E144" s="441"/>
      <c r="F144" s="441"/>
      <c r="G144" s="441"/>
      <c r="H144" s="441"/>
      <c r="I144" s="441"/>
    </row>
    <row r="145" spans="1:9" x14ac:dyDescent="0.2">
      <c r="A145" s="441"/>
      <c r="B145" s="441"/>
      <c r="C145" s="441"/>
      <c r="D145" s="441"/>
      <c r="E145" s="441"/>
      <c r="F145" s="441"/>
      <c r="G145" s="441"/>
      <c r="H145" s="441"/>
      <c r="I145" s="441"/>
    </row>
    <row r="146" spans="1:9" x14ac:dyDescent="0.2">
      <c r="A146" s="441"/>
      <c r="B146" s="441"/>
      <c r="C146" s="441"/>
      <c r="D146" s="441"/>
      <c r="E146" s="441"/>
      <c r="F146" s="441"/>
      <c r="G146" s="441"/>
      <c r="H146" s="441"/>
      <c r="I146" s="441"/>
    </row>
    <row r="147" spans="1:9" x14ac:dyDescent="0.2">
      <c r="A147" s="441"/>
      <c r="B147" s="441"/>
      <c r="C147" s="441"/>
      <c r="D147" s="441"/>
      <c r="E147" s="441"/>
      <c r="F147" s="441"/>
      <c r="G147" s="441"/>
      <c r="H147" s="441"/>
      <c r="I147" s="441"/>
    </row>
    <row r="148" spans="1:9" x14ac:dyDescent="0.2">
      <c r="A148" s="441"/>
      <c r="B148" s="441"/>
      <c r="C148" s="441"/>
      <c r="D148" s="441"/>
      <c r="E148" s="441"/>
      <c r="F148" s="441"/>
      <c r="G148" s="441"/>
      <c r="H148" s="441"/>
      <c r="I148" s="441"/>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BS86"/>
  <sheetViews>
    <sheetView showZeros="0" topLeftCell="E1" workbookViewId="0">
      <selection activeCell="P12" sqref="P12"/>
    </sheetView>
  </sheetViews>
  <sheetFormatPr defaultRowHeight="15" x14ac:dyDescent="0.2"/>
  <cols>
    <col min="2" max="2" width="24.44140625" customWidth="1"/>
    <col min="4" max="4" width="13.21875" bestFit="1" customWidth="1"/>
    <col min="5" max="5" width="11.88671875" customWidth="1"/>
    <col min="6" max="6" width="8.33203125" bestFit="1" customWidth="1"/>
    <col min="7" max="7" width="16.88671875" customWidth="1"/>
    <col min="8" max="8" width="10" customWidth="1"/>
    <col min="9" max="9" width="10.21875" customWidth="1"/>
    <col min="10" max="10" width="8.33203125" bestFit="1" customWidth="1"/>
    <col min="11" max="11" width="7.5546875" bestFit="1" customWidth="1"/>
    <col min="21" max="21" width="8.33203125" bestFit="1" customWidth="1"/>
    <col min="22" max="22" width="11.109375" customWidth="1"/>
    <col min="23" max="23" width="41.88671875" customWidth="1"/>
    <col min="24" max="24" width="11.5546875" customWidth="1"/>
    <col min="25" max="25" width="9.88671875" customWidth="1"/>
    <col min="26" max="26" width="12.77734375" customWidth="1"/>
    <col min="27" max="27" width="9" bestFit="1" customWidth="1"/>
    <col min="28" max="28" width="10.33203125" customWidth="1"/>
    <col min="29" max="29" width="11.33203125" customWidth="1"/>
    <col min="30" max="30" width="11.21875" customWidth="1"/>
    <col min="31" max="31" width="10.5546875" customWidth="1"/>
    <col min="32" max="32" width="10.77734375" customWidth="1"/>
    <col min="33" max="33" width="10.21875" customWidth="1"/>
    <col min="34" max="34" width="10" customWidth="1"/>
    <col min="35" max="35" width="10.109375" customWidth="1"/>
    <col min="36" max="36" width="8.77734375" customWidth="1"/>
    <col min="37" max="37" width="9.44140625" customWidth="1"/>
    <col min="38" max="38" width="10.6640625" customWidth="1"/>
    <col min="39" max="39" width="11.44140625" customWidth="1"/>
    <col min="40" max="40" width="9.5546875" customWidth="1"/>
    <col min="41" max="41" width="10.88671875" customWidth="1"/>
    <col min="42" max="42" width="8.77734375" customWidth="1"/>
    <col min="43" max="43" width="9" customWidth="1"/>
    <col min="44" max="44" width="10.21875" customWidth="1"/>
    <col min="45" max="45" width="11.44140625" customWidth="1"/>
    <col min="46" max="46" width="10.33203125" customWidth="1"/>
    <col min="47" max="47" width="13.109375" customWidth="1"/>
    <col min="48" max="48" width="12.33203125" customWidth="1"/>
    <col min="49" max="49" width="11.44140625" customWidth="1"/>
    <col min="50" max="50" width="9.109375" customWidth="1"/>
    <col min="51" max="51" width="14.33203125" customWidth="1"/>
    <col min="52" max="52" width="11.5546875" customWidth="1"/>
  </cols>
  <sheetData>
    <row r="1" spans="1:71" ht="20.100000000000001" customHeight="1" x14ac:dyDescent="0.25">
      <c r="V1" s="10"/>
      <c r="W1" s="10" t="s">
        <v>1</v>
      </c>
      <c r="X1" s="10"/>
      <c r="Y1" s="10"/>
      <c r="Z1" s="10"/>
      <c r="AA1" s="10"/>
      <c r="AB1" s="10"/>
      <c r="AC1" s="10"/>
      <c r="AD1" s="10"/>
      <c r="AE1" s="10"/>
      <c r="AF1" s="10"/>
      <c r="AG1" s="10"/>
      <c r="AH1" s="10"/>
      <c r="AI1" s="10"/>
      <c r="AJ1" s="10"/>
      <c r="AK1" s="10"/>
      <c r="AL1" s="10"/>
      <c r="AM1" s="10"/>
      <c r="AN1" s="10"/>
      <c r="AO1" s="10"/>
      <c r="AP1" s="10"/>
      <c r="AQ1" s="10"/>
      <c r="AR1" s="17" t="s">
        <v>139</v>
      </c>
      <c r="AT1" s="10"/>
      <c r="AU1" s="10"/>
    </row>
    <row r="2" spans="1:71" ht="20.100000000000001" customHeight="1" x14ac:dyDescent="0.25">
      <c r="B2" s="8" t="s">
        <v>142</v>
      </c>
      <c r="V2" s="10"/>
      <c r="W2" s="7" t="e">
        <f>#REF!</f>
        <v>#REF!</v>
      </c>
      <c r="X2" s="10"/>
      <c r="Y2" s="10"/>
      <c r="Z2" s="10"/>
      <c r="AA2" s="10"/>
      <c r="AB2" s="66"/>
      <c r="AC2" s="97"/>
      <c r="AD2" s="10"/>
      <c r="AE2" s="10"/>
      <c r="AF2" s="10"/>
      <c r="AG2" s="10"/>
      <c r="AH2" s="10"/>
      <c r="AI2" s="10"/>
      <c r="AJ2" s="10"/>
      <c r="AK2" s="10"/>
      <c r="AL2" s="10"/>
      <c r="AM2" s="10"/>
      <c r="AN2" s="10"/>
      <c r="AO2" s="10"/>
      <c r="AP2" s="10"/>
      <c r="AQ2" s="10"/>
      <c r="AR2" s="10"/>
      <c r="AS2" s="10"/>
      <c r="AT2" s="10"/>
      <c r="AU2" s="10"/>
      <c r="AX2" s="19"/>
      <c r="AY2" s="20"/>
      <c r="AZ2" s="3"/>
      <c r="BA2" s="3"/>
      <c r="BB2" s="3"/>
      <c r="BC2" s="3"/>
      <c r="BD2" s="3"/>
      <c r="BE2" s="3"/>
      <c r="BF2" s="3"/>
      <c r="BG2" s="3"/>
    </row>
    <row r="3" spans="1:71" ht="20.100000000000001" customHeight="1" x14ac:dyDescent="0.25">
      <c r="B3" s="9" t="s">
        <v>6</v>
      </c>
      <c r="C3" s="9" t="s">
        <v>7</v>
      </c>
      <c r="D3" t="s">
        <v>41</v>
      </c>
      <c r="E3" t="s">
        <v>42</v>
      </c>
      <c r="F3" s="9" t="s">
        <v>5</v>
      </c>
      <c r="G3" t="s">
        <v>8</v>
      </c>
      <c r="H3" s="1304" t="s">
        <v>43</v>
      </c>
      <c r="I3" s="1304"/>
      <c r="V3" s="10"/>
      <c r="W3" s="18" t="e">
        <f>+#REF!</f>
        <v>#REF!</v>
      </c>
      <c r="X3" s="23"/>
      <c r="Y3" s="23"/>
      <c r="Z3" s="24" t="s">
        <v>48</v>
      </c>
      <c r="AA3" s="25"/>
      <c r="AB3" s="23"/>
      <c r="AC3" s="23"/>
      <c r="AD3" s="23"/>
      <c r="AE3" s="23"/>
      <c r="AF3" s="23"/>
      <c r="AG3" s="23"/>
      <c r="AH3" s="23"/>
      <c r="AI3" s="23"/>
      <c r="AJ3" s="23"/>
      <c r="AK3" s="23"/>
      <c r="AL3" s="23"/>
      <c r="AM3" s="10"/>
      <c r="AN3" s="10"/>
      <c r="AO3" s="10"/>
      <c r="AP3" s="10"/>
      <c r="AQ3" s="10"/>
      <c r="AR3" s="10"/>
      <c r="AS3" s="10"/>
      <c r="AT3" s="10"/>
      <c r="AU3" s="10"/>
      <c r="AX3" s="3"/>
      <c r="AY3" s="3"/>
      <c r="AZ3" s="3"/>
      <c r="BA3" s="3"/>
      <c r="BB3" s="3"/>
      <c r="BC3" s="3"/>
      <c r="BD3" s="3"/>
      <c r="BE3" s="3"/>
      <c r="BF3" s="3"/>
      <c r="BG3" s="3"/>
    </row>
    <row r="4" spans="1:71" ht="20.100000000000001" customHeight="1" x14ac:dyDescent="0.25">
      <c r="B4" s="21"/>
      <c r="C4" s="22" t="s">
        <v>9</v>
      </c>
      <c r="D4" s="21" t="s">
        <v>44</v>
      </c>
      <c r="E4" s="21" t="s">
        <v>45</v>
      </c>
      <c r="F4" s="105" t="s">
        <v>201</v>
      </c>
      <c r="G4" s="21" t="s">
        <v>11</v>
      </c>
      <c r="H4" s="22" t="s">
        <v>39</v>
      </c>
      <c r="I4" s="22" t="s">
        <v>10</v>
      </c>
      <c r="J4" s="21" t="s">
        <v>46</v>
      </c>
      <c r="K4" s="21" t="s">
        <v>47</v>
      </c>
      <c r="V4" s="10"/>
      <c r="W4" s="27" t="s">
        <v>49</v>
      </c>
      <c r="X4" s="23"/>
      <c r="Y4" s="23"/>
      <c r="Z4" s="23"/>
      <c r="AA4" s="28"/>
      <c r="AB4" s="23"/>
      <c r="AC4" s="23"/>
      <c r="AD4" s="23"/>
      <c r="AE4" s="23"/>
      <c r="AF4" s="23"/>
      <c r="AG4" s="23"/>
      <c r="AH4" s="23"/>
      <c r="AI4" s="10"/>
      <c r="AJ4" s="23"/>
      <c r="AK4" s="23"/>
      <c r="AL4" s="23"/>
      <c r="AO4" s="10"/>
      <c r="AP4" s="10"/>
      <c r="AQ4" s="29" t="s">
        <v>134</v>
      </c>
      <c r="AS4" s="10"/>
      <c r="AT4" s="10"/>
      <c r="AU4" s="10"/>
      <c r="AX4" s="3"/>
      <c r="AY4" s="30"/>
      <c r="AZ4" s="30"/>
      <c r="BA4" s="30"/>
      <c r="BB4" s="30"/>
      <c r="BC4" s="30"/>
      <c r="BD4" s="30"/>
      <c r="BE4" s="30"/>
      <c r="BF4" s="30"/>
      <c r="BG4" s="30"/>
    </row>
    <row r="5" spans="1:71" ht="20.100000000000001" customHeight="1" x14ac:dyDescent="0.25">
      <c r="B5" s="26"/>
      <c r="C5" s="26"/>
      <c r="D5" s="26"/>
      <c r="E5" s="26"/>
      <c r="F5" s="26"/>
      <c r="G5" s="26"/>
      <c r="H5" s="26"/>
      <c r="I5" s="26"/>
      <c r="V5" s="10"/>
      <c r="W5" s="31" t="s">
        <v>50</v>
      </c>
      <c r="X5" s="32" t="s">
        <v>51</v>
      </c>
      <c r="Y5" s="32" t="s">
        <v>52</v>
      </c>
      <c r="Z5" s="32" t="s">
        <v>53</v>
      </c>
      <c r="AA5" s="32" t="s">
        <v>54</v>
      </c>
      <c r="AB5" s="32" t="s">
        <v>55</v>
      </c>
      <c r="AC5" s="32" t="s">
        <v>56</v>
      </c>
      <c r="AD5" s="32" t="s">
        <v>57</v>
      </c>
      <c r="AE5" s="32" t="s">
        <v>58</v>
      </c>
      <c r="AF5" s="32" t="s">
        <v>59</v>
      </c>
      <c r="AG5" s="32" t="s">
        <v>60</v>
      </c>
      <c r="AH5" s="32" t="s">
        <v>61</v>
      </c>
      <c r="AI5" s="32" t="s">
        <v>62</v>
      </c>
      <c r="AJ5" s="32" t="s">
        <v>63</v>
      </c>
      <c r="AK5" s="32" t="s">
        <v>64</v>
      </c>
      <c r="AL5" s="32" t="s">
        <v>65</v>
      </c>
      <c r="AM5" s="32" t="s">
        <v>66</v>
      </c>
      <c r="AN5" s="32" t="s">
        <v>67</v>
      </c>
      <c r="AO5" s="32" t="s">
        <v>68</v>
      </c>
      <c r="AP5" s="32" t="s">
        <v>69</v>
      </c>
      <c r="AQ5" s="32" t="s">
        <v>70</v>
      </c>
      <c r="AR5" s="32" t="s">
        <v>71</v>
      </c>
      <c r="AS5" s="32" t="s">
        <v>72</v>
      </c>
      <c r="AT5" s="32" t="s">
        <v>157</v>
      </c>
      <c r="AU5" s="33"/>
      <c r="AX5" s="3"/>
      <c r="AY5" s="82" t="s">
        <v>73</v>
      </c>
      <c r="AZ5" s="83"/>
      <c r="BA5" s="20"/>
      <c r="BB5" s="84"/>
      <c r="BC5" s="84"/>
      <c r="BD5" s="84"/>
      <c r="BE5" s="84"/>
      <c r="BF5" s="84"/>
      <c r="BG5" s="84"/>
      <c r="BH5" s="84"/>
      <c r="BI5" s="84"/>
      <c r="BJ5" s="82"/>
      <c r="BK5" s="82"/>
      <c r="BL5" s="82"/>
      <c r="BM5" s="82"/>
      <c r="BN5" s="82"/>
      <c r="BO5" s="82"/>
      <c r="BP5" s="82"/>
      <c r="BQ5" s="82"/>
      <c r="BR5" s="82"/>
      <c r="BS5" s="82"/>
    </row>
    <row r="6" spans="1:71" ht="20.100000000000001" customHeight="1" x14ac:dyDescent="0.25">
      <c r="A6" s="34"/>
      <c r="C6" t="e">
        <f>#REF!</f>
        <v>#REF!</v>
      </c>
      <c r="D6" t="e">
        <f>C6*0</f>
        <v>#REF!</v>
      </c>
      <c r="E6" t="e">
        <f>C6*1</f>
        <v>#REF!</v>
      </c>
      <c r="V6" s="10"/>
      <c r="W6" s="35" t="s">
        <v>74</v>
      </c>
      <c r="X6" s="36">
        <v>0</v>
      </c>
      <c r="Y6" s="36">
        <v>0.7</v>
      </c>
      <c r="Z6" s="36">
        <v>0.8</v>
      </c>
      <c r="AA6" s="36">
        <v>0.9</v>
      </c>
      <c r="AB6" s="36">
        <v>0.9</v>
      </c>
      <c r="AC6" s="36">
        <v>0.9</v>
      </c>
      <c r="AD6" s="36">
        <v>0.9</v>
      </c>
      <c r="AE6" s="36">
        <v>0.9</v>
      </c>
      <c r="AF6" s="36">
        <v>0.9</v>
      </c>
      <c r="AG6" s="36">
        <v>0.9</v>
      </c>
      <c r="AH6" s="36">
        <v>0.9</v>
      </c>
      <c r="AI6" s="36">
        <v>0.9</v>
      </c>
      <c r="AJ6" s="36">
        <v>0.9</v>
      </c>
      <c r="AK6" s="36">
        <v>0.9</v>
      </c>
      <c r="AL6" s="36">
        <v>0.9</v>
      </c>
      <c r="AM6" s="36">
        <v>0.9</v>
      </c>
      <c r="AN6" s="36">
        <v>0.9</v>
      </c>
      <c r="AO6" s="36">
        <v>0.9</v>
      </c>
      <c r="AP6" s="36">
        <v>0.9</v>
      </c>
      <c r="AQ6" s="36">
        <v>0.9</v>
      </c>
      <c r="AR6" s="36">
        <v>0.9</v>
      </c>
      <c r="AS6" s="36">
        <v>0.9</v>
      </c>
      <c r="AT6" s="36">
        <f>$AC$6*0</f>
        <v>0</v>
      </c>
      <c r="AU6" s="37"/>
      <c r="AX6" s="3"/>
      <c r="AY6" s="82" t="s">
        <v>75</v>
      </c>
      <c r="AZ6" s="38">
        <v>0.15</v>
      </c>
      <c r="BA6" s="84"/>
      <c r="BB6" s="84"/>
      <c r="BC6" s="84"/>
      <c r="BD6" s="84"/>
      <c r="BE6" s="84"/>
      <c r="BF6" s="84"/>
      <c r="BG6" s="84"/>
      <c r="BH6" s="84"/>
      <c r="BI6" s="84"/>
      <c r="BJ6" s="82"/>
      <c r="BK6" s="82"/>
      <c r="BL6" s="82"/>
      <c r="BM6" s="82"/>
      <c r="BN6" s="82"/>
      <c r="BO6" s="82"/>
      <c r="BP6" s="82"/>
      <c r="BQ6" s="82"/>
      <c r="BR6" s="82"/>
      <c r="BS6" s="82"/>
    </row>
    <row r="7" spans="1:71" ht="20.100000000000001" customHeight="1" x14ac:dyDescent="0.25">
      <c r="A7" s="34"/>
      <c r="B7" s="9" t="s">
        <v>14</v>
      </c>
      <c r="C7" s="102" t="e">
        <f>#REF!</f>
        <v>#REF!</v>
      </c>
      <c r="D7" t="e">
        <f>#REF!</f>
        <v>#REF!</v>
      </c>
      <c r="E7" t="e">
        <f>#REF!</f>
        <v>#REF!</v>
      </c>
      <c r="F7" t="e">
        <f>#REF!</f>
        <v>#REF!</v>
      </c>
      <c r="G7" t="e">
        <f>D7+E7+F7</f>
        <v>#REF!</v>
      </c>
      <c r="H7" t="e">
        <f>+G7*0</f>
        <v>#REF!</v>
      </c>
      <c r="I7" t="e">
        <f>+G7*1</f>
        <v>#REF!</v>
      </c>
      <c r="K7" t="e">
        <f>+J7+I7</f>
        <v>#REF!</v>
      </c>
      <c r="V7" s="10"/>
      <c r="W7" s="39" t="s">
        <v>76</v>
      </c>
      <c r="X7" s="40" t="e">
        <f>$D$14*X6*0</f>
        <v>#REF!</v>
      </c>
      <c r="Y7" s="40" t="e">
        <f>$D$14*Y6*8/12</f>
        <v>#REF!</v>
      </c>
      <c r="Z7" s="40" t="e">
        <f>$D$14*Z6</f>
        <v>#REF!</v>
      </c>
      <c r="AA7" s="40" t="e">
        <f t="shared" ref="AA7:AQ7" si="0">$D$14*AA6</f>
        <v>#REF!</v>
      </c>
      <c r="AB7" s="40" t="e">
        <f t="shared" si="0"/>
        <v>#REF!</v>
      </c>
      <c r="AC7" s="40" t="e">
        <f t="shared" si="0"/>
        <v>#REF!</v>
      </c>
      <c r="AD7" s="40" t="e">
        <f t="shared" si="0"/>
        <v>#REF!</v>
      </c>
      <c r="AE7" s="40" t="e">
        <f t="shared" si="0"/>
        <v>#REF!</v>
      </c>
      <c r="AF7" s="40" t="e">
        <f t="shared" si="0"/>
        <v>#REF!</v>
      </c>
      <c r="AG7" s="40" t="e">
        <f t="shared" si="0"/>
        <v>#REF!</v>
      </c>
      <c r="AH7" s="40" t="e">
        <f t="shared" si="0"/>
        <v>#REF!</v>
      </c>
      <c r="AI7" s="40" t="e">
        <f t="shared" si="0"/>
        <v>#REF!</v>
      </c>
      <c r="AJ7" s="40" t="e">
        <f t="shared" si="0"/>
        <v>#REF!</v>
      </c>
      <c r="AK7" s="40" t="e">
        <f t="shared" si="0"/>
        <v>#REF!</v>
      </c>
      <c r="AL7" s="40" t="e">
        <f t="shared" si="0"/>
        <v>#REF!</v>
      </c>
      <c r="AM7" s="40" t="e">
        <f t="shared" si="0"/>
        <v>#REF!</v>
      </c>
      <c r="AN7" s="40" t="e">
        <f t="shared" si="0"/>
        <v>#REF!</v>
      </c>
      <c r="AO7" s="40" t="e">
        <f t="shared" si="0"/>
        <v>#REF!</v>
      </c>
      <c r="AP7" s="40" t="e">
        <f t="shared" si="0"/>
        <v>#REF!</v>
      </c>
      <c r="AQ7" s="40" t="e">
        <f t="shared" si="0"/>
        <v>#REF!</v>
      </c>
      <c r="AR7" s="40" t="e">
        <f>$D$14*AR6</f>
        <v>#REF!</v>
      </c>
      <c r="AS7" s="40" t="e">
        <f>$D$14*AS6*4/12</f>
        <v>#REF!</v>
      </c>
      <c r="AT7" s="40" t="e">
        <f>$D$14*AT6*5/12</f>
        <v>#REF!</v>
      </c>
      <c r="AU7" s="23"/>
      <c r="AX7" s="3"/>
      <c r="AY7" s="85" t="s">
        <v>77</v>
      </c>
      <c r="AZ7" s="85">
        <v>1</v>
      </c>
      <c r="BA7" s="85">
        <v>2</v>
      </c>
      <c r="BB7" s="85">
        <v>3</v>
      </c>
      <c r="BC7" s="85">
        <v>4</v>
      </c>
      <c r="BD7" s="85">
        <v>5</v>
      </c>
      <c r="BE7" s="85">
        <v>6</v>
      </c>
      <c r="BF7" s="85">
        <v>7</v>
      </c>
      <c r="BG7" s="85">
        <v>8</v>
      </c>
      <c r="BH7" s="85">
        <v>9</v>
      </c>
      <c r="BI7" s="85">
        <v>10</v>
      </c>
      <c r="BJ7" s="85">
        <v>11</v>
      </c>
      <c r="BK7" s="85">
        <v>12</v>
      </c>
      <c r="BL7" s="85">
        <v>13</v>
      </c>
      <c r="BM7" s="85">
        <v>14</v>
      </c>
      <c r="BN7" s="85">
        <v>15</v>
      </c>
      <c r="BO7" s="85">
        <v>16</v>
      </c>
      <c r="BP7" s="85">
        <v>17</v>
      </c>
      <c r="BQ7" s="85">
        <v>18</v>
      </c>
      <c r="BR7" s="85">
        <v>19</v>
      </c>
      <c r="BS7" s="85">
        <v>20</v>
      </c>
    </row>
    <row r="8" spans="1:71" ht="20.100000000000001" customHeight="1" x14ac:dyDescent="0.25">
      <c r="B8" s="9" t="s">
        <v>133</v>
      </c>
      <c r="C8" s="102" t="e">
        <f>#REF!</f>
        <v>#REF!</v>
      </c>
      <c r="D8" t="e">
        <f>#REF!</f>
        <v>#REF!</v>
      </c>
      <c r="E8" t="e">
        <f>#REF!</f>
        <v>#REF!</v>
      </c>
      <c r="F8" t="e">
        <f>#REF!</f>
        <v>#REF!</v>
      </c>
      <c r="G8" t="e">
        <f>D8+E8+F8</f>
        <v>#REF!</v>
      </c>
      <c r="H8" t="e">
        <f>+G8*0</f>
        <v>#REF!</v>
      </c>
      <c r="I8" t="e">
        <f>+G8*1</f>
        <v>#REF!</v>
      </c>
      <c r="J8">
        <v>0</v>
      </c>
      <c r="K8" t="e">
        <f>+J8+I8</f>
        <v>#REF!</v>
      </c>
      <c r="V8" s="10"/>
      <c r="W8" s="39" t="s">
        <v>152</v>
      </c>
      <c r="X8" s="40" t="e">
        <f>+X30+X31</f>
        <v>#REF!</v>
      </c>
      <c r="Y8" s="40" t="e">
        <f>+Y30+Y31</f>
        <v>#REF!</v>
      </c>
      <c r="Z8" s="40" t="e">
        <f t="shared" ref="Z8:AS8" si="1">+Z30+Z31</f>
        <v>#REF!</v>
      </c>
      <c r="AA8" s="40" t="e">
        <f t="shared" si="1"/>
        <v>#REF!</v>
      </c>
      <c r="AB8" s="40" t="e">
        <f t="shared" si="1"/>
        <v>#REF!</v>
      </c>
      <c r="AC8" s="40" t="e">
        <f t="shared" si="1"/>
        <v>#REF!</v>
      </c>
      <c r="AD8" s="40" t="e">
        <f t="shared" si="1"/>
        <v>#REF!</v>
      </c>
      <c r="AE8" s="40" t="e">
        <f t="shared" si="1"/>
        <v>#REF!</v>
      </c>
      <c r="AF8" s="40" t="e">
        <f t="shared" si="1"/>
        <v>#REF!</v>
      </c>
      <c r="AG8" s="40" t="e">
        <f t="shared" si="1"/>
        <v>#REF!</v>
      </c>
      <c r="AH8" s="40" t="e">
        <f t="shared" si="1"/>
        <v>#REF!</v>
      </c>
      <c r="AI8" s="40" t="e">
        <f t="shared" si="1"/>
        <v>#REF!</v>
      </c>
      <c r="AJ8" s="40" t="e">
        <f t="shared" si="1"/>
        <v>#REF!</v>
      </c>
      <c r="AK8" s="40" t="e">
        <f t="shared" si="1"/>
        <v>#REF!</v>
      </c>
      <c r="AL8" s="40" t="e">
        <f t="shared" si="1"/>
        <v>#REF!</v>
      </c>
      <c r="AM8" s="40" t="e">
        <f t="shared" si="1"/>
        <v>#REF!</v>
      </c>
      <c r="AN8" s="40" t="e">
        <f t="shared" si="1"/>
        <v>#REF!</v>
      </c>
      <c r="AO8" s="40" t="e">
        <f t="shared" si="1"/>
        <v>#REF!</v>
      </c>
      <c r="AP8" s="40" t="e">
        <f t="shared" si="1"/>
        <v>#REF!</v>
      </c>
      <c r="AQ8" s="40" t="e">
        <f t="shared" si="1"/>
        <v>#REF!</v>
      </c>
      <c r="AR8" s="40" t="e">
        <f t="shared" si="1"/>
        <v>#REF!</v>
      </c>
      <c r="AS8" s="40" t="e">
        <f t="shared" si="1"/>
        <v>#REF!</v>
      </c>
      <c r="AT8" s="40" t="e">
        <f t="shared" ref="AT8" si="2">+AT30+AT31</f>
        <v>#REF!</v>
      </c>
      <c r="AU8" s="23"/>
      <c r="AV8" s="23" t="s">
        <v>79</v>
      </c>
      <c r="AX8" s="3"/>
      <c r="AY8" s="82" t="s">
        <v>129</v>
      </c>
      <c r="AZ8" s="30" t="e">
        <f>D17</f>
        <v>#REF!</v>
      </c>
      <c r="BA8" s="30" t="e">
        <f t="shared" ref="BA8:BS8" si="3">+AZ10</f>
        <v>#REF!</v>
      </c>
      <c r="BB8" s="30" t="e">
        <f t="shared" si="3"/>
        <v>#REF!</v>
      </c>
      <c r="BC8" s="30" t="e">
        <f t="shared" si="3"/>
        <v>#REF!</v>
      </c>
      <c r="BD8" s="30" t="e">
        <f t="shared" si="3"/>
        <v>#REF!</v>
      </c>
      <c r="BE8" s="30" t="e">
        <f t="shared" si="3"/>
        <v>#REF!</v>
      </c>
      <c r="BF8" s="30" t="e">
        <f t="shared" si="3"/>
        <v>#REF!</v>
      </c>
      <c r="BG8" s="30" t="e">
        <f t="shared" si="3"/>
        <v>#REF!</v>
      </c>
      <c r="BH8" s="30" t="e">
        <f t="shared" si="3"/>
        <v>#REF!</v>
      </c>
      <c r="BI8" s="30" t="e">
        <f t="shared" si="3"/>
        <v>#REF!</v>
      </c>
      <c r="BJ8" s="30" t="e">
        <f t="shared" si="3"/>
        <v>#REF!</v>
      </c>
      <c r="BK8" s="30" t="e">
        <f t="shared" si="3"/>
        <v>#REF!</v>
      </c>
      <c r="BL8" s="30" t="e">
        <f t="shared" si="3"/>
        <v>#REF!</v>
      </c>
      <c r="BM8" s="30" t="e">
        <f t="shared" si="3"/>
        <v>#REF!</v>
      </c>
      <c r="BN8" s="30" t="e">
        <f t="shared" si="3"/>
        <v>#REF!</v>
      </c>
      <c r="BO8" s="30" t="e">
        <f t="shared" si="3"/>
        <v>#REF!</v>
      </c>
      <c r="BP8" s="30" t="e">
        <f t="shared" si="3"/>
        <v>#REF!</v>
      </c>
      <c r="BQ8" s="30" t="e">
        <f t="shared" si="3"/>
        <v>#REF!</v>
      </c>
      <c r="BR8" s="30" t="e">
        <f t="shared" si="3"/>
        <v>#REF!</v>
      </c>
      <c r="BS8" s="30" t="e">
        <f t="shared" si="3"/>
        <v>#REF!</v>
      </c>
    </row>
    <row r="9" spans="1:71" ht="20.100000000000001" customHeight="1" x14ac:dyDescent="0.25">
      <c r="B9" s="9" t="s">
        <v>156</v>
      </c>
      <c r="C9" s="102" t="e">
        <f>#REF!</f>
        <v>#REF!</v>
      </c>
      <c r="D9" t="e">
        <f>#REF!</f>
        <v>#REF!</v>
      </c>
      <c r="E9" t="e">
        <f>#REF!</f>
        <v>#REF!</v>
      </c>
      <c r="F9" t="e">
        <f>#REF!</f>
        <v>#REF!</v>
      </c>
      <c r="G9" t="e">
        <f>D9+E9+F9</f>
        <v>#REF!</v>
      </c>
      <c r="H9" t="e">
        <f>+G9*0</f>
        <v>#REF!</v>
      </c>
      <c r="I9" t="e">
        <f>+G9*1</f>
        <v>#REF!</v>
      </c>
      <c r="J9">
        <v>0</v>
      </c>
      <c r="K9" t="e">
        <f>+J9+I9</f>
        <v>#REF!</v>
      </c>
      <c r="V9" s="10"/>
      <c r="W9" s="39" t="s">
        <v>123</v>
      </c>
      <c r="X9" s="39"/>
      <c r="Y9" s="39" t="e">
        <f>AZ9</f>
        <v>#REF!</v>
      </c>
      <c r="Z9" s="39" t="e">
        <f t="shared" ref="Z9:AT9" si="4">BA9</f>
        <v>#REF!</v>
      </c>
      <c r="AA9" s="39" t="e">
        <f t="shared" si="4"/>
        <v>#REF!</v>
      </c>
      <c r="AB9" s="39" t="e">
        <f t="shared" si="4"/>
        <v>#REF!</v>
      </c>
      <c r="AC9" s="39" t="e">
        <f t="shared" si="4"/>
        <v>#REF!</v>
      </c>
      <c r="AD9" s="39" t="e">
        <f t="shared" si="4"/>
        <v>#REF!</v>
      </c>
      <c r="AE9" s="39" t="e">
        <f t="shared" si="4"/>
        <v>#REF!</v>
      </c>
      <c r="AF9" s="39" t="e">
        <f t="shared" si="4"/>
        <v>#REF!</v>
      </c>
      <c r="AG9" s="39" t="e">
        <f t="shared" si="4"/>
        <v>#REF!</v>
      </c>
      <c r="AH9" s="39" t="e">
        <f t="shared" si="4"/>
        <v>#REF!</v>
      </c>
      <c r="AI9" s="39" t="e">
        <f t="shared" si="4"/>
        <v>#REF!</v>
      </c>
      <c r="AJ9" s="39" t="e">
        <f t="shared" si="4"/>
        <v>#REF!</v>
      </c>
      <c r="AK9" s="39" t="e">
        <f t="shared" si="4"/>
        <v>#REF!</v>
      </c>
      <c r="AL9" s="39" t="e">
        <f t="shared" si="4"/>
        <v>#REF!</v>
      </c>
      <c r="AM9" s="39" t="e">
        <f t="shared" si="4"/>
        <v>#REF!</v>
      </c>
      <c r="AN9" s="39" t="e">
        <f t="shared" si="4"/>
        <v>#REF!</v>
      </c>
      <c r="AO9" s="39" t="e">
        <f t="shared" si="4"/>
        <v>#REF!</v>
      </c>
      <c r="AP9" s="39" t="e">
        <f t="shared" si="4"/>
        <v>#REF!</v>
      </c>
      <c r="AQ9" s="39" t="e">
        <f t="shared" si="4"/>
        <v>#REF!</v>
      </c>
      <c r="AR9" s="39">
        <f t="shared" si="4"/>
        <v>0</v>
      </c>
      <c r="AS9" s="39">
        <f t="shared" si="4"/>
        <v>0</v>
      </c>
      <c r="AT9" s="39">
        <f t="shared" si="4"/>
        <v>0</v>
      </c>
      <c r="AU9" s="23" t="e">
        <f>SUM(Y9:AS9)</f>
        <v>#REF!</v>
      </c>
      <c r="AV9" s="23" t="e">
        <f>+D17*0.95</f>
        <v>#REF!</v>
      </c>
      <c r="AX9" s="3"/>
      <c r="AY9" s="82" t="s">
        <v>130</v>
      </c>
      <c r="AZ9" s="30" t="e">
        <f>+AZ8*$AZ$6*2/12</f>
        <v>#REF!</v>
      </c>
      <c r="BA9" s="30" t="e">
        <f t="shared" ref="BA9:BQ9" si="5">+BA8*$AZ$6</f>
        <v>#REF!</v>
      </c>
      <c r="BB9" s="30" t="e">
        <f t="shared" si="5"/>
        <v>#REF!</v>
      </c>
      <c r="BC9" s="30" t="e">
        <f t="shared" si="5"/>
        <v>#REF!</v>
      </c>
      <c r="BD9" s="30" t="e">
        <f t="shared" si="5"/>
        <v>#REF!</v>
      </c>
      <c r="BE9" s="30" t="e">
        <f t="shared" si="5"/>
        <v>#REF!</v>
      </c>
      <c r="BF9" s="30" t="e">
        <f t="shared" si="5"/>
        <v>#REF!</v>
      </c>
      <c r="BG9" s="30" t="e">
        <f t="shared" si="5"/>
        <v>#REF!</v>
      </c>
      <c r="BH9" s="30" t="e">
        <f t="shared" si="5"/>
        <v>#REF!</v>
      </c>
      <c r="BI9" s="30" t="e">
        <f t="shared" si="5"/>
        <v>#REF!</v>
      </c>
      <c r="BJ9" s="30" t="e">
        <f t="shared" si="5"/>
        <v>#REF!</v>
      </c>
      <c r="BK9" s="30" t="e">
        <f t="shared" si="5"/>
        <v>#REF!</v>
      </c>
      <c r="BL9" s="30" t="e">
        <f t="shared" si="5"/>
        <v>#REF!</v>
      </c>
      <c r="BM9" s="30" t="e">
        <f t="shared" si="5"/>
        <v>#REF!</v>
      </c>
      <c r="BN9" s="30" t="e">
        <f t="shared" si="5"/>
        <v>#REF!</v>
      </c>
      <c r="BO9" s="30" t="e">
        <f t="shared" si="5"/>
        <v>#REF!</v>
      </c>
      <c r="BP9" s="30" t="e">
        <f t="shared" si="5"/>
        <v>#REF!</v>
      </c>
      <c r="BQ9" s="30" t="e">
        <f t="shared" si="5"/>
        <v>#REF!</v>
      </c>
      <c r="BR9" s="30" t="e">
        <f>AZ12-SUM(AZ9:BQ9)</f>
        <v>#REF!</v>
      </c>
      <c r="BS9" s="30"/>
    </row>
    <row r="10" spans="1:71" ht="20.100000000000001" customHeight="1" x14ac:dyDescent="0.25">
      <c r="B10" s="9" t="s">
        <v>78</v>
      </c>
      <c r="C10" s="102" t="e">
        <f>#REF!</f>
        <v>#REF!</v>
      </c>
      <c r="D10" t="e">
        <f>#REF!</f>
        <v>#REF!</v>
      </c>
      <c r="E10" t="e">
        <f>#REF!</f>
        <v>#REF!</v>
      </c>
      <c r="F10" t="e">
        <f>#REF!</f>
        <v>#REF!</v>
      </c>
      <c r="G10" t="e">
        <f>D10+E10+F10</f>
        <v>#REF!</v>
      </c>
      <c r="H10" t="e">
        <f>+G10*0</f>
        <v>#REF!</v>
      </c>
      <c r="I10" t="e">
        <f>G10*1</f>
        <v>#REF!</v>
      </c>
      <c r="K10" t="e">
        <f>+J10+I10</f>
        <v>#REF!</v>
      </c>
      <c r="N10" s="26"/>
      <c r="O10" s="26"/>
      <c r="P10" s="26"/>
      <c r="Q10" s="26"/>
      <c r="R10" s="26"/>
      <c r="S10" s="26"/>
      <c r="T10" s="26"/>
      <c r="V10" s="10"/>
      <c r="W10" s="39" t="s">
        <v>80</v>
      </c>
      <c r="X10" s="39" t="e">
        <f t="shared" ref="X10:AS10" si="6">+X7-X8-X9</f>
        <v>#REF!</v>
      </c>
      <c r="Y10" s="39" t="e">
        <f t="shared" si="6"/>
        <v>#REF!</v>
      </c>
      <c r="Z10" s="39" t="e">
        <f t="shared" si="6"/>
        <v>#REF!</v>
      </c>
      <c r="AA10" s="39" t="e">
        <f t="shared" si="6"/>
        <v>#REF!</v>
      </c>
      <c r="AB10" s="39" t="e">
        <f t="shared" si="6"/>
        <v>#REF!</v>
      </c>
      <c r="AC10" s="39" t="e">
        <f t="shared" si="6"/>
        <v>#REF!</v>
      </c>
      <c r="AD10" s="39" t="e">
        <f t="shared" si="6"/>
        <v>#REF!</v>
      </c>
      <c r="AE10" s="39" t="e">
        <f t="shared" si="6"/>
        <v>#REF!</v>
      </c>
      <c r="AF10" s="39" t="e">
        <f t="shared" si="6"/>
        <v>#REF!</v>
      </c>
      <c r="AG10" s="39" t="e">
        <f t="shared" si="6"/>
        <v>#REF!</v>
      </c>
      <c r="AH10" s="39" t="e">
        <f t="shared" si="6"/>
        <v>#REF!</v>
      </c>
      <c r="AI10" s="39" t="e">
        <f t="shared" si="6"/>
        <v>#REF!</v>
      </c>
      <c r="AJ10" s="39" t="e">
        <f t="shared" si="6"/>
        <v>#REF!</v>
      </c>
      <c r="AK10" s="39" t="e">
        <f t="shared" si="6"/>
        <v>#REF!</v>
      </c>
      <c r="AL10" s="39" t="e">
        <f t="shared" si="6"/>
        <v>#REF!</v>
      </c>
      <c r="AM10" s="39" t="e">
        <f t="shared" si="6"/>
        <v>#REF!</v>
      </c>
      <c r="AN10" s="39" t="e">
        <f t="shared" si="6"/>
        <v>#REF!</v>
      </c>
      <c r="AO10" s="39" t="e">
        <f t="shared" si="6"/>
        <v>#REF!</v>
      </c>
      <c r="AP10" s="39" t="e">
        <f t="shared" si="6"/>
        <v>#REF!</v>
      </c>
      <c r="AQ10" s="39" t="e">
        <f t="shared" si="6"/>
        <v>#REF!</v>
      </c>
      <c r="AR10" s="39" t="e">
        <f t="shared" si="6"/>
        <v>#REF!</v>
      </c>
      <c r="AS10" s="39" t="e">
        <f t="shared" si="6"/>
        <v>#REF!</v>
      </c>
      <c r="AT10" s="39" t="e">
        <f t="shared" ref="AT10" si="7">+AT7-AT8-AT9</f>
        <v>#REF!</v>
      </c>
      <c r="AU10" s="23"/>
      <c r="AV10" s="23"/>
      <c r="AX10" s="3"/>
      <c r="AY10" s="82" t="s">
        <v>131</v>
      </c>
      <c r="AZ10" s="30" t="e">
        <f>+AZ8-AZ9</f>
        <v>#REF!</v>
      </c>
      <c r="BA10" s="30" t="e">
        <f t="shared" ref="BA10:BS10" si="8">+BA8-BA9</f>
        <v>#REF!</v>
      </c>
      <c r="BB10" s="30" t="e">
        <f t="shared" si="8"/>
        <v>#REF!</v>
      </c>
      <c r="BC10" s="30" t="e">
        <f t="shared" si="8"/>
        <v>#REF!</v>
      </c>
      <c r="BD10" s="30" t="e">
        <f t="shared" si="8"/>
        <v>#REF!</v>
      </c>
      <c r="BE10" s="30" t="e">
        <f t="shared" si="8"/>
        <v>#REF!</v>
      </c>
      <c r="BF10" s="30" t="e">
        <f t="shared" si="8"/>
        <v>#REF!</v>
      </c>
      <c r="BG10" s="30" t="e">
        <f t="shared" si="8"/>
        <v>#REF!</v>
      </c>
      <c r="BH10" s="30" t="e">
        <f t="shared" si="8"/>
        <v>#REF!</v>
      </c>
      <c r="BI10" s="30" t="e">
        <f t="shared" si="8"/>
        <v>#REF!</v>
      </c>
      <c r="BJ10" s="30" t="e">
        <f t="shared" si="8"/>
        <v>#REF!</v>
      </c>
      <c r="BK10" s="30" t="e">
        <f t="shared" si="8"/>
        <v>#REF!</v>
      </c>
      <c r="BL10" s="30" t="e">
        <f t="shared" si="8"/>
        <v>#REF!</v>
      </c>
      <c r="BM10" s="30" t="e">
        <f t="shared" si="8"/>
        <v>#REF!</v>
      </c>
      <c r="BN10" s="30" t="e">
        <f t="shared" si="8"/>
        <v>#REF!</v>
      </c>
      <c r="BO10" s="30" t="e">
        <f t="shared" si="8"/>
        <v>#REF!</v>
      </c>
      <c r="BP10" s="30" t="e">
        <f t="shared" si="8"/>
        <v>#REF!</v>
      </c>
      <c r="BQ10" s="30" t="e">
        <f t="shared" si="8"/>
        <v>#REF!</v>
      </c>
      <c r="BR10" s="30" t="e">
        <f t="shared" si="8"/>
        <v>#REF!</v>
      </c>
      <c r="BS10" s="30" t="e">
        <f t="shared" si="8"/>
        <v>#REF!</v>
      </c>
    </row>
    <row r="11" spans="1:71" ht="20.100000000000001" customHeight="1" x14ac:dyDescent="0.25">
      <c r="B11" s="41" t="s">
        <v>4</v>
      </c>
      <c r="C11" s="103" t="e">
        <f t="shared" ref="C11:K11" si="9">SUM(C7:C10)</f>
        <v>#REF!</v>
      </c>
      <c r="D11" s="41" t="e">
        <f t="shared" si="9"/>
        <v>#REF!</v>
      </c>
      <c r="E11" s="41" t="e">
        <f t="shared" si="9"/>
        <v>#REF!</v>
      </c>
      <c r="F11" s="41" t="e">
        <f t="shared" si="9"/>
        <v>#REF!</v>
      </c>
      <c r="G11" s="41" t="e">
        <f t="shared" si="9"/>
        <v>#REF!</v>
      </c>
      <c r="H11" s="41" t="e">
        <f t="shared" si="9"/>
        <v>#REF!</v>
      </c>
      <c r="I11" s="41" t="e">
        <f t="shared" si="9"/>
        <v>#REF!</v>
      </c>
      <c r="J11" s="41">
        <f t="shared" si="9"/>
        <v>0</v>
      </c>
      <c r="K11" s="41" t="e">
        <f t="shared" si="9"/>
        <v>#REF!</v>
      </c>
      <c r="M11" t="e">
        <f>+K11+H11</f>
        <v>#REF!</v>
      </c>
      <c r="V11" s="43">
        <f>30*1.12*1.04%</f>
        <v>0.34943999999999997</v>
      </c>
      <c r="W11" s="39" t="s">
        <v>151</v>
      </c>
      <c r="X11" s="39" t="e">
        <f t="shared" ref="X11:AS11" si="10">IF(X10&gt;0,X10*$V$11,0)*$V$12</f>
        <v>#REF!</v>
      </c>
      <c r="Y11" s="39" t="e">
        <f t="shared" si="10"/>
        <v>#REF!</v>
      </c>
      <c r="Z11" s="39" t="e">
        <f t="shared" si="10"/>
        <v>#REF!</v>
      </c>
      <c r="AA11" s="39" t="e">
        <f>IF(AA10&gt;0,AA10*$V$11,0)*$V$12</f>
        <v>#REF!</v>
      </c>
      <c r="AB11" s="39" t="e">
        <f t="shared" si="10"/>
        <v>#REF!</v>
      </c>
      <c r="AC11" s="39" t="e">
        <f t="shared" si="10"/>
        <v>#REF!</v>
      </c>
      <c r="AD11" s="39" t="e">
        <f t="shared" si="10"/>
        <v>#REF!</v>
      </c>
      <c r="AE11" s="39" t="e">
        <f t="shared" si="10"/>
        <v>#REF!</v>
      </c>
      <c r="AF11" s="39" t="e">
        <f t="shared" si="10"/>
        <v>#REF!</v>
      </c>
      <c r="AG11" s="39" t="e">
        <f t="shared" si="10"/>
        <v>#REF!</v>
      </c>
      <c r="AH11" s="39" t="e">
        <f t="shared" si="10"/>
        <v>#REF!</v>
      </c>
      <c r="AI11" s="39" t="e">
        <f t="shared" si="10"/>
        <v>#REF!</v>
      </c>
      <c r="AJ11" s="39" t="e">
        <f t="shared" si="10"/>
        <v>#REF!</v>
      </c>
      <c r="AK11" s="39" t="e">
        <f t="shared" si="10"/>
        <v>#REF!</v>
      </c>
      <c r="AL11" s="39" t="e">
        <f t="shared" si="10"/>
        <v>#REF!</v>
      </c>
      <c r="AM11" s="39" t="e">
        <f t="shared" si="10"/>
        <v>#REF!</v>
      </c>
      <c r="AN11" s="39" t="e">
        <f t="shared" si="10"/>
        <v>#REF!</v>
      </c>
      <c r="AO11" s="39" t="e">
        <f t="shared" si="10"/>
        <v>#REF!</v>
      </c>
      <c r="AP11" s="39" t="e">
        <f t="shared" si="10"/>
        <v>#REF!</v>
      </c>
      <c r="AQ11" s="39" t="e">
        <f t="shared" si="10"/>
        <v>#REF!</v>
      </c>
      <c r="AR11" s="39" t="e">
        <f t="shared" si="10"/>
        <v>#REF!</v>
      </c>
      <c r="AS11" s="39" t="e">
        <f t="shared" si="10"/>
        <v>#REF!</v>
      </c>
      <c r="AT11" s="39" t="e">
        <f t="shared" ref="AT11" si="11">IF(AT10&gt;0,AT10*$V$11,0)*$V$12</f>
        <v>#REF!</v>
      </c>
      <c r="AU11" s="23"/>
      <c r="AX11" s="3"/>
      <c r="AY11" s="82"/>
      <c r="AZ11" s="30"/>
      <c r="BA11" s="30"/>
      <c r="BB11" s="30"/>
      <c r="BC11" s="30"/>
      <c r="BD11" s="30"/>
      <c r="BE11" s="30"/>
      <c r="BF11" s="30"/>
      <c r="BG11" s="30"/>
      <c r="BH11" s="30"/>
      <c r="BI11" s="30"/>
      <c r="BJ11" s="86"/>
      <c r="BK11" s="86"/>
      <c r="BL11" s="86"/>
      <c r="BM11" s="86"/>
      <c r="BN11" s="86"/>
      <c r="BO11" s="82"/>
      <c r="BP11" s="82"/>
      <c r="BQ11" s="82"/>
      <c r="BR11" s="82"/>
      <c r="BS11" s="82"/>
    </row>
    <row r="12" spans="1:71" ht="20.100000000000001" customHeight="1" x14ac:dyDescent="0.25">
      <c r="B12" s="110" t="s">
        <v>236</v>
      </c>
      <c r="C12" t="e">
        <f>#REF!</f>
        <v>#REF!</v>
      </c>
      <c r="V12" s="10">
        <v>1</v>
      </c>
      <c r="W12" s="3"/>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23"/>
      <c r="AX12" s="3"/>
      <c r="AY12" s="82" t="s">
        <v>132</v>
      </c>
      <c r="AZ12" s="30" t="e">
        <f>D17*0.95</f>
        <v>#REF!</v>
      </c>
      <c r="BA12" s="30"/>
      <c r="BB12" s="30"/>
      <c r="BC12" s="84"/>
      <c r="BD12" s="84"/>
      <c r="BE12" s="84"/>
      <c r="BF12" s="30" t="e">
        <f>SUM(AZ9:BS9)</f>
        <v>#REF!</v>
      </c>
      <c r="BG12" s="84"/>
      <c r="BH12" s="84"/>
      <c r="BI12" s="84"/>
      <c r="BJ12" s="82"/>
      <c r="BK12" s="82"/>
      <c r="BL12" s="82"/>
      <c r="BM12" s="82"/>
      <c r="BN12" s="82"/>
      <c r="BO12" s="82"/>
      <c r="BP12" s="82"/>
      <c r="BQ12" s="82"/>
      <c r="BR12" s="82"/>
      <c r="BS12" s="82"/>
    </row>
    <row r="13" spans="1:71" ht="20.100000000000001" customHeight="1" x14ac:dyDescent="0.25">
      <c r="B13" s="26"/>
      <c r="C13" s="44"/>
      <c r="D13" s="44"/>
      <c r="E13" s="44"/>
      <c r="F13" s="44"/>
      <c r="G13" s="44"/>
      <c r="H13" s="44"/>
      <c r="I13" s="26"/>
      <c r="J13" s="11"/>
      <c r="K13" s="11"/>
      <c r="M13" t="e">
        <f>M11-C12</f>
        <v>#REF!</v>
      </c>
      <c r="V13" s="10"/>
      <c r="W13" s="39" t="s">
        <v>81</v>
      </c>
      <c r="X13" s="39" t="e">
        <f>+X10-X11</f>
        <v>#REF!</v>
      </c>
      <c r="Y13" s="39" t="e">
        <f>+Y10-Y11</f>
        <v>#REF!</v>
      </c>
      <c r="Z13" s="39" t="e">
        <f t="shared" ref="Z13:AS13" si="12">+Z10-Z11</f>
        <v>#REF!</v>
      </c>
      <c r="AA13" s="39" t="e">
        <f t="shared" si="12"/>
        <v>#REF!</v>
      </c>
      <c r="AB13" s="39" t="e">
        <f t="shared" si="12"/>
        <v>#REF!</v>
      </c>
      <c r="AC13" s="39" t="e">
        <f t="shared" si="12"/>
        <v>#REF!</v>
      </c>
      <c r="AD13" s="39" t="e">
        <f t="shared" si="12"/>
        <v>#REF!</v>
      </c>
      <c r="AE13" s="39" t="e">
        <f t="shared" si="12"/>
        <v>#REF!</v>
      </c>
      <c r="AF13" s="39" t="e">
        <f t="shared" si="12"/>
        <v>#REF!</v>
      </c>
      <c r="AG13" s="39" t="e">
        <f t="shared" si="12"/>
        <v>#REF!</v>
      </c>
      <c r="AH13" s="39" t="e">
        <f t="shared" si="12"/>
        <v>#REF!</v>
      </c>
      <c r="AI13" s="39" t="e">
        <f t="shared" si="12"/>
        <v>#REF!</v>
      </c>
      <c r="AJ13" s="39" t="e">
        <f t="shared" si="12"/>
        <v>#REF!</v>
      </c>
      <c r="AK13" s="39" t="e">
        <f t="shared" si="12"/>
        <v>#REF!</v>
      </c>
      <c r="AL13" s="39" t="e">
        <f t="shared" si="12"/>
        <v>#REF!</v>
      </c>
      <c r="AM13" s="39" t="e">
        <f t="shared" si="12"/>
        <v>#REF!</v>
      </c>
      <c r="AN13" s="39" t="e">
        <f t="shared" si="12"/>
        <v>#REF!</v>
      </c>
      <c r="AO13" s="39" t="e">
        <f t="shared" si="12"/>
        <v>#REF!</v>
      </c>
      <c r="AP13" s="39" t="e">
        <f t="shared" si="12"/>
        <v>#REF!</v>
      </c>
      <c r="AQ13" s="39" t="e">
        <f t="shared" si="12"/>
        <v>#REF!</v>
      </c>
      <c r="AR13" s="39" t="e">
        <f t="shared" si="12"/>
        <v>#REF!</v>
      </c>
      <c r="AS13" s="39" t="e">
        <f t="shared" si="12"/>
        <v>#REF!</v>
      </c>
      <c r="AT13" s="39" t="e">
        <f t="shared" ref="AT13" si="13">+AT10-AT11</f>
        <v>#REF!</v>
      </c>
      <c r="AU13" s="23"/>
      <c r="AX13" s="3"/>
      <c r="AY13" s="30"/>
      <c r="AZ13" s="30"/>
      <c r="BA13" s="30"/>
      <c r="BB13" s="30"/>
      <c r="BC13" s="30"/>
      <c r="BD13" s="30"/>
      <c r="BE13" s="30"/>
      <c r="BF13" s="30"/>
      <c r="BG13" s="30"/>
      <c r="BH13" s="82"/>
      <c r="BI13" s="82"/>
      <c r="BJ13" s="82"/>
      <c r="BK13" s="82"/>
      <c r="BL13" s="82"/>
      <c r="BM13" s="82"/>
      <c r="BN13" s="82"/>
      <c r="BO13" s="82"/>
      <c r="BP13" s="82"/>
      <c r="BQ13" s="82"/>
      <c r="BR13" s="82"/>
      <c r="BS13" s="82"/>
    </row>
    <row r="14" spans="1:71" ht="20.100000000000001" customHeight="1" x14ac:dyDescent="0.25">
      <c r="B14" t="s">
        <v>125</v>
      </c>
      <c r="C14" t="s">
        <v>126</v>
      </c>
      <c r="D14" t="e">
        <f>GM!F40</f>
        <v>#REF!</v>
      </c>
      <c r="V14" s="10"/>
      <c r="W14" s="45" t="s">
        <v>82</v>
      </c>
      <c r="X14" s="45"/>
      <c r="Y14" s="45" t="e">
        <f>+Y13+X14</f>
        <v>#REF!</v>
      </c>
      <c r="Z14" s="45" t="e">
        <f>+Z13+Y14</f>
        <v>#REF!</v>
      </c>
      <c r="AA14" s="45" t="e">
        <f t="shared" ref="AA14:AR14" si="14">+AA13+Z14</f>
        <v>#REF!</v>
      </c>
      <c r="AB14" s="45" t="e">
        <f t="shared" si="14"/>
        <v>#REF!</v>
      </c>
      <c r="AC14" s="45" t="e">
        <f t="shared" si="14"/>
        <v>#REF!</v>
      </c>
      <c r="AD14" s="45" t="e">
        <f t="shared" si="14"/>
        <v>#REF!</v>
      </c>
      <c r="AE14" s="45" t="e">
        <f t="shared" si="14"/>
        <v>#REF!</v>
      </c>
      <c r="AF14" s="45" t="e">
        <f t="shared" si="14"/>
        <v>#REF!</v>
      </c>
      <c r="AG14" s="45" t="e">
        <f t="shared" si="14"/>
        <v>#REF!</v>
      </c>
      <c r="AH14" s="45" t="e">
        <f t="shared" si="14"/>
        <v>#REF!</v>
      </c>
      <c r="AI14" s="45" t="e">
        <f t="shared" si="14"/>
        <v>#REF!</v>
      </c>
      <c r="AJ14" s="45" t="e">
        <f t="shared" si="14"/>
        <v>#REF!</v>
      </c>
      <c r="AK14" s="45" t="e">
        <f t="shared" si="14"/>
        <v>#REF!</v>
      </c>
      <c r="AL14" s="45" t="e">
        <f t="shared" si="14"/>
        <v>#REF!</v>
      </c>
      <c r="AM14" s="45" t="e">
        <f t="shared" si="14"/>
        <v>#REF!</v>
      </c>
      <c r="AN14" s="45" t="e">
        <f t="shared" si="14"/>
        <v>#REF!</v>
      </c>
      <c r="AO14" s="45" t="e">
        <f t="shared" si="14"/>
        <v>#REF!</v>
      </c>
      <c r="AP14" s="45" t="e">
        <f t="shared" si="14"/>
        <v>#REF!</v>
      </c>
      <c r="AQ14" s="45" t="e">
        <f t="shared" si="14"/>
        <v>#REF!</v>
      </c>
      <c r="AR14" s="45" t="e">
        <f t="shared" si="14"/>
        <v>#REF!</v>
      </c>
      <c r="AS14" s="45" t="e">
        <f>+AS13+AR14</f>
        <v>#REF!</v>
      </c>
      <c r="AT14" s="45" t="e">
        <f>+AT13+AS14</f>
        <v>#REF!</v>
      </c>
      <c r="AU14" s="23"/>
      <c r="AX14" s="3"/>
      <c r="AY14" s="30"/>
      <c r="AZ14" s="30"/>
      <c r="BA14" s="30"/>
      <c r="BB14" s="30"/>
      <c r="BC14" s="30"/>
      <c r="BD14" s="30"/>
      <c r="BE14" s="30"/>
      <c r="BF14" s="30"/>
      <c r="BG14" s="30"/>
    </row>
    <row r="15" spans="1:71" ht="20.100000000000001" customHeight="1" x14ac:dyDescent="0.25">
      <c r="B15" t="s">
        <v>114</v>
      </c>
      <c r="C15" t="s">
        <v>126</v>
      </c>
      <c r="D15" t="e">
        <f>G11</f>
        <v>#REF!</v>
      </c>
      <c r="F15" s="9"/>
      <c r="H15" s="1304"/>
      <c r="I15" s="1304"/>
      <c r="V15" s="10"/>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23"/>
      <c r="AX15" s="3"/>
      <c r="AY15" s="30"/>
      <c r="AZ15" s="30"/>
      <c r="BA15" s="30"/>
      <c r="BB15" s="30"/>
      <c r="BC15" s="30"/>
      <c r="BD15" s="30"/>
      <c r="BE15" s="30"/>
      <c r="BF15" s="30"/>
      <c r="BG15" s="30"/>
    </row>
    <row r="16" spans="1:71" ht="20.100000000000001" customHeight="1" x14ac:dyDescent="0.25">
      <c r="B16" s="110" t="s">
        <v>236</v>
      </c>
      <c r="C16" s="7" t="s">
        <v>126</v>
      </c>
      <c r="D16" s="79" t="e">
        <f>C12</f>
        <v>#REF!</v>
      </c>
      <c r="F16" s="67"/>
      <c r="H16" s="9"/>
      <c r="I16" s="9"/>
      <c r="V16" s="10"/>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23"/>
      <c r="AX16" s="3"/>
      <c r="AY16" s="30"/>
      <c r="AZ16" s="30"/>
      <c r="BA16" s="30"/>
      <c r="BB16" s="30"/>
      <c r="BC16" s="30"/>
      <c r="BD16" s="30"/>
      <c r="BE16" s="30"/>
      <c r="BF16" s="30"/>
      <c r="BG16" s="30"/>
    </row>
    <row r="17" spans="1:59" ht="20.100000000000001" customHeight="1" x14ac:dyDescent="0.25">
      <c r="B17" t="s">
        <v>238</v>
      </c>
      <c r="D17" t="e">
        <f>+D15-D16</f>
        <v>#REF!</v>
      </c>
      <c r="E17" s="26"/>
      <c r="F17" s="26"/>
      <c r="G17" s="26"/>
      <c r="H17" s="26"/>
      <c r="I17" s="26"/>
      <c r="V17" s="10"/>
      <c r="W17" s="3"/>
      <c r="X17" s="3"/>
      <c r="Y17" s="39"/>
      <c r="Z17" s="42" t="s">
        <v>84</v>
      </c>
      <c r="AA17" s="46"/>
      <c r="AB17" s="3"/>
      <c r="AC17" s="3"/>
      <c r="AD17" s="3"/>
      <c r="AE17" s="3"/>
      <c r="AF17" s="3"/>
      <c r="AG17" s="3"/>
      <c r="AH17" s="3"/>
      <c r="AI17" s="3"/>
      <c r="AJ17" s="3"/>
      <c r="AK17" s="3"/>
      <c r="AL17" s="3"/>
      <c r="AM17" s="3"/>
      <c r="AN17" s="3"/>
      <c r="AO17" s="3"/>
      <c r="AP17" s="3"/>
      <c r="AQ17" s="3"/>
      <c r="AR17" s="3"/>
      <c r="AS17" s="4"/>
      <c r="AT17" s="4"/>
      <c r="AU17" s="10"/>
      <c r="AX17" s="3"/>
      <c r="AY17" s="30"/>
      <c r="AZ17" s="30"/>
      <c r="BA17" s="30"/>
      <c r="BB17" s="30"/>
      <c r="BC17" s="30"/>
      <c r="BD17" s="30"/>
      <c r="BE17" s="3"/>
      <c r="BF17" s="3"/>
      <c r="BG17" s="3"/>
    </row>
    <row r="18" spans="1:59" ht="20.100000000000001" customHeight="1" x14ac:dyDescent="0.25">
      <c r="V18" s="10"/>
      <c r="W18" s="47" t="s">
        <v>85</v>
      </c>
      <c r="X18" s="39"/>
      <c r="Y18" s="39"/>
      <c r="Z18" s="39"/>
      <c r="AA18" s="48"/>
      <c r="AB18" s="39"/>
      <c r="AC18" s="39"/>
      <c r="AD18" s="39"/>
      <c r="AE18" s="39"/>
      <c r="AF18" s="39"/>
      <c r="AG18" s="39"/>
      <c r="AH18" s="39"/>
      <c r="AI18" s="39"/>
      <c r="AJ18" s="39"/>
      <c r="AK18" s="39"/>
      <c r="AL18" s="39"/>
      <c r="AM18" s="3"/>
      <c r="AN18" s="3"/>
      <c r="AO18" s="3"/>
      <c r="AP18" s="3"/>
      <c r="AQ18" s="3"/>
      <c r="AR18" s="3"/>
      <c r="AS18" s="3"/>
      <c r="AT18" s="3"/>
      <c r="AU18" s="10"/>
      <c r="AX18" s="3"/>
      <c r="AY18" s="30"/>
      <c r="AZ18" s="30"/>
      <c r="BA18" s="30"/>
      <c r="BB18" s="30"/>
      <c r="BC18" s="30"/>
      <c r="BD18" s="30"/>
      <c r="BE18" s="30"/>
      <c r="BF18" s="30"/>
      <c r="BG18" s="30"/>
    </row>
    <row r="19" spans="1:59" ht="20.100000000000001" customHeight="1" x14ac:dyDescent="0.25">
      <c r="B19" s="9"/>
      <c r="V19" s="10"/>
      <c r="W19" s="49" t="s">
        <v>86</v>
      </c>
      <c r="X19" s="50" t="str">
        <f t="shared" ref="X19:AS19" si="15">+X5</f>
        <v>Yr 1</v>
      </c>
      <c r="Y19" s="50" t="str">
        <f t="shared" si="15"/>
        <v>Yr 2</v>
      </c>
      <c r="Z19" s="50" t="str">
        <f t="shared" si="15"/>
        <v>Yr 3</v>
      </c>
      <c r="AA19" s="50" t="str">
        <f t="shared" si="15"/>
        <v>Yr 4</v>
      </c>
      <c r="AB19" s="50" t="str">
        <f t="shared" si="15"/>
        <v>Yr 5</v>
      </c>
      <c r="AC19" s="50" t="str">
        <f t="shared" si="15"/>
        <v>Yr 6</v>
      </c>
      <c r="AD19" s="50" t="str">
        <f t="shared" si="15"/>
        <v>Yr 7</v>
      </c>
      <c r="AE19" s="50" t="str">
        <f t="shared" si="15"/>
        <v>Yr 8</v>
      </c>
      <c r="AF19" s="50" t="str">
        <f t="shared" si="15"/>
        <v>Yr 9</v>
      </c>
      <c r="AG19" s="50" t="str">
        <f t="shared" si="15"/>
        <v>Yr 10</v>
      </c>
      <c r="AH19" s="50" t="str">
        <f t="shared" si="15"/>
        <v>Yr 11</v>
      </c>
      <c r="AI19" s="50" t="str">
        <f t="shared" si="15"/>
        <v>Yr 12</v>
      </c>
      <c r="AJ19" s="50" t="str">
        <f t="shared" si="15"/>
        <v>Yr 13</v>
      </c>
      <c r="AK19" s="50" t="str">
        <f t="shared" si="15"/>
        <v>Yr 14</v>
      </c>
      <c r="AL19" s="50" t="str">
        <f t="shared" si="15"/>
        <v>Yr 15</v>
      </c>
      <c r="AM19" s="50" t="str">
        <f t="shared" si="15"/>
        <v>Yr 16</v>
      </c>
      <c r="AN19" s="50" t="str">
        <f t="shared" si="15"/>
        <v>Yr 17</v>
      </c>
      <c r="AO19" s="50" t="str">
        <f t="shared" si="15"/>
        <v>Yr 18</v>
      </c>
      <c r="AP19" s="50" t="str">
        <f t="shared" si="15"/>
        <v>Yr 19</v>
      </c>
      <c r="AQ19" s="50" t="str">
        <f t="shared" si="15"/>
        <v>Yr 20</v>
      </c>
      <c r="AR19" s="50" t="str">
        <f t="shared" si="15"/>
        <v>Yr 21</v>
      </c>
      <c r="AS19" s="51" t="str">
        <f t="shared" si="15"/>
        <v>Yr 22</v>
      </c>
      <c r="AT19" s="51" t="str">
        <f t="shared" ref="AT19" si="16">+AT5</f>
        <v>Yr 23</v>
      </c>
      <c r="AU19" s="52"/>
    </row>
    <row r="20" spans="1:59" ht="20.100000000000001" customHeight="1" x14ac:dyDescent="0.25">
      <c r="B20" s="9"/>
      <c r="V20" s="10"/>
      <c r="W20" s="39" t="s">
        <v>87</v>
      </c>
      <c r="X20" s="39" t="e">
        <f t="shared" ref="X20:AS20" si="17">+X7</f>
        <v>#REF!</v>
      </c>
      <c r="Y20" s="39" t="e">
        <f t="shared" si="17"/>
        <v>#REF!</v>
      </c>
      <c r="Z20" s="39" t="e">
        <f t="shared" si="17"/>
        <v>#REF!</v>
      </c>
      <c r="AA20" s="39" t="e">
        <f t="shared" si="17"/>
        <v>#REF!</v>
      </c>
      <c r="AB20" s="39" t="e">
        <f t="shared" si="17"/>
        <v>#REF!</v>
      </c>
      <c r="AC20" s="39" t="e">
        <f t="shared" si="17"/>
        <v>#REF!</v>
      </c>
      <c r="AD20" s="39" t="e">
        <f t="shared" si="17"/>
        <v>#REF!</v>
      </c>
      <c r="AE20" s="39" t="e">
        <f t="shared" si="17"/>
        <v>#REF!</v>
      </c>
      <c r="AF20" s="39" t="e">
        <f t="shared" si="17"/>
        <v>#REF!</v>
      </c>
      <c r="AG20" s="39" t="e">
        <f t="shared" si="17"/>
        <v>#REF!</v>
      </c>
      <c r="AH20" s="39" t="e">
        <f t="shared" si="17"/>
        <v>#REF!</v>
      </c>
      <c r="AI20" s="39" t="e">
        <f t="shared" si="17"/>
        <v>#REF!</v>
      </c>
      <c r="AJ20" s="39" t="e">
        <f t="shared" si="17"/>
        <v>#REF!</v>
      </c>
      <c r="AK20" s="39" t="e">
        <f t="shared" si="17"/>
        <v>#REF!</v>
      </c>
      <c r="AL20" s="39" t="e">
        <f t="shared" si="17"/>
        <v>#REF!</v>
      </c>
      <c r="AM20" s="39" t="e">
        <f t="shared" si="17"/>
        <v>#REF!</v>
      </c>
      <c r="AN20" s="39" t="e">
        <f t="shared" si="17"/>
        <v>#REF!</v>
      </c>
      <c r="AO20" s="39" t="e">
        <f t="shared" si="17"/>
        <v>#REF!</v>
      </c>
      <c r="AP20" s="39" t="e">
        <f t="shared" si="17"/>
        <v>#REF!</v>
      </c>
      <c r="AQ20" s="39" t="e">
        <f t="shared" si="17"/>
        <v>#REF!</v>
      </c>
      <c r="AR20" s="39" t="e">
        <f t="shared" si="17"/>
        <v>#REF!</v>
      </c>
      <c r="AS20" s="39" t="e">
        <f t="shared" si="17"/>
        <v>#REF!</v>
      </c>
      <c r="AT20" s="39" t="e">
        <f t="shared" ref="AT20" si="18">+AT7</f>
        <v>#REF!</v>
      </c>
      <c r="AU20" s="23"/>
    </row>
    <row r="21" spans="1:59" ht="20.100000000000001" customHeight="1" x14ac:dyDescent="0.25">
      <c r="B21" s="9"/>
      <c r="V21" s="10" t="e">
        <f>SUM(X21:AA21)</f>
        <v>#REF!</v>
      </c>
      <c r="W21" s="39" t="s">
        <v>88</v>
      </c>
      <c r="X21" s="39" t="e">
        <f>H7</f>
        <v>#REF!</v>
      </c>
      <c r="Y21" s="39" t="e">
        <f>H8</f>
        <v>#REF!</v>
      </c>
      <c r="Z21" s="39" t="e">
        <f>H9+H10</f>
        <v>#REF!</v>
      </c>
      <c r="AA21" s="39"/>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23"/>
    </row>
    <row r="22" spans="1:59" ht="20.100000000000001" customHeight="1" x14ac:dyDescent="0.25">
      <c r="V22" s="10" t="e">
        <f>SUM(X22:AA22)</f>
        <v>#REF!</v>
      </c>
      <c r="W22" s="39" t="s">
        <v>135</v>
      </c>
      <c r="X22" s="39" t="e">
        <f>I7</f>
        <v>#REF!</v>
      </c>
      <c r="Y22" s="39" t="e">
        <f>I8+I10</f>
        <v>#REF!</v>
      </c>
      <c r="Z22" s="39" t="e">
        <f>(I9+I10)*0</f>
        <v>#REF!</v>
      </c>
      <c r="AA22" s="39"/>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23"/>
    </row>
    <row r="23" spans="1:59" ht="20.100000000000001" customHeight="1" x14ac:dyDescent="0.25">
      <c r="E23" s="26"/>
      <c r="F23" s="26"/>
      <c r="G23" s="26"/>
      <c r="H23" s="26"/>
      <c r="I23" s="26"/>
      <c r="V23" s="53" t="e">
        <f>+V22+V21</f>
        <v>#REF!</v>
      </c>
      <c r="W23" s="35" t="s">
        <v>4</v>
      </c>
      <c r="X23" s="35" t="e">
        <f>SUM(X20:X22)</f>
        <v>#REF!</v>
      </c>
      <c r="Y23" s="35" t="e">
        <f t="shared" ref="Y23:AS23" si="19">SUM(Y20:Y22)</f>
        <v>#REF!</v>
      </c>
      <c r="Z23" s="35" t="e">
        <f t="shared" si="19"/>
        <v>#REF!</v>
      </c>
      <c r="AA23" s="35" t="e">
        <f t="shared" si="19"/>
        <v>#REF!</v>
      </c>
      <c r="AB23" s="35" t="e">
        <f t="shared" si="19"/>
        <v>#REF!</v>
      </c>
      <c r="AC23" s="35" t="e">
        <f t="shared" si="19"/>
        <v>#REF!</v>
      </c>
      <c r="AD23" s="35" t="e">
        <f t="shared" si="19"/>
        <v>#REF!</v>
      </c>
      <c r="AE23" s="35" t="e">
        <f t="shared" si="19"/>
        <v>#REF!</v>
      </c>
      <c r="AF23" s="35" t="e">
        <f t="shared" si="19"/>
        <v>#REF!</v>
      </c>
      <c r="AG23" s="35" t="e">
        <f t="shared" si="19"/>
        <v>#REF!</v>
      </c>
      <c r="AH23" s="35" t="e">
        <f t="shared" si="19"/>
        <v>#REF!</v>
      </c>
      <c r="AI23" s="35" t="e">
        <f t="shared" si="19"/>
        <v>#REF!</v>
      </c>
      <c r="AJ23" s="35" t="e">
        <f t="shared" si="19"/>
        <v>#REF!</v>
      </c>
      <c r="AK23" s="35" t="e">
        <f t="shared" si="19"/>
        <v>#REF!</v>
      </c>
      <c r="AL23" s="35" t="e">
        <f t="shared" si="19"/>
        <v>#REF!</v>
      </c>
      <c r="AM23" s="35" t="e">
        <f t="shared" si="19"/>
        <v>#REF!</v>
      </c>
      <c r="AN23" s="35" t="e">
        <f t="shared" si="19"/>
        <v>#REF!</v>
      </c>
      <c r="AO23" s="35" t="e">
        <f t="shared" si="19"/>
        <v>#REF!</v>
      </c>
      <c r="AP23" s="35" t="e">
        <f t="shared" si="19"/>
        <v>#REF!</v>
      </c>
      <c r="AQ23" s="35" t="e">
        <f t="shared" si="19"/>
        <v>#REF!</v>
      </c>
      <c r="AR23" s="35" t="e">
        <f t="shared" si="19"/>
        <v>#REF!</v>
      </c>
      <c r="AS23" s="35" t="e">
        <f t="shared" si="19"/>
        <v>#REF!</v>
      </c>
      <c r="AT23" s="35" t="e">
        <f t="shared" ref="AT23" si="20">SUM(AT20:AT22)</f>
        <v>#REF!</v>
      </c>
      <c r="AU23" s="23"/>
    </row>
    <row r="24" spans="1:59" ht="20.100000000000001" customHeight="1" x14ac:dyDescent="0.25">
      <c r="V24" s="10"/>
      <c r="W24" s="3"/>
      <c r="X24" s="3"/>
      <c r="Y24" s="3"/>
      <c r="Z24" s="3"/>
      <c r="AA24" s="3"/>
      <c r="AB24" s="3"/>
      <c r="AC24" s="3"/>
      <c r="AD24" s="3"/>
      <c r="AE24" s="3"/>
      <c r="AF24" s="3"/>
      <c r="AG24" s="3"/>
      <c r="AH24" s="3"/>
      <c r="AI24" s="3"/>
      <c r="AJ24" s="3"/>
      <c r="AK24" s="3"/>
      <c r="AL24" s="3"/>
      <c r="AM24" s="3"/>
      <c r="AN24" s="3"/>
      <c r="AO24" s="3"/>
      <c r="AP24" s="3"/>
      <c r="AQ24" s="3"/>
      <c r="AR24" s="3"/>
      <c r="AS24" s="3"/>
      <c r="AT24" s="3"/>
      <c r="AU24" s="10"/>
    </row>
    <row r="25" spans="1:59" ht="20.100000000000001" customHeight="1" x14ac:dyDescent="0.25">
      <c r="D25" s="9" t="s">
        <v>140</v>
      </c>
      <c r="E25" s="9" t="s">
        <v>104</v>
      </c>
      <c r="F25" s="9" t="s">
        <v>106</v>
      </c>
      <c r="G25" s="9" t="s">
        <v>213</v>
      </c>
      <c r="H25" s="9" t="s">
        <v>214</v>
      </c>
      <c r="I25" s="9" t="s">
        <v>213</v>
      </c>
      <c r="V25" s="10"/>
      <c r="W25" s="39" t="s">
        <v>89</v>
      </c>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23"/>
    </row>
    <row r="26" spans="1:59" ht="20.100000000000001" customHeight="1" x14ac:dyDescent="0.25">
      <c r="D26">
        <v>1</v>
      </c>
      <c r="E26" t="e">
        <f>C7</f>
        <v>#REF!</v>
      </c>
      <c r="G26" s="115" t="e">
        <f>F26-E26</f>
        <v>#REF!</v>
      </c>
      <c r="H26" t="e">
        <f>$X$11</f>
        <v>#REF!</v>
      </c>
      <c r="I26" t="e">
        <f>G26-H26</f>
        <v>#REF!</v>
      </c>
      <c r="V26" s="10"/>
      <c r="W26" s="39" t="s">
        <v>90</v>
      </c>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23"/>
    </row>
    <row r="27" spans="1:59" ht="20.100000000000001" customHeight="1" x14ac:dyDescent="0.25">
      <c r="A27" s="34"/>
      <c r="D27">
        <f t="shared" ref="D27:D48" si="21">D26+1</f>
        <v>2</v>
      </c>
      <c r="E27" t="e">
        <f>C8+C10</f>
        <v>#REF!</v>
      </c>
      <c r="F27" t="e">
        <f>D14*0.6*8/12+D16/2</f>
        <v>#REF!</v>
      </c>
      <c r="G27" s="115" t="e">
        <f t="shared" ref="G27:G48" si="22">F27-E27</f>
        <v>#REF!</v>
      </c>
      <c r="H27" t="e">
        <f>$Y$11</f>
        <v>#REF!</v>
      </c>
      <c r="I27" t="e">
        <f t="shared" ref="I27:I48" si="23">G27-H27</f>
        <v>#REF!</v>
      </c>
      <c r="V27" s="10"/>
      <c r="W27" s="39" t="s">
        <v>91</v>
      </c>
      <c r="X27" s="39" t="e">
        <f t="shared" ref="X27:AA28" si="24">+X21</f>
        <v>#REF!</v>
      </c>
      <c r="Y27" s="39" t="e">
        <f t="shared" si="24"/>
        <v>#REF!</v>
      </c>
      <c r="Z27" s="39" t="e">
        <f t="shared" si="24"/>
        <v>#REF!</v>
      </c>
      <c r="AA27" s="39">
        <f t="shared" si="24"/>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23"/>
    </row>
    <row r="28" spans="1:59" ht="20.100000000000001" customHeight="1" x14ac:dyDescent="0.25">
      <c r="A28" s="34"/>
      <c r="B28" s="1"/>
      <c r="D28">
        <f t="shared" si="21"/>
        <v>3</v>
      </c>
      <c r="F28" t="e">
        <f>Z7+D16/2</f>
        <v>#REF!</v>
      </c>
      <c r="G28" s="115" t="e">
        <f t="shared" si="22"/>
        <v>#REF!</v>
      </c>
      <c r="H28" t="e">
        <f>$Z$11</f>
        <v>#REF!</v>
      </c>
      <c r="I28" t="e">
        <f t="shared" si="23"/>
        <v>#REF!</v>
      </c>
      <c r="V28" s="10"/>
      <c r="W28" s="39" t="s">
        <v>92</v>
      </c>
      <c r="X28" s="39" t="e">
        <f t="shared" si="24"/>
        <v>#REF!</v>
      </c>
      <c r="Y28" s="39" t="e">
        <f t="shared" si="24"/>
        <v>#REF!</v>
      </c>
      <c r="Z28" s="39" t="e">
        <f t="shared" si="24"/>
        <v>#REF!</v>
      </c>
      <c r="AA28" s="39">
        <f t="shared" si="24"/>
        <v>0</v>
      </c>
      <c r="AB28" s="39">
        <v>0</v>
      </c>
      <c r="AC28" s="39">
        <v>0</v>
      </c>
      <c r="AD28" s="39">
        <v>0</v>
      </c>
      <c r="AE28" s="39">
        <v>0</v>
      </c>
      <c r="AF28" s="39">
        <v>0</v>
      </c>
      <c r="AG28" s="39">
        <v>0</v>
      </c>
      <c r="AH28" s="39">
        <v>0</v>
      </c>
      <c r="AI28" s="39">
        <v>0</v>
      </c>
      <c r="AJ28" s="39"/>
      <c r="AK28" s="39">
        <v>0</v>
      </c>
      <c r="AL28" s="39">
        <v>0</v>
      </c>
      <c r="AM28" s="39">
        <v>0</v>
      </c>
      <c r="AN28" s="39">
        <v>0</v>
      </c>
      <c r="AO28" s="39">
        <v>0</v>
      </c>
      <c r="AP28" s="39">
        <v>0</v>
      </c>
      <c r="AQ28" s="39">
        <v>0</v>
      </c>
      <c r="AR28" s="39">
        <v>0</v>
      </c>
      <c r="AS28" s="39">
        <v>0</v>
      </c>
      <c r="AT28" s="39">
        <v>0</v>
      </c>
      <c r="AU28" s="23"/>
    </row>
    <row r="29" spans="1:59" ht="20.100000000000001" customHeight="1" x14ac:dyDescent="0.25">
      <c r="A29" s="34"/>
      <c r="B29" s="9"/>
      <c r="D29">
        <f t="shared" si="21"/>
        <v>4</v>
      </c>
      <c r="F29" t="e">
        <f>$AA$7</f>
        <v>#REF!</v>
      </c>
      <c r="G29" s="115" t="e">
        <f t="shared" si="22"/>
        <v>#REF!</v>
      </c>
      <c r="H29" t="e">
        <f>$AA$11</f>
        <v>#REF!</v>
      </c>
      <c r="I29" t="e">
        <f t="shared" si="23"/>
        <v>#REF!</v>
      </c>
      <c r="V29" s="10"/>
      <c r="W29" s="39" t="s">
        <v>93</v>
      </c>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23"/>
    </row>
    <row r="30" spans="1:59" ht="20.100000000000001" customHeight="1" x14ac:dyDescent="0.25">
      <c r="A30" s="34"/>
      <c r="D30">
        <f t="shared" si="21"/>
        <v>5</v>
      </c>
      <c r="F30" t="e">
        <f t="shared" ref="F30:F46" si="25">$AA$7</f>
        <v>#REF!</v>
      </c>
      <c r="G30" s="115" t="e">
        <f t="shared" si="22"/>
        <v>#REF!</v>
      </c>
      <c r="H30" t="e">
        <f>$AB$11</f>
        <v>#REF!</v>
      </c>
      <c r="I30" t="e">
        <f t="shared" si="23"/>
        <v>#REF!</v>
      </c>
      <c r="T30" t="s">
        <v>94</v>
      </c>
      <c r="U30" s="54">
        <v>0.1</v>
      </c>
      <c r="W30" s="55" t="s">
        <v>136</v>
      </c>
      <c r="X30" s="39" t="e">
        <f>+($X$28+$Y$28+$Z$28-SUM(W$32:$X32))*$U$30*0</f>
        <v>#REF!</v>
      </c>
      <c r="Y30" s="39" t="e">
        <f>+($X$28+$Y$28+$Z$28-SUM($X$32:X32))*$U$30*2/12</f>
        <v>#REF!</v>
      </c>
      <c r="Z30" s="39" t="e">
        <f>+($X$28+$Y$28+$Z$28-SUM($X$32:Y32))*$U$30</f>
        <v>#REF!</v>
      </c>
      <c r="AA30" s="39" t="e">
        <f>+($X$28+$Y$28+$Z$28-SUM($X$32:Z32))*$U$30</f>
        <v>#REF!</v>
      </c>
      <c r="AB30" s="39" t="e">
        <f>+($X$28+$Y$28+$Z$28-SUM($X$32:AA32))*$U$30</f>
        <v>#REF!</v>
      </c>
      <c r="AC30" s="39" t="e">
        <f>+($X$28+$Y$28+$Z$28-SUM($X$32:AB32))*$U$30</f>
        <v>#REF!</v>
      </c>
      <c r="AD30" s="39" t="e">
        <f>+($X$28+$Y$28+$Z$28-SUM($X$32:AC32))*$U$30</f>
        <v>#REF!</v>
      </c>
      <c r="AE30" s="39" t="e">
        <f>+($X$28+$Y$28+$Z$28-SUM($X$32:AD32))*$U$30</f>
        <v>#REF!</v>
      </c>
      <c r="AF30" s="39" t="e">
        <f>+($X$28+$Y$28+$Z$28-SUM($X$32:AE32))*$U$30</f>
        <v>#REF!</v>
      </c>
      <c r="AG30" s="39" t="e">
        <f>+($X$28+$Y$28+$Z$28-SUM($X$32:AF32))*$U$30</f>
        <v>#REF!</v>
      </c>
      <c r="AH30" s="39" t="e">
        <f>+($X$28+$Y$28+$Z$28-SUM($X$32:AG32))*$U$30</f>
        <v>#REF!</v>
      </c>
      <c r="AI30" s="39" t="e">
        <f>+($X$28+$Y$28+$Z$28-SUM($X$32:AH32))*$U$30</f>
        <v>#REF!</v>
      </c>
      <c r="AJ30" s="39" t="e">
        <f>+($X$28+$Y$28+$Z$28-SUM($X$32:AI32))*$U$30</f>
        <v>#REF!</v>
      </c>
      <c r="AK30" s="39" t="e">
        <f>+($X$28+$Y$28+$Z$28-SUM($X$32:AJ32))*$U$30</f>
        <v>#REF!</v>
      </c>
      <c r="AL30" s="39" t="e">
        <f>+($X$28+$Y$28+$Z$28-SUM($X$32:AK32))*$U$30</f>
        <v>#REF!</v>
      </c>
      <c r="AM30" s="39" t="e">
        <f>+($X$28+$Y$28+$Z$28-SUM($X$32:AL32))*$U$30</f>
        <v>#REF!</v>
      </c>
      <c r="AN30" s="39" t="e">
        <f>+($X$28+$Y$28+$Z$28-SUM($X$32:AM32))*$U$30</f>
        <v>#REF!</v>
      </c>
      <c r="AO30" s="39" t="e">
        <f>+($X$28+$Y$28+$Z$28-SUM($X$32:AN32))*$U$30</f>
        <v>#REF!</v>
      </c>
      <c r="AP30" s="39" t="e">
        <f>+($X$28+$Y$28+$Z$28-SUM($X$32:AO32))*$U$30</f>
        <v>#REF!</v>
      </c>
      <c r="AQ30" s="39" t="e">
        <f>+($X$28+$Y$28+$Z$28-SUM($X$32:AP32))*$U$30</f>
        <v>#REF!</v>
      </c>
      <c r="AR30" s="39" t="e">
        <f>+($X$28+$Y$28+$Z$28-SUM($X$32:AQ32))*$U$30</f>
        <v>#REF!</v>
      </c>
      <c r="AS30" s="39" t="e">
        <f>+($X$28+$Y$28+$Z$28-SUM($X$32:AR32))*$U$30</f>
        <v>#REF!</v>
      </c>
      <c r="AT30" s="39" t="e">
        <f>+($X$28+$Y$28+$Z$28-SUM($X$32:AS32))*$U$30</f>
        <v>#REF!</v>
      </c>
      <c r="AU30" s="23"/>
    </row>
    <row r="31" spans="1:59" ht="20.100000000000001" customHeight="1" x14ac:dyDescent="0.25">
      <c r="A31" s="34"/>
      <c r="B31" s="26"/>
      <c r="D31">
        <f t="shared" si="21"/>
        <v>6</v>
      </c>
      <c r="E31" s="26"/>
      <c r="F31" t="e">
        <f t="shared" si="25"/>
        <v>#REF!</v>
      </c>
      <c r="G31" s="115" t="e">
        <f t="shared" si="22"/>
        <v>#REF!</v>
      </c>
      <c r="H31" t="e">
        <f>$AC$11</f>
        <v>#REF!</v>
      </c>
      <c r="I31" t="e">
        <f t="shared" si="23"/>
        <v>#REF!</v>
      </c>
      <c r="T31" t="s">
        <v>95</v>
      </c>
      <c r="U31" s="54">
        <v>0.1</v>
      </c>
      <c r="V31" s="54"/>
      <c r="W31" s="55" t="s">
        <v>83</v>
      </c>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23"/>
    </row>
    <row r="32" spans="1:59" ht="20.100000000000001" customHeight="1" x14ac:dyDescent="0.25">
      <c r="A32" s="34"/>
      <c r="D32">
        <f t="shared" si="21"/>
        <v>7</v>
      </c>
      <c r="F32" t="e">
        <f t="shared" si="25"/>
        <v>#REF!</v>
      </c>
      <c r="G32" s="115" t="e">
        <f t="shared" si="22"/>
        <v>#REF!</v>
      </c>
      <c r="H32" t="e">
        <f>$AD$11</f>
        <v>#REF!</v>
      </c>
      <c r="I32" t="e">
        <f t="shared" si="23"/>
        <v>#REF!</v>
      </c>
      <c r="V32" s="10" t="e">
        <f>SUM(X32:AS32)</f>
        <v>#REF!</v>
      </c>
      <c r="W32" s="39" t="s">
        <v>96</v>
      </c>
      <c r="X32" s="39">
        <f>+AY14</f>
        <v>0</v>
      </c>
      <c r="Y32" s="39"/>
      <c r="Z32" s="39"/>
      <c r="AA32" s="39" t="e">
        <f>+$V$22/10</f>
        <v>#REF!</v>
      </c>
      <c r="AB32" s="39" t="e">
        <f t="shared" ref="AB32:AJ32" si="26">+$V$22/10</f>
        <v>#REF!</v>
      </c>
      <c r="AC32" s="39" t="e">
        <f t="shared" si="26"/>
        <v>#REF!</v>
      </c>
      <c r="AD32" s="39" t="e">
        <f t="shared" si="26"/>
        <v>#REF!</v>
      </c>
      <c r="AE32" s="39" t="e">
        <f t="shared" si="26"/>
        <v>#REF!</v>
      </c>
      <c r="AF32" s="39" t="e">
        <f t="shared" si="26"/>
        <v>#REF!</v>
      </c>
      <c r="AG32" s="39" t="e">
        <f t="shared" si="26"/>
        <v>#REF!</v>
      </c>
      <c r="AH32" s="39" t="e">
        <f t="shared" si="26"/>
        <v>#REF!</v>
      </c>
      <c r="AI32" s="39" t="e">
        <f t="shared" si="26"/>
        <v>#REF!</v>
      </c>
      <c r="AJ32" s="39" t="e">
        <f t="shared" si="26"/>
        <v>#REF!</v>
      </c>
      <c r="AK32" s="39"/>
      <c r="AL32" s="39"/>
      <c r="AM32" s="39"/>
      <c r="AN32" s="39"/>
      <c r="AO32" s="39"/>
      <c r="AP32" s="39"/>
      <c r="AQ32" s="39"/>
      <c r="AR32" s="39"/>
      <c r="AS32" s="39"/>
      <c r="AT32" s="39"/>
      <c r="AU32" s="23"/>
    </row>
    <row r="33" spans="1:50" ht="20.100000000000001" customHeight="1" x14ac:dyDescent="0.25">
      <c r="A33" s="34"/>
      <c r="B33" s="9"/>
      <c r="D33">
        <f t="shared" si="21"/>
        <v>8</v>
      </c>
      <c r="F33" t="e">
        <f t="shared" si="25"/>
        <v>#REF!</v>
      </c>
      <c r="G33" s="115" t="e">
        <f t="shared" si="22"/>
        <v>#REF!</v>
      </c>
      <c r="H33" t="e">
        <f>$AE$11</f>
        <v>#REF!</v>
      </c>
      <c r="I33" t="e">
        <f t="shared" si="23"/>
        <v>#REF!</v>
      </c>
      <c r="V33" s="10"/>
      <c r="W33" s="45" t="s">
        <v>97</v>
      </c>
      <c r="X33" s="45" t="e">
        <f>+X11</f>
        <v>#REF!</v>
      </c>
      <c r="Y33" s="45" t="e">
        <f t="shared" ref="Y33:AS33" si="27">+Y11</f>
        <v>#REF!</v>
      </c>
      <c r="Z33" s="45" t="e">
        <f>+Z11</f>
        <v>#REF!</v>
      </c>
      <c r="AA33" s="45" t="e">
        <f t="shared" si="27"/>
        <v>#REF!</v>
      </c>
      <c r="AB33" s="45" t="e">
        <f t="shared" si="27"/>
        <v>#REF!</v>
      </c>
      <c r="AC33" s="45" t="e">
        <f t="shared" si="27"/>
        <v>#REF!</v>
      </c>
      <c r="AD33" s="45" t="e">
        <f t="shared" si="27"/>
        <v>#REF!</v>
      </c>
      <c r="AE33" s="45" t="e">
        <f t="shared" si="27"/>
        <v>#REF!</v>
      </c>
      <c r="AF33" s="45" t="e">
        <f t="shared" si="27"/>
        <v>#REF!</v>
      </c>
      <c r="AG33" s="45" t="e">
        <f t="shared" si="27"/>
        <v>#REF!</v>
      </c>
      <c r="AH33" s="45" t="e">
        <f t="shared" si="27"/>
        <v>#REF!</v>
      </c>
      <c r="AI33" s="45" t="e">
        <f t="shared" si="27"/>
        <v>#REF!</v>
      </c>
      <c r="AJ33" s="45" t="e">
        <f t="shared" si="27"/>
        <v>#REF!</v>
      </c>
      <c r="AK33" s="45" t="e">
        <f t="shared" si="27"/>
        <v>#REF!</v>
      </c>
      <c r="AL33" s="45" t="e">
        <f t="shared" si="27"/>
        <v>#REF!</v>
      </c>
      <c r="AM33" s="45" t="e">
        <f t="shared" si="27"/>
        <v>#REF!</v>
      </c>
      <c r="AN33" s="45" t="e">
        <f t="shared" si="27"/>
        <v>#REF!</v>
      </c>
      <c r="AO33" s="45" t="e">
        <f t="shared" si="27"/>
        <v>#REF!</v>
      </c>
      <c r="AP33" s="45" t="e">
        <f t="shared" si="27"/>
        <v>#REF!</v>
      </c>
      <c r="AQ33" s="45" t="e">
        <f t="shared" si="27"/>
        <v>#REF!</v>
      </c>
      <c r="AR33" s="45" t="e">
        <f t="shared" si="27"/>
        <v>#REF!</v>
      </c>
      <c r="AS33" s="45" t="e">
        <f t="shared" si="27"/>
        <v>#REF!</v>
      </c>
      <c r="AT33" s="45" t="e">
        <f t="shared" ref="AT33" si="28">+AT11</f>
        <v>#REF!</v>
      </c>
      <c r="AU33" s="23"/>
    </row>
    <row r="34" spans="1:50" ht="20.100000000000001" customHeight="1" x14ac:dyDescent="0.25">
      <c r="A34" s="34">
        <f>SUM(A27:A32)</f>
        <v>0</v>
      </c>
      <c r="B34" s="9"/>
      <c r="D34">
        <f t="shared" si="21"/>
        <v>9</v>
      </c>
      <c r="F34" t="e">
        <f t="shared" si="25"/>
        <v>#REF!</v>
      </c>
      <c r="G34" s="115" t="e">
        <f t="shared" si="22"/>
        <v>#REF!</v>
      </c>
      <c r="H34" t="e">
        <f>$AF$11</f>
        <v>#REF!</v>
      </c>
      <c r="I34" t="e">
        <f t="shared" si="23"/>
        <v>#REF!</v>
      </c>
      <c r="V34" s="10"/>
      <c r="W34" s="39" t="s">
        <v>4</v>
      </c>
      <c r="X34" s="39" t="e">
        <f>SUM(X26:X33)</f>
        <v>#REF!</v>
      </c>
      <c r="Y34" s="39" t="e">
        <f>SUM(Y26:Y33)</f>
        <v>#REF!</v>
      </c>
      <c r="Z34" s="39" t="e">
        <f t="shared" ref="Z34:AS34" si="29">SUM(Z26:Z33)</f>
        <v>#REF!</v>
      </c>
      <c r="AA34" s="39" t="e">
        <f t="shared" si="29"/>
        <v>#REF!</v>
      </c>
      <c r="AB34" s="39" t="e">
        <f t="shared" si="29"/>
        <v>#REF!</v>
      </c>
      <c r="AC34" s="39" t="e">
        <f t="shared" si="29"/>
        <v>#REF!</v>
      </c>
      <c r="AD34" s="39" t="e">
        <f t="shared" si="29"/>
        <v>#REF!</v>
      </c>
      <c r="AE34" s="39" t="e">
        <f t="shared" si="29"/>
        <v>#REF!</v>
      </c>
      <c r="AF34" s="39" t="e">
        <f t="shared" si="29"/>
        <v>#REF!</v>
      </c>
      <c r="AG34" s="39" t="e">
        <f t="shared" si="29"/>
        <v>#REF!</v>
      </c>
      <c r="AH34" s="39" t="e">
        <f t="shared" si="29"/>
        <v>#REF!</v>
      </c>
      <c r="AI34" s="39" t="e">
        <f t="shared" si="29"/>
        <v>#REF!</v>
      </c>
      <c r="AJ34" s="39" t="e">
        <f t="shared" si="29"/>
        <v>#REF!</v>
      </c>
      <c r="AK34" s="39" t="e">
        <f t="shared" si="29"/>
        <v>#REF!</v>
      </c>
      <c r="AL34" s="39" t="e">
        <f t="shared" si="29"/>
        <v>#REF!</v>
      </c>
      <c r="AM34" s="39" t="e">
        <f t="shared" si="29"/>
        <v>#REF!</v>
      </c>
      <c r="AN34" s="39" t="e">
        <f t="shared" si="29"/>
        <v>#REF!</v>
      </c>
      <c r="AO34" s="39" t="e">
        <f t="shared" si="29"/>
        <v>#REF!</v>
      </c>
      <c r="AP34" s="39" t="e">
        <f t="shared" si="29"/>
        <v>#REF!</v>
      </c>
      <c r="AQ34" s="39" t="e">
        <f t="shared" si="29"/>
        <v>#REF!</v>
      </c>
      <c r="AR34" s="39" t="e">
        <f t="shared" si="29"/>
        <v>#REF!</v>
      </c>
      <c r="AS34" s="39" t="e">
        <f t="shared" si="29"/>
        <v>#REF!</v>
      </c>
      <c r="AT34" s="39" t="e">
        <f t="shared" ref="AT34" si="30">SUM(AT26:AT33)</f>
        <v>#REF!</v>
      </c>
      <c r="AU34" s="23"/>
    </row>
    <row r="35" spans="1:50" ht="20.100000000000001" customHeight="1" x14ac:dyDescent="0.25">
      <c r="A35" s="34"/>
      <c r="B35" s="9"/>
      <c r="D35">
        <f t="shared" si="21"/>
        <v>10</v>
      </c>
      <c r="F35" t="e">
        <f t="shared" si="25"/>
        <v>#REF!</v>
      </c>
      <c r="G35" s="115" t="e">
        <f t="shared" si="22"/>
        <v>#REF!</v>
      </c>
      <c r="H35" t="e">
        <f>$AG$11</f>
        <v>#REF!</v>
      </c>
      <c r="I35" t="e">
        <f t="shared" si="23"/>
        <v>#REF!</v>
      </c>
      <c r="V35" s="10"/>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23"/>
    </row>
    <row r="36" spans="1:50" ht="20.100000000000001" customHeight="1" thickBot="1" x14ac:dyDescent="0.3">
      <c r="B36" s="9"/>
      <c r="D36">
        <f t="shared" si="21"/>
        <v>11</v>
      </c>
      <c r="F36" t="e">
        <f t="shared" si="25"/>
        <v>#REF!</v>
      </c>
      <c r="G36" s="115" t="e">
        <f t="shared" si="22"/>
        <v>#REF!</v>
      </c>
      <c r="H36" t="e">
        <f>$AH$11</f>
        <v>#REF!</v>
      </c>
      <c r="I36" t="e">
        <f t="shared" si="23"/>
        <v>#REF!</v>
      </c>
      <c r="V36" s="10"/>
      <c r="W36" s="56" t="s">
        <v>98</v>
      </c>
      <c r="X36" s="57" t="e">
        <f t="shared" ref="X36:AS36" si="31">+X23-X34</f>
        <v>#REF!</v>
      </c>
      <c r="Y36" s="57" t="e">
        <f t="shared" si="31"/>
        <v>#REF!</v>
      </c>
      <c r="Z36" s="57" t="e">
        <f t="shared" si="31"/>
        <v>#REF!</v>
      </c>
      <c r="AA36" s="57" t="e">
        <f t="shared" si="31"/>
        <v>#REF!</v>
      </c>
      <c r="AB36" s="57" t="e">
        <f t="shared" si="31"/>
        <v>#REF!</v>
      </c>
      <c r="AC36" s="57" t="e">
        <f t="shared" si="31"/>
        <v>#REF!</v>
      </c>
      <c r="AD36" s="57" t="e">
        <f t="shared" si="31"/>
        <v>#REF!</v>
      </c>
      <c r="AE36" s="57" t="e">
        <f t="shared" si="31"/>
        <v>#REF!</v>
      </c>
      <c r="AF36" s="57" t="e">
        <f t="shared" si="31"/>
        <v>#REF!</v>
      </c>
      <c r="AG36" s="57" t="e">
        <f t="shared" si="31"/>
        <v>#REF!</v>
      </c>
      <c r="AH36" s="57" t="e">
        <f t="shared" si="31"/>
        <v>#REF!</v>
      </c>
      <c r="AI36" s="57" t="e">
        <f t="shared" si="31"/>
        <v>#REF!</v>
      </c>
      <c r="AJ36" s="57" t="e">
        <f t="shared" si="31"/>
        <v>#REF!</v>
      </c>
      <c r="AK36" s="57" t="e">
        <f t="shared" si="31"/>
        <v>#REF!</v>
      </c>
      <c r="AL36" s="57" t="e">
        <f t="shared" si="31"/>
        <v>#REF!</v>
      </c>
      <c r="AM36" s="57" t="e">
        <f t="shared" si="31"/>
        <v>#REF!</v>
      </c>
      <c r="AN36" s="57" t="e">
        <f t="shared" si="31"/>
        <v>#REF!</v>
      </c>
      <c r="AO36" s="57" t="e">
        <f t="shared" si="31"/>
        <v>#REF!</v>
      </c>
      <c r="AP36" s="57" t="e">
        <f t="shared" si="31"/>
        <v>#REF!</v>
      </c>
      <c r="AQ36" s="57" t="e">
        <f t="shared" si="31"/>
        <v>#REF!</v>
      </c>
      <c r="AR36" s="57" t="e">
        <f t="shared" si="31"/>
        <v>#REF!</v>
      </c>
      <c r="AS36" s="57" t="e">
        <f t="shared" si="31"/>
        <v>#REF!</v>
      </c>
      <c r="AT36" s="57" t="e">
        <f t="shared" ref="AT36" si="32">+AT23-AT34</f>
        <v>#REF!</v>
      </c>
      <c r="AU36" s="23"/>
    </row>
    <row r="37" spans="1:50" ht="20.100000000000001" customHeight="1" thickBot="1" x14ac:dyDescent="0.3">
      <c r="B37" s="9"/>
      <c r="D37">
        <f t="shared" si="21"/>
        <v>12</v>
      </c>
      <c r="F37" t="e">
        <f t="shared" si="25"/>
        <v>#REF!</v>
      </c>
      <c r="G37" s="115" t="e">
        <f t="shared" si="22"/>
        <v>#REF!</v>
      </c>
      <c r="H37" t="e">
        <f>$AI$11</f>
        <v>#REF!</v>
      </c>
      <c r="I37" t="e">
        <f t="shared" si="23"/>
        <v>#REF!</v>
      </c>
      <c r="V37" s="10"/>
      <c r="W37" s="58" t="s">
        <v>99</v>
      </c>
      <c r="X37" s="59" t="e">
        <f>SUM($X$36:X36)</f>
        <v>#REF!</v>
      </c>
      <c r="Y37" s="59" t="e">
        <f>SUM($X$36:Y36)</f>
        <v>#REF!</v>
      </c>
      <c r="Z37" s="59" t="e">
        <f>SUM($X$36:Z36)</f>
        <v>#REF!</v>
      </c>
      <c r="AA37" s="59" t="e">
        <f>SUM($X$36:AA36)</f>
        <v>#REF!</v>
      </c>
      <c r="AB37" s="59" t="e">
        <f>SUM($X$36:AB36)</f>
        <v>#REF!</v>
      </c>
      <c r="AC37" s="59" t="e">
        <f>SUM($X$36:AC36)</f>
        <v>#REF!</v>
      </c>
      <c r="AD37" s="59" t="e">
        <f>SUM($X$36:AD36)</f>
        <v>#REF!</v>
      </c>
      <c r="AE37" s="59" t="e">
        <f>SUM($X$36:AE36)</f>
        <v>#REF!</v>
      </c>
      <c r="AF37" s="59" t="e">
        <f>SUM($X$36:AF36)</f>
        <v>#REF!</v>
      </c>
      <c r="AG37" s="59" t="e">
        <f>SUM($X$36:AG36)</f>
        <v>#REF!</v>
      </c>
      <c r="AH37" s="59" t="e">
        <f>SUM($X$36:AH36)</f>
        <v>#REF!</v>
      </c>
      <c r="AI37" s="59" t="e">
        <f>SUM($X$36:AI36)</f>
        <v>#REF!</v>
      </c>
      <c r="AJ37" s="59" t="e">
        <f>SUM($X$36:AJ36)</f>
        <v>#REF!</v>
      </c>
      <c r="AK37" s="59" t="e">
        <f>SUM($X$36:AK36)</f>
        <v>#REF!</v>
      </c>
      <c r="AL37" s="59" t="e">
        <f>SUM($X$36:AL36)</f>
        <v>#REF!</v>
      </c>
      <c r="AM37" s="59" t="e">
        <f>SUM($X$36:AM36)</f>
        <v>#REF!</v>
      </c>
      <c r="AN37" s="59" t="e">
        <f>SUM($X$36:AN36)</f>
        <v>#REF!</v>
      </c>
      <c r="AO37" s="59" t="e">
        <f>SUM($X$36:AO36)</f>
        <v>#REF!</v>
      </c>
      <c r="AP37" s="59" t="e">
        <f>SUM($X$36:AP36)</f>
        <v>#REF!</v>
      </c>
      <c r="AQ37" s="59" t="e">
        <f>SUM($X$36:AQ36)</f>
        <v>#REF!</v>
      </c>
      <c r="AR37" s="59" t="e">
        <f>SUM($X$36:AR36)</f>
        <v>#REF!</v>
      </c>
      <c r="AS37" s="59" t="e">
        <f>SUM($X$36:AS36)</f>
        <v>#REF!</v>
      </c>
      <c r="AT37" s="59" t="e">
        <f>SUM($X$36:AT36)</f>
        <v>#REF!</v>
      </c>
      <c r="AU37" s="23"/>
    </row>
    <row r="38" spans="1:50" ht="20.100000000000001" customHeight="1" x14ac:dyDescent="0.25">
      <c r="B38" s="26"/>
      <c r="D38">
        <f t="shared" si="21"/>
        <v>13</v>
      </c>
      <c r="E38" s="26"/>
      <c r="F38" t="e">
        <f t="shared" si="25"/>
        <v>#REF!</v>
      </c>
      <c r="G38" s="115" t="e">
        <f t="shared" si="22"/>
        <v>#REF!</v>
      </c>
      <c r="H38" t="e">
        <f>$AJ$11</f>
        <v>#REF!</v>
      </c>
      <c r="I38" t="e">
        <f t="shared" si="23"/>
        <v>#REF!</v>
      </c>
      <c r="V38" s="10"/>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23"/>
    </row>
    <row r="39" spans="1:50" ht="20.100000000000001" customHeight="1" x14ac:dyDescent="0.25">
      <c r="D39">
        <f t="shared" si="21"/>
        <v>14</v>
      </c>
      <c r="F39" t="e">
        <f t="shared" si="25"/>
        <v>#REF!</v>
      </c>
      <c r="G39" s="115" t="e">
        <f t="shared" si="22"/>
        <v>#REF!</v>
      </c>
      <c r="H39" t="e">
        <f>$AK$11</f>
        <v>#REF!</v>
      </c>
      <c r="I39" t="e">
        <f t="shared" si="23"/>
        <v>#REF!</v>
      </c>
      <c r="V39" s="10"/>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23"/>
    </row>
    <row r="40" spans="1:50" ht="20.100000000000001" customHeight="1" x14ac:dyDescent="0.25">
      <c r="B40" s="26"/>
      <c r="D40">
        <f t="shared" si="21"/>
        <v>15</v>
      </c>
      <c r="E40" s="26"/>
      <c r="F40" t="e">
        <f t="shared" si="25"/>
        <v>#REF!</v>
      </c>
      <c r="G40" s="115" t="e">
        <f t="shared" si="22"/>
        <v>#REF!</v>
      </c>
      <c r="H40" t="e">
        <f>$AL$11</f>
        <v>#REF!</v>
      </c>
      <c r="I40" t="e">
        <f t="shared" si="23"/>
        <v>#REF!</v>
      </c>
      <c r="O40" t="s">
        <v>100</v>
      </c>
      <c r="V40" s="10"/>
      <c r="W40" s="3"/>
      <c r="X40" s="3"/>
      <c r="Y40" s="39"/>
      <c r="Z40" s="42" t="s">
        <v>48</v>
      </c>
      <c r="AA40" s="46"/>
      <c r="AB40" s="3"/>
      <c r="AC40" s="3"/>
      <c r="AD40" s="3"/>
      <c r="AE40" s="3"/>
      <c r="AF40" s="3"/>
      <c r="AG40" s="3"/>
      <c r="AH40" s="3"/>
      <c r="AI40" s="3"/>
      <c r="AJ40" s="3"/>
      <c r="AK40" s="3"/>
      <c r="AL40" s="3"/>
      <c r="AM40" s="3"/>
      <c r="AN40" s="3"/>
      <c r="AO40" s="3"/>
      <c r="AP40" s="3"/>
      <c r="AQ40" s="3"/>
      <c r="AR40" s="3"/>
      <c r="AS40" s="4"/>
      <c r="AT40" s="4"/>
      <c r="AU40" s="10"/>
    </row>
    <row r="41" spans="1:50" ht="20.100000000000001" customHeight="1" x14ac:dyDescent="0.25">
      <c r="D41">
        <f t="shared" si="21"/>
        <v>16</v>
      </c>
      <c r="F41" t="e">
        <f t="shared" si="25"/>
        <v>#REF!</v>
      </c>
      <c r="G41" s="115" t="e">
        <f t="shared" si="22"/>
        <v>#REF!</v>
      </c>
      <c r="H41" t="e">
        <f>$AM$11</f>
        <v>#REF!</v>
      </c>
      <c r="I41" t="e">
        <f t="shared" si="23"/>
        <v>#REF!</v>
      </c>
      <c r="O41" t="s">
        <v>102</v>
      </c>
      <c r="P41">
        <v>1</v>
      </c>
      <c r="V41" s="10"/>
      <c r="W41" s="7" t="s">
        <v>101</v>
      </c>
      <c r="X41" s="3"/>
      <c r="Y41" s="39"/>
      <c r="Z41" s="39"/>
      <c r="AA41" s="48"/>
      <c r="AB41" s="3"/>
      <c r="AC41" s="3"/>
      <c r="AD41" s="3"/>
      <c r="AE41" s="3"/>
      <c r="AF41" s="3"/>
      <c r="AG41" s="3"/>
      <c r="AH41" s="3"/>
      <c r="AI41" s="3"/>
      <c r="AJ41" s="3"/>
      <c r="AK41" s="3"/>
      <c r="AL41" s="3"/>
      <c r="AM41" s="3"/>
      <c r="AN41" s="3"/>
      <c r="AO41" s="3"/>
      <c r="AP41" s="3"/>
      <c r="AQ41" s="3"/>
      <c r="AR41" s="3"/>
      <c r="AS41" s="3"/>
      <c r="AT41" s="3"/>
      <c r="AU41" s="10"/>
    </row>
    <row r="42" spans="1:50" ht="20.100000000000001" customHeight="1" x14ac:dyDescent="0.25">
      <c r="D42">
        <f t="shared" si="21"/>
        <v>17</v>
      </c>
      <c r="F42" t="e">
        <f t="shared" si="25"/>
        <v>#REF!</v>
      </c>
      <c r="G42" s="115" t="e">
        <f t="shared" si="22"/>
        <v>#REF!</v>
      </c>
      <c r="H42" t="e">
        <f>$AN$11</f>
        <v>#REF!</v>
      </c>
      <c r="I42" t="e">
        <f t="shared" si="23"/>
        <v>#REF!</v>
      </c>
      <c r="O42" t="s">
        <v>103</v>
      </c>
      <c r="P42">
        <v>1</v>
      </c>
      <c r="V42" s="60"/>
      <c r="W42" s="14" t="s">
        <v>3</v>
      </c>
      <c r="X42" s="32" t="s">
        <v>51</v>
      </c>
      <c r="Y42" s="32" t="s">
        <v>52</v>
      </c>
      <c r="Z42" s="32" t="s">
        <v>53</v>
      </c>
      <c r="AA42" s="32" t="s">
        <v>54</v>
      </c>
      <c r="AB42" s="32" t="s">
        <v>55</v>
      </c>
      <c r="AC42" s="32" t="s">
        <v>56</v>
      </c>
      <c r="AD42" s="32" t="s">
        <v>57</v>
      </c>
      <c r="AE42" s="32" t="s">
        <v>58</v>
      </c>
      <c r="AF42" s="32" t="s">
        <v>59</v>
      </c>
      <c r="AG42" s="32" t="s">
        <v>60</v>
      </c>
      <c r="AH42" s="32" t="s">
        <v>61</v>
      </c>
      <c r="AI42" s="32" t="s">
        <v>62</v>
      </c>
      <c r="AJ42" s="32" t="s">
        <v>63</v>
      </c>
      <c r="AK42" s="32" t="s">
        <v>64</v>
      </c>
      <c r="AL42" s="32" t="s">
        <v>65</v>
      </c>
      <c r="AM42" s="32" t="s">
        <v>66</v>
      </c>
      <c r="AN42" s="32" t="s">
        <v>67</v>
      </c>
      <c r="AO42" s="32" t="s">
        <v>68</v>
      </c>
      <c r="AP42" s="32" t="s">
        <v>69</v>
      </c>
      <c r="AQ42" s="32" t="s">
        <v>70</v>
      </c>
      <c r="AR42" s="32" t="s">
        <v>71</v>
      </c>
      <c r="AS42" s="32" t="s">
        <v>72</v>
      </c>
      <c r="AT42" s="32" t="s">
        <v>72</v>
      </c>
      <c r="AU42" s="61"/>
      <c r="AV42" s="9"/>
      <c r="AW42" s="9"/>
      <c r="AX42" s="9"/>
    </row>
    <row r="43" spans="1:50" ht="20.100000000000001" customHeight="1" x14ac:dyDescent="0.25">
      <c r="D43">
        <f t="shared" si="21"/>
        <v>18</v>
      </c>
      <c r="F43" t="e">
        <f t="shared" si="25"/>
        <v>#REF!</v>
      </c>
      <c r="G43" s="115" t="e">
        <f t="shared" si="22"/>
        <v>#REF!</v>
      </c>
      <c r="H43" t="e">
        <f>$AO$11</f>
        <v>#REF!</v>
      </c>
      <c r="I43" t="e">
        <f t="shared" si="23"/>
        <v>#REF!</v>
      </c>
      <c r="O43" t="s">
        <v>143</v>
      </c>
      <c r="V43" s="62" t="s">
        <v>28</v>
      </c>
      <c r="W43" s="7" t="s">
        <v>104</v>
      </c>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33"/>
      <c r="AV43" s="9"/>
      <c r="AW43" s="9"/>
      <c r="AX43" s="9"/>
    </row>
    <row r="44" spans="1:50" ht="20.100000000000001" customHeight="1" x14ac:dyDescent="0.25">
      <c r="D44">
        <f t="shared" si="21"/>
        <v>19</v>
      </c>
      <c r="F44" t="e">
        <f t="shared" si="25"/>
        <v>#REF!</v>
      </c>
      <c r="G44" s="115" t="e">
        <f t="shared" si="22"/>
        <v>#REF!</v>
      </c>
      <c r="H44" t="e">
        <f>$AP$11</f>
        <v>#REF!</v>
      </c>
      <c r="I44" t="e">
        <f t="shared" si="23"/>
        <v>#REF!</v>
      </c>
      <c r="O44" t="s">
        <v>144</v>
      </c>
      <c r="P44">
        <f>1+1.4685*0</f>
        <v>1</v>
      </c>
      <c r="U44" t="e">
        <f>SUM(X44:Z44)</f>
        <v>#REF!</v>
      </c>
      <c r="V44" s="64">
        <v>1</v>
      </c>
      <c r="W44" s="3" t="s">
        <v>105</v>
      </c>
      <c r="X44" s="3" t="e">
        <f>C7</f>
        <v>#REF!</v>
      </c>
      <c r="Y44" s="3" t="e">
        <f>C8+C10</f>
        <v>#REF!</v>
      </c>
      <c r="Z44" s="3" t="e">
        <f>(C9+C10)*0</f>
        <v>#REF!</v>
      </c>
      <c r="AA44" s="3">
        <f t="shared" ref="AA44:AR44" si="33">+AA27+AA28</f>
        <v>0</v>
      </c>
      <c r="AB44" s="3">
        <f t="shared" si="33"/>
        <v>0</v>
      </c>
      <c r="AC44" s="3">
        <f t="shared" si="33"/>
        <v>0</v>
      </c>
      <c r="AD44" s="3">
        <f t="shared" si="33"/>
        <v>0</v>
      </c>
      <c r="AE44" s="3">
        <f t="shared" si="33"/>
        <v>0</v>
      </c>
      <c r="AF44" s="3">
        <f t="shared" si="33"/>
        <v>0</v>
      </c>
      <c r="AG44" s="3">
        <f t="shared" si="33"/>
        <v>0</v>
      </c>
      <c r="AH44" s="3">
        <f t="shared" si="33"/>
        <v>0</v>
      </c>
      <c r="AI44" s="3">
        <f t="shared" si="33"/>
        <v>0</v>
      </c>
      <c r="AJ44" s="3">
        <f t="shared" si="33"/>
        <v>0</v>
      </c>
      <c r="AK44" s="3">
        <f t="shared" si="33"/>
        <v>0</v>
      </c>
      <c r="AL44" s="3">
        <f t="shared" si="33"/>
        <v>0</v>
      </c>
      <c r="AM44" s="3">
        <f t="shared" si="33"/>
        <v>0</v>
      </c>
      <c r="AN44" s="3">
        <f t="shared" si="33"/>
        <v>0</v>
      </c>
      <c r="AO44" s="3">
        <f t="shared" si="33"/>
        <v>0</v>
      </c>
      <c r="AP44" s="3">
        <f t="shared" si="33"/>
        <v>0</v>
      </c>
      <c r="AQ44" s="3">
        <f t="shared" si="33"/>
        <v>0</v>
      </c>
      <c r="AR44" s="3">
        <f t="shared" si="33"/>
        <v>0</v>
      </c>
      <c r="AS44" t="e">
        <f>-SUM(X44:Y44)*0</f>
        <v>#REF!</v>
      </c>
      <c r="AT44" t="e">
        <f>-SUM(Y44:Z44)*0</f>
        <v>#REF!</v>
      </c>
      <c r="AU44" s="10"/>
    </row>
    <row r="45" spans="1:50" ht="20.100000000000001" customHeight="1" x14ac:dyDescent="0.25">
      <c r="D45">
        <f t="shared" si="21"/>
        <v>20</v>
      </c>
      <c r="F45" t="e">
        <f t="shared" si="25"/>
        <v>#REF!</v>
      </c>
      <c r="G45" s="115" t="e">
        <f t="shared" si="22"/>
        <v>#REF!</v>
      </c>
      <c r="H45" t="e">
        <f>$AQ$11</f>
        <v>#REF!</v>
      </c>
      <c r="I45" t="e">
        <f t="shared" si="23"/>
        <v>#REF!</v>
      </c>
      <c r="V45" s="64">
        <v>2</v>
      </c>
      <c r="W45" s="3" t="s">
        <v>97</v>
      </c>
      <c r="X45" s="3" t="e">
        <f t="shared" ref="X45:AS45" si="34">+X11</f>
        <v>#REF!</v>
      </c>
      <c r="Y45" s="3" t="e">
        <f t="shared" si="34"/>
        <v>#REF!</v>
      </c>
      <c r="Z45" s="3" t="e">
        <f t="shared" si="34"/>
        <v>#REF!</v>
      </c>
      <c r="AA45" s="3" t="e">
        <f t="shared" si="34"/>
        <v>#REF!</v>
      </c>
      <c r="AB45" s="3" t="e">
        <f t="shared" si="34"/>
        <v>#REF!</v>
      </c>
      <c r="AC45" s="3" t="e">
        <f t="shared" si="34"/>
        <v>#REF!</v>
      </c>
      <c r="AD45" s="3" t="e">
        <f t="shared" si="34"/>
        <v>#REF!</v>
      </c>
      <c r="AE45" s="3" t="e">
        <f t="shared" si="34"/>
        <v>#REF!</v>
      </c>
      <c r="AF45" s="3" t="e">
        <f t="shared" si="34"/>
        <v>#REF!</v>
      </c>
      <c r="AG45" s="3" t="e">
        <f t="shared" si="34"/>
        <v>#REF!</v>
      </c>
      <c r="AH45" s="3" t="e">
        <f t="shared" si="34"/>
        <v>#REF!</v>
      </c>
      <c r="AI45" s="3" t="e">
        <f t="shared" si="34"/>
        <v>#REF!</v>
      </c>
      <c r="AJ45" s="3" t="e">
        <f t="shared" si="34"/>
        <v>#REF!</v>
      </c>
      <c r="AK45" s="3" t="e">
        <f t="shared" si="34"/>
        <v>#REF!</v>
      </c>
      <c r="AL45" s="3" t="e">
        <f t="shared" si="34"/>
        <v>#REF!</v>
      </c>
      <c r="AM45" s="3" t="e">
        <f t="shared" si="34"/>
        <v>#REF!</v>
      </c>
      <c r="AN45" s="3" t="e">
        <f t="shared" si="34"/>
        <v>#REF!</v>
      </c>
      <c r="AO45" s="3" t="e">
        <f t="shared" si="34"/>
        <v>#REF!</v>
      </c>
      <c r="AP45" s="3" t="e">
        <f t="shared" si="34"/>
        <v>#REF!</v>
      </c>
      <c r="AQ45" s="3" t="e">
        <f t="shared" si="34"/>
        <v>#REF!</v>
      </c>
      <c r="AR45" s="3" t="e">
        <f t="shared" si="34"/>
        <v>#REF!</v>
      </c>
      <c r="AS45" s="3" t="e">
        <f t="shared" si="34"/>
        <v>#REF!</v>
      </c>
      <c r="AT45" s="3" t="e">
        <f t="shared" ref="AT45" si="35">+AT11</f>
        <v>#REF!</v>
      </c>
      <c r="AU45" s="10"/>
    </row>
    <row r="46" spans="1:50" ht="20.100000000000001" customHeight="1" x14ac:dyDescent="0.25">
      <c r="D46">
        <f t="shared" si="21"/>
        <v>21</v>
      </c>
      <c r="F46" t="e">
        <f t="shared" si="25"/>
        <v>#REF!</v>
      </c>
      <c r="G46" s="115" t="e">
        <f t="shared" si="22"/>
        <v>#REF!</v>
      </c>
      <c r="H46" t="e">
        <f>$AR$11</f>
        <v>#REF!</v>
      </c>
      <c r="I46" t="e">
        <f t="shared" si="23"/>
        <v>#REF!</v>
      </c>
      <c r="O46" t="s">
        <v>148</v>
      </c>
      <c r="P46" s="98">
        <f>1.075</f>
        <v>1.075</v>
      </c>
      <c r="V46" s="62" t="s">
        <v>29</v>
      </c>
      <c r="W46" s="7" t="s">
        <v>106</v>
      </c>
      <c r="X46" s="3"/>
      <c r="Y46" s="3"/>
      <c r="Z46" s="3"/>
      <c r="AA46" s="3"/>
      <c r="AB46" s="3"/>
      <c r="AC46" s="3"/>
      <c r="AD46" s="3"/>
      <c r="AE46" s="3"/>
      <c r="AF46" s="3"/>
      <c r="AG46" s="3"/>
      <c r="AH46" s="3"/>
      <c r="AI46" s="3"/>
      <c r="AJ46" s="3"/>
      <c r="AK46" s="3"/>
      <c r="AL46" s="3"/>
      <c r="AM46" s="3"/>
      <c r="AN46" s="3"/>
      <c r="AO46" s="3"/>
      <c r="AP46" s="3"/>
      <c r="AQ46" s="3"/>
      <c r="AR46" s="3"/>
      <c r="AS46" s="3"/>
      <c r="AT46" s="3"/>
      <c r="AU46" s="10"/>
    </row>
    <row r="47" spans="1:50" ht="20.100000000000001" customHeight="1" x14ac:dyDescent="0.25">
      <c r="D47">
        <f t="shared" si="21"/>
        <v>22</v>
      </c>
      <c r="F47" t="e">
        <f>$D$14*4/12</f>
        <v>#REF!</v>
      </c>
      <c r="G47" s="115" t="e">
        <f t="shared" si="22"/>
        <v>#REF!</v>
      </c>
      <c r="H47" t="e">
        <f>$AS$11</f>
        <v>#REF!</v>
      </c>
      <c r="I47" t="e">
        <f t="shared" si="23"/>
        <v>#REF!</v>
      </c>
      <c r="V47" s="64">
        <v>1</v>
      </c>
      <c r="W47" s="3" t="s">
        <v>107</v>
      </c>
      <c r="X47" s="3" t="e">
        <f t="shared" ref="X47:AS47" si="36">+X20</f>
        <v>#REF!</v>
      </c>
      <c r="Y47" s="30" t="e">
        <f t="shared" si="36"/>
        <v>#REF!</v>
      </c>
      <c r="Z47" s="30" t="e">
        <f t="shared" si="36"/>
        <v>#REF!</v>
      </c>
      <c r="AA47" s="30" t="e">
        <f t="shared" si="36"/>
        <v>#REF!</v>
      </c>
      <c r="AB47" s="30" t="e">
        <f t="shared" si="36"/>
        <v>#REF!</v>
      </c>
      <c r="AC47" s="30" t="e">
        <f t="shared" si="36"/>
        <v>#REF!</v>
      </c>
      <c r="AD47" s="30" t="e">
        <f t="shared" si="36"/>
        <v>#REF!</v>
      </c>
      <c r="AE47" s="30" t="e">
        <f t="shared" si="36"/>
        <v>#REF!</v>
      </c>
      <c r="AF47" s="30" t="e">
        <f t="shared" si="36"/>
        <v>#REF!</v>
      </c>
      <c r="AG47" s="30" t="e">
        <f t="shared" si="36"/>
        <v>#REF!</v>
      </c>
      <c r="AH47" s="30" t="e">
        <f t="shared" si="36"/>
        <v>#REF!</v>
      </c>
      <c r="AI47" s="30" t="e">
        <f t="shared" si="36"/>
        <v>#REF!</v>
      </c>
      <c r="AJ47" s="30" t="e">
        <f t="shared" si="36"/>
        <v>#REF!</v>
      </c>
      <c r="AK47" s="30" t="e">
        <f t="shared" si="36"/>
        <v>#REF!</v>
      </c>
      <c r="AL47" s="30" t="e">
        <f t="shared" si="36"/>
        <v>#REF!</v>
      </c>
      <c r="AM47" s="30" t="e">
        <f t="shared" si="36"/>
        <v>#REF!</v>
      </c>
      <c r="AN47" s="30" t="e">
        <f t="shared" si="36"/>
        <v>#REF!</v>
      </c>
      <c r="AO47" s="30" t="e">
        <f t="shared" si="36"/>
        <v>#REF!</v>
      </c>
      <c r="AP47" s="30" t="e">
        <f t="shared" si="36"/>
        <v>#REF!</v>
      </c>
      <c r="AQ47" s="30" t="e">
        <f t="shared" si="36"/>
        <v>#REF!</v>
      </c>
      <c r="AR47" s="30" t="e">
        <f t="shared" si="36"/>
        <v>#REF!</v>
      </c>
      <c r="AS47" s="30" t="e">
        <f t="shared" si="36"/>
        <v>#REF!</v>
      </c>
      <c r="AT47" s="30" t="e">
        <f t="shared" ref="AT47" si="37">+AT20</f>
        <v>#REF!</v>
      </c>
      <c r="AU47" s="10"/>
    </row>
    <row r="48" spans="1:50" ht="20.100000000000001" customHeight="1" x14ac:dyDescent="0.25">
      <c r="D48" s="21">
        <f t="shared" si="21"/>
        <v>23</v>
      </c>
      <c r="E48" s="21"/>
      <c r="F48" s="21" t="e">
        <f>$D$14*6/12*0</f>
        <v>#REF!</v>
      </c>
      <c r="G48" s="116" t="e">
        <f t="shared" si="22"/>
        <v>#REF!</v>
      </c>
      <c r="H48" s="21" t="e">
        <f>$AT$11</f>
        <v>#REF!</v>
      </c>
      <c r="I48" s="21" t="e">
        <f t="shared" si="23"/>
        <v>#REF!</v>
      </c>
      <c r="J48" s="21"/>
      <c r="V48" s="64">
        <v>2</v>
      </c>
      <c r="W48" s="3" t="s">
        <v>239</v>
      </c>
      <c r="X48" s="3"/>
      <c r="Y48" s="30" t="e">
        <f>D16/2</f>
        <v>#REF!</v>
      </c>
      <c r="Z48" s="30" t="e">
        <f>+D16/2</f>
        <v>#REF!</v>
      </c>
      <c r="AA48" s="3"/>
      <c r="AB48" s="3"/>
      <c r="AC48" s="3"/>
      <c r="AD48" s="3"/>
      <c r="AE48" s="3"/>
      <c r="AF48" s="3"/>
      <c r="AG48" s="3"/>
      <c r="AH48" s="3"/>
      <c r="AI48" s="3"/>
      <c r="AJ48" s="3"/>
      <c r="AK48" s="3"/>
      <c r="AL48" s="3"/>
      <c r="AM48" s="3"/>
      <c r="AN48" s="3"/>
      <c r="AO48" s="3"/>
      <c r="AP48" s="3"/>
      <c r="AQ48" s="3"/>
      <c r="AR48" s="3"/>
      <c r="AS48" s="3"/>
      <c r="AT48" s="3"/>
      <c r="AU48" s="10"/>
    </row>
    <row r="49" spans="3:49" ht="20.100000000000001" customHeight="1" x14ac:dyDescent="0.25">
      <c r="G49" t="e">
        <f>NPV(0.1,G26:G47)</f>
        <v>#REF!</v>
      </c>
      <c r="I49" t="e">
        <f>NPV(0.1,I26:I48)</f>
        <v>#REF!</v>
      </c>
      <c r="V49" s="64">
        <v>3</v>
      </c>
      <c r="W49" s="3" t="s">
        <v>150</v>
      </c>
      <c r="X49" s="3"/>
      <c r="Y49" s="3"/>
      <c r="Z49" s="3"/>
      <c r="AA49" s="3"/>
      <c r="AB49" s="3"/>
      <c r="AC49" s="3"/>
      <c r="AD49" s="3"/>
      <c r="AE49" s="3"/>
      <c r="AF49" s="3"/>
      <c r="AG49" s="3"/>
      <c r="AH49" s="3"/>
      <c r="AI49" s="3"/>
      <c r="AJ49" s="3"/>
      <c r="AK49" s="3"/>
      <c r="AL49" s="3"/>
      <c r="AM49" s="3"/>
      <c r="AN49" s="3"/>
      <c r="AO49" s="3"/>
      <c r="AP49" s="3"/>
      <c r="AQ49" s="3"/>
      <c r="AR49" s="3"/>
      <c r="AS49" s="3"/>
      <c r="AT49" s="3"/>
      <c r="AU49" s="10"/>
    </row>
    <row r="50" spans="3:49" ht="20.100000000000001" customHeight="1" x14ac:dyDescent="0.25">
      <c r="D50" s="21"/>
      <c r="E50" s="21"/>
      <c r="F50" s="21"/>
      <c r="G50" s="114" t="e">
        <f>IRR(G26:G47)</f>
        <v>#VALUE!</v>
      </c>
      <c r="H50" s="21"/>
      <c r="I50" s="114" t="e">
        <f>IRR(I26:I47)</f>
        <v>#VALUE!</v>
      </c>
      <c r="J50" s="21"/>
      <c r="V50" s="62" t="s">
        <v>30</v>
      </c>
      <c r="W50" s="7" t="s">
        <v>108</v>
      </c>
      <c r="X50" s="3"/>
      <c r="Y50" s="3"/>
      <c r="Z50" s="3"/>
      <c r="AA50" s="3"/>
      <c r="AB50" s="3"/>
      <c r="AC50" s="3"/>
      <c r="AD50" s="3"/>
      <c r="AE50" s="3"/>
      <c r="AF50" s="3"/>
      <c r="AG50" s="3"/>
      <c r="AH50" s="3"/>
      <c r="AI50" s="3"/>
      <c r="AJ50" s="3"/>
      <c r="AK50" s="3"/>
      <c r="AL50" s="3"/>
      <c r="AM50" s="3"/>
      <c r="AN50" s="3"/>
      <c r="AO50" s="3"/>
      <c r="AP50" s="3"/>
      <c r="AQ50" s="3"/>
      <c r="AR50" s="3"/>
      <c r="AS50" s="3"/>
      <c r="AT50" s="3"/>
      <c r="AU50" s="10"/>
      <c r="AV50" s="65"/>
      <c r="AW50" s="65"/>
    </row>
    <row r="51" spans="3:49" ht="20.100000000000001" customHeight="1" x14ac:dyDescent="0.25">
      <c r="V51" s="64">
        <v>1</v>
      </c>
      <c r="W51" s="3" t="s">
        <v>109</v>
      </c>
      <c r="X51" s="3" t="e">
        <f>+X47+X48+X49-X44</f>
        <v>#REF!</v>
      </c>
      <c r="Y51" s="3" t="e">
        <f>+Y47+Y48+Y49-Y44</f>
        <v>#REF!</v>
      </c>
      <c r="Z51" s="3" t="e">
        <f>+Z47+Z48+Z49-Z44</f>
        <v>#REF!</v>
      </c>
      <c r="AA51" s="3" t="e">
        <f>+AA47+AA48+AA49-AA44</f>
        <v>#REF!</v>
      </c>
      <c r="AB51" s="3" t="e">
        <f t="shared" ref="AB51:AS51" si="38">+AB47+AB48+AB49-AB44</f>
        <v>#REF!</v>
      </c>
      <c r="AC51" s="3" t="e">
        <f t="shared" si="38"/>
        <v>#REF!</v>
      </c>
      <c r="AD51" s="3" t="e">
        <f t="shared" si="38"/>
        <v>#REF!</v>
      </c>
      <c r="AE51" s="3" t="e">
        <f t="shared" si="38"/>
        <v>#REF!</v>
      </c>
      <c r="AF51" s="3" t="e">
        <f t="shared" si="38"/>
        <v>#REF!</v>
      </c>
      <c r="AG51" s="3" t="e">
        <f t="shared" si="38"/>
        <v>#REF!</v>
      </c>
      <c r="AH51" s="3" t="e">
        <f t="shared" si="38"/>
        <v>#REF!</v>
      </c>
      <c r="AI51" s="3" t="e">
        <f t="shared" si="38"/>
        <v>#REF!</v>
      </c>
      <c r="AJ51" s="3" t="e">
        <f t="shared" si="38"/>
        <v>#REF!</v>
      </c>
      <c r="AK51" s="3" t="e">
        <f t="shared" si="38"/>
        <v>#REF!</v>
      </c>
      <c r="AL51" s="3" t="e">
        <f t="shared" si="38"/>
        <v>#REF!</v>
      </c>
      <c r="AM51" s="3" t="e">
        <f t="shared" si="38"/>
        <v>#REF!</v>
      </c>
      <c r="AN51" s="3" t="e">
        <f t="shared" si="38"/>
        <v>#REF!</v>
      </c>
      <c r="AO51" s="3" t="e">
        <f t="shared" si="38"/>
        <v>#REF!</v>
      </c>
      <c r="AP51" s="3" t="e">
        <f t="shared" si="38"/>
        <v>#REF!</v>
      </c>
      <c r="AQ51" s="3" t="e">
        <f t="shared" si="38"/>
        <v>#REF!</v>
      </c>
      <c r="AR51" s="3" t="e">
        <f t="shared" si="38"/>
        <v>#REF!</v>
      </c>
      <c r="AS51" s="3" t="e">
        <f t="shared" si="38"/>
        <v>#REF!</v>
      </c>
      <c r="AT51" s="3" t="e">
        <f t="shared" ref="AT51" si="39">+AT47+AT48+AT49-AT44</f>
        <v>#REF!</v>
      </c>
      <c r="AU51" s="10"/>
      <c r="AW51" s="65"/>
    </row>
    <row r="52" spans="3:49" ht="20.100000000000001" customHeight="1" x14ac:dyDescent="0.25">
      <c r="V52" s="64">
        <v>2</v>
      </c>
      <c r="W52" s="3" t="s">
        <v>110</v>
      </c>
      <c r="X52" s="30" t="e">
        <f>+X51-X45</f>
        <v>#REF!</v>
      </c>
      <c r="Y52" s="30" t="e">
        <f t="shared" ref="Y52:AS52" si="40">+Y51-Y45</f>
        <v>#REF!</v>
      </c>
      <c r="Z52" s="30" t="e">
        <f t="shared" si="40"/>
        <v>#REF!</v>
      </c>
      <c r="AA52" s="30" t="e">
        <f t="shared" si="40"/>
        <v>#REF!</v>
      </c>
      <c r="AB52" s="30" t="e">
        <f t="shared" si="40"/>
        <v>#REF!</v>
      </c>
      <c r="AC52" s="30" t="e">
        <f t="shared" si="40"/>
        <v>#REF!</v>
      </c>
      <c r="AD52" s="30" t="e">
        <f t="shared" si="40"/>
        <v>#REF!</v>
      </c>
      <c r="AE52" s="30" t="e">
        <f t="shared" si="40"/>
        <v>#REF!</v>
      </c>
      <c r="AF52" s="30" t="e">
        <f t="shared" si="40"/>
        <v>#REF!</v>
      </c>
      <c r="AG52" s="30" t="e">
        <f t="shared" si="40"/>
        <v>#REF!</v>
      </c>
      <c r="AH52" s="30" t="e">
        <f t="shared" si="40"/>
        <v>#REF!</v>
      </c>
      <c r="AI52" s="30" t="e">
        <f t="shared" si="40"/>
        <v>#REF!</v>
      </c>
      <c r="AJ52" s="30" t="e">
        <f t="shared" si="40"/>
        <v>#REF!</v>
      </c>
      <c r="AK52" s="30" t="e">
        <f t="shared" si="40"/>
        <v>#REF!</v>
      </c>
      <c r="AL52" s="30" t="e">
        <f t="shared" si="40"/>
        <v>#REF!</v>
      </c>
      <c r="AM52" s="30" t="e">
        <f t="shared" si="40"/>
        <v>#REF!</v>
      </c>
      <c r="AN52" s="30" t="e">
        <f t="shared" si="40"/>
        <v>#REF!</v>
      </c>
      <c r="AO52" s="30" t="e">
        <f t="shared" si="40"/>
        <v>#REF!</v>
      </c>
      <c r="AP52" s="30" t="e">
        <f t="shared" si="40"/>
        <v>#REF!</v>
      </c>
      <c r="AQ52" s="30" t="e">
        <f t="shared" si="40"/>
        <v>#REF!</v>
      </c>
      <c r="AR52" s="30" t="e">
        <f t="shared" si="40"/>
        <v>#REF!</v>
      </c>
      <c r="AS52" s="30" t="e">
        <f t="shared" si="40"/>
        <v>#REF!</v>
      </c>
      <c r="AT52" s="30" t="e">
        <f t="shared" ref="AT52" si="41">+AT51-AT45</f>
        <v>#REF!</v>
      </c>
      <c r="AU52" s="10"/>
      <c r="AW52" s="65"/>
    </row>
    <row r="53" spans="3:49" ht="20.100000000000001" customHeight="1" x14ac:dyDescent="0.25">
      <c r="V53" s="62" t="s">
        <v>111</v>
      </c>
      <c r="W53" s="1" t="s">
        <v>199</v>
      </c>
      <c r="X53" s="3"/>
      <c r="Y53" s="3"/>
      <c r="Z53" s="3"/>
      <c r="AA53" s="3"/>
      <c r="AB53" s="3"/>
      <c r="AC53" s="3"/>
      <c r="AD53" s="3"/>
      <c r="AE53" s="3"/>
      <c r="AF53" s="3"/>
      <c r="AG53" s="3"/>
      <c r="AH53" s="3"/>
      <c r="AI53" s="3"/>
      <c r="AJ53" s="3"/>
      <c r="AK53" s="3"/>
      <c r="AL53" s="3"/>
      <c r="AM53" s="3"/>
      <c r="AN53" s="3"/>
      <c r="AO53" s="3"/>
      <c r="AP53" s="3"/>
      <c r="AQ53" s="3"/>
      <c r="AR53" s="3"/>
      <c r="AS53" s="3"/>
      <c r="AT53" s="3"/>
      <c r="AU53" s="10"/>
      <c r="AW53" s="65"/>
    </row>
    <row r="54" spans="3:49" ht="20.100000000000001" customHeight="1" x14ac:dyDescent="0.25">
      <c r="V54" s="33">
        <v>1</v>
      </c>
      <c r="W54" s="3" t="s">
        <v>109</v>
      </c>
      <c r="X54" s="3" t="e">
        <f>NPV(0.1,X51:AS51)</f>
        <v>#REF!</v>
      </c>
      <c r="Y54" s="3"/>
      <c r="Z54" s="3"/>
      <c r="AA54" s="3"/>
      <c r="AB54" s="3"/>
      <c r="AC54" s="3"/>
      <c r="AD54" s="3"/>
      <c r="AE54" s="3"/>
      <c r="AF54" s="3"/>
      <c r="AG54" s="3"/>
      <c r="AH54" s="3"/>
      <c r="AI54" s="3"/>
      <c r="AJ54" s="3"/>
      <c r="AK54" s="3"/>
      <c r="AL54" s="3"/>
      <c r="AM54" s="3"/>
      <c r="AN54" s="3"/>
      <c r="AO54" s="3"/>
      <c r="AP54" s="3"/>
      <c r="AQ54" s="3"/>
      <c r="AS54" s="30">
        <f>+AT50</f>
        <v>0</v>
      </c>
      <c r="AT54" s="30">
        <f>+AU50</f>
        <v>0</v>
      </c>
      <c r="AU54" s="99"/>
      <c r="AW54" s="65"/>
    </row>
    <row r="55" spans="3:49" ht="20.100000000000001" customHeight="1" x14ac:dyDescent="0.25">
      <c r="V55" s="64">
        <v>2</v>
      </c>
      <c r="W55" s="3" t="s">
        <v>112</v>
      </c>
      <c r="X55" s="3" t="e">
        <f>NPV(0.1,X52:AS52)</f>
        <v>#REF!</v>
      </c>
      <c r="Y55" s="3"/>
      <c r="Z55" s="3"/>
      <c r="AA55" s="3"/>
      <c r="AB55" s="3"/>
      <c r="AC55" s="3"/>
      <c r="AD55" s="3"/>
      <c r="AE55" s="3"/>
      <c r="AF55" s="3"/>
      <c r="AG55" s="3"/>
      <c r="AH55" s="3"/>
      <c r="AI55" s="3"/>
      <c r="AJ55" s="3"/>
      <c r="AK55" s="3"/>
      <c r="AL55" s="3"/>
      <c r="AM55" s="3"/>
      <c r="AN55" s="3"/>
      <c r="AO55" s="3"/>
      <c r="AP55" s="3"/>
      <c r="AQ55" s="3"/>
      <c r="AS55" s="30">
        <f>+AU51</f>
        <v>0</v>
      </c>
      <c r="AT55" s="30">
        <f>+AV51</f>
        <v>0</v>
      </c>
      <c r="AU55" s="99"/>
      <c r="AW55" s="65"/>
    </row>
    <row r="56" spans="3:49" ht="20.100000000000001" customHeight="1" x14ac:dyDescent="0.25">
      <c r="V56" s="62" t="s">
        <v>113</v>
      </c>
      <c r="W56" s="7" t="s">
        <v>34</v>
      </c>
      <c r="X56" s="3"/>
      <c r="Y56" s="3"/>
      <c r="Z56" s="3"/>
      <c r="AA56" s="3"/>
      <c r="AB56" s="3"/>
      <c r="AC56" s="3"/>
      <c r="AD56" s="3"/>
      <c r="AE56" s="3"/>
      <c r="AF56" s="3"/>
      <c r="AG56" s="3"/>
      <c r="AH56" s="3"/>
      <c r="AI56" s="3"/>
      <c r="AJ56" s="3"/>
      <c r="AK56" s="3"/>
      <c r="AL56" s="3"/>
      <c r="AM56" s="3"/>
      <c r="AN56" s="3"/>
      <c r="AO56" s="3"/>
      <c r="AP56" s="3"/>
      <c r="AQ56" s="3"/>
      <c r="AS56" s="30"/>
      <c r="AT56" s="30"/>
      <c r="AU56" s="99"/>
      <c r="AW56" s="65"/>
    </row>
    <row r="57" spans="3:49" ht="20.100000000000001" customHeight="1" x14ac:dyDescent="0.25">
      <c r="V57" s="64">
        <v>1</v>
      </c>
      <c r="W57" s="3" t="s">
        <v>109</v>
      </c>
      <c r="X57" s="88" t="e">
        <f>IRR(X51:AS51)</f>
        <v>#VALUE!</v>
      </c>
      <c r="Y57" s="3"/>
      <c r="Z57" s="3"/>
      <c r="AA57" s="3"/>
      <c r="AB57" s="3"/>
      <c r="AC57" s="3"/>
      <c r="AD57" s="3"/>
      <c r="AE57" s="3"/>
      <c r="AF57" s="3"/>
      <c r="AG57" s="3"/>
      <c r="AH57" s="3"/>
      <c r="AI57" s="3"/>
      <c r="AJ57" s="3"/>
      <c r="AK57" s="3"/>
      <c r="AL57" s="3"/>
      <c r="AM57" s="3"/>
      <c r="AN57" s="3"/>
      <c r="AO57" s="3"/>
      <c r="AP57" s="3"/>
      <c r="AQ57" s="3"/>
      <c r="AS57" s="66">
        <f>+AV50</f>
        <v>0</v>
      </c>
      <c r="AT57" s="66">
        <f>+AW50</f>
        <v>0</v>
      </c>
      <c r="AU57" s="100"/>
    </row>
    <row r="58" spans="3:49" ht="20.100000000000001" customHeight="1" x14ac:dyDescent="0.25">
      <c r="C58" s="9"/>
      <c r="F58" s="67"/>
      <c r="V58" s="68">
        <v>2</v>
      </c>
      <c r="W58" s="13" t="s">
        <v>112</v>
      </c>
      <c r="X58" s="89" t="e">
        <f>IRR(X52:AS52)</f>
        <v>#VALUE!</v>
      </c>
      <c r="Y58" s="16"/>
      <c r="Z58" s="13"/>
      <c r="AA58" s="13"/>
      <c r="AB58" s="13"/>
      <c r="AC58" s="13"/>
      <c r="AD58" s="13"/>
      <c r="AE58" s="13"/>
      <c r="AF58" s="13"/>
      <c r="AG58" s="13"/>
      <c r="AH58" s="13"/>
      <c r="AI58" s="13"/>
      <c r="AJ58" s="13"/>
      <c r="AK58" s="13"/>
      <c r="AL58" s="13"/>
      <c r="AM58" s="13"/>
      <c r="AN58" s="13"/>
      <c r="AO58" s="13"/>
      <c r="AP58" s="13"/>
      <c r="AQ58" s="13"/>
      <c r="AR58" s="21"/>
      <c r="AS58" s="101">
        <f>+AW51</f>
        <v>0</v>
      </c>
      <c r="AT58" s="101">
        <f>+AX51</f>
        <v>0</v>
      </c>
      <c r="AU58" s="100"/>
    </row>
    <row r="59" spans="3:49" ht="20.100000000000001" customHeight="1" x14ac:dyDescent="0.25">
      <c r="C59" s="9"/>
      <c r="F59" s="67"/>
      <c r="V59" s="64"/>
      <c r="W59" s="3"/>
      <c r="X59" s="3"/>
      <c r="Y59" s="5"/>
      <c r="Z59" s="3"/>
      <c r="AA59" s="3"/>
      <c r="AB59" s="3"/>
      <c r="AC59" s="3"/>
      <c r="AD59" s="3"/>
      <c r="AE59" s="3"/>
      <c r="AF59" s="3"/>
      <c r="AG59" s="3"/>
      <c r="AH59" s="3"/>
      <c r="AI59" s="3"/>
      <c r="AJ59" s="3"/>
      <c r="AK59" s="3"/>
      <c r="AL59" s="3"/>
      <c r="AM59" s="3"/>
      <c r="AN59" s="3"/>
      <c r="AO59" s="3"/>
      <c r="AP59" s="3"/>
      <c r="AQ59" s="3"/>
      <c r="AR59" s="3"/>
      <c r="AS59" s="69"/>
      <c r="AT59" s="10"/>
      <c r="AU59" s="10"/>
    </row>
    <row r="60" spans="3:49" ht="18" x14ac:dyDescent="0.25">
      <c r="V60" s="70"/>
      <c r="W60" s="71"/>
      <c r="X60" s="72"/>
      <c r="Y60" s="4"/>
      <c r="Z60" s="3"/>
      <c r="AA60" s="3"/>
      <c r="AB60" s="3"/>
      <c r="AC60" s="3"/>
      <c r="AD60" s="3"/>
      <c r="AE60" s="3"/>
      <c r="AF60" s="3"/>
      <c r="AG60" s="3"/>
      <c r="AH60" s="3"/>
      <c r="AI60" s="3"/>
      <c r="AJ60" s="3"/>
      <c r="AK60" s="3"/>
      <c r="AL60" s="3"/>
      <c r="AM60" s="3"/>
      <c r="AN60" s="3"/>
      <c r="AO60" s="3"/>
      <c r="AP60" s="3"/>
      <c r="AQ60" s="3"/>
      <c r="AR60" s="3"/>
      <c r="AS60" s="3"/>
    </row>
    <row r="61" spans="3:49" ht="20.25" x14ac:dyDescent="0.3">
      <c r="V61" s="70"/>
      <c r="W61" s="117" t="s">
        <v>33</v>
      </c>
      <c r="X61" s="5" t="e">
        <f>NPV(0.1,X47:AT48)/NPV(0.1,X44:AT45)</f>
        <v>#REF!</v>
      </c>
      <c r="Y61" s="4"/>
      <c r="Z61" s="3"/>
      <c r="AA61" s="3"/>
      <c r="AB61" s="3"/>
      <c r="AC61" s="3"/>
      <c r="AD61" s="3"/>
      <c r="AE61" s="3"/>
      <c r="AF61" s="3"/>
      <c r="AG61" s="3"/>
      <c r="AH61" s="3"/>
      <c r="AI61" s="3"/>
      <c r="AJ61" s="3"/>
      <c r="AK61" s="3"/>
      <c r="AL61" s="3"/>
      <c r="AM61" s="3"/>
      <c r="AN61" s="3"/>
      <c r="AO61" s="3"/>
      <c r="AP61" s="3"/>
      <c r="AQ61" s="3"/>
      <c r="AR61" s="3"/>
      <c r="AS61" s="3"/>
    </row>
    <row r="62" spans="3:49" ht="18" x14ac:dyDescent="0.25">
      <c r="V62" s="70"/>
      <c r="W62" s="71"/>
      <c r="X62" s="72"/>
      <c r="Y62" s="4"/>
      <c r="Z62" s="3"/>
      <c r="AA62" s="3"/>
      <c r="AB62" s="3"/>
      <c r="AC62" s="3"/>
      <c r="AD62" s="3"/>
      <c r="AE62" s="3"/>
      <c r="AF62" s="3"/>
      <c r="AG62" s="3"/>
      <c r="AH62" s="3"/>
      <c r="AI62" s="3"/>
      <c r="AJ62" s="3"/>
      <c r="AK62" s="3"/>
      <c r="AL62" s="3"/>
      <c r="AM62" s="3"/>
      <c r="AN62" s="3"/>
      <c r="AO62" s="3"/>
      <c r="AP62" s="3"/>
      <c r="AQ62" s="3"/>
      <c r="AR62" s="3"/>
      <c r="AS62" s="3"/>
    </row>
    <row r="63" spans="3:49" ht="18" x14ac:dyDescent="0.25">
      <c r="V63" s="70"/>
      <c r="W63" s="118" t="s">
        <v>215</v>
      </c>
      <c r="X63" s="118"/>
      <c r="Y63" s="3"/>
      <c r="Z63" s="3"/>
      <c r="AA63" s="3"/>
      <c r="AB63" s="3"/>
      <c r="AG63" s="3"/>
      <c r="AH63" s="3"/>
      <c r="AI63" s="3"/>
      <c r="AJ63" s="3"/>
      <c r="AK63" s="3"/>
      <c r="AL63" s="3"/>
      <c r="AM63" s="3"/>
      <c r="AN63" s="3"/>
      <c r="AO63" s="3"/>
      <c r="AP63" s="3"/>
      <c r="AQ63" s="3"/>
      <c r="AR63" s="3"/>
      <c r="AS63" s="3"/>
    </row>
    <row r="64" spans="3:49" ht="18" x14ac:dyDescent="0.25">
      <c r="V64" s="70"/>
      <c r="W64" s="119" t="s">
        <v>216</v>
      </c>
      <c r="X64" s="120" t="s">
        <v>217</v>
      </c>
      <c r="Y64" s="32" t="s">
        <v>218</v>
      </c>
      <c r="Z64" s="32" t="s">
        <v>219</v>
      </c>
      <c r="AA64" s="32" t="s">
        <v>220</v>
      </c>
      <c r="AB64" s="32" t="s">
        <v>221</v>
      </c>
      <c r="AC64" s="32" t="s">
        <v>222</v>
      </c>
      <c r="AD64" s="32" t="s">
        <v>223</v>
      </c>
      <c r="AE64" s="32" t="s">
        <v>224</v>
      </c>
      <c r="AF64" s="32" t="s">
        <v>223</v>
      </c>
      <c r="AG64" s="32" t="s">
        <v>224</v>
      </c>
      <c r="AH64" s="3"/>
      <c r="AI64" s="3"/>
      <c r="AJ64" s="3"/>
      <c r="AK64" s="3"/>
      <c r="AL64" s="3"/>
      <c r="AM64" s="3"/>
      <c r="AN64" s="3"/>
      <c r="AO64" s="3"/>
      <c r="AP64" s="3"/>
      <c r="AQ64" s="3"/>
      <c r="AR64" s="3"/>
      <c r="AS64" s="3"/>
    </row>
    <row r="65" spans="22:45" ht="18" x14ac:dyDescent="0.25">
      <c r="V65" s="70"/>
      <c r="W65" s="84" t="s">
        <v>225</v>
      </c>
      <c r="X65" s="3" t="e">
        <f>D17</f>
        <v>#REF!</v>
      </c>
      <c r="Y65" t="e">
        <f>X70</f>
        <v>#REF!</v>
      </c>
      <c r="Z65" t="e">
        <f>Y70</f>
        <v>#REF!</v>
      </c>
      <c r="AA65" t="e">
        <f t="shared" ref="AA65:AH65" si="42">Z70</f>
        <v>#REF!</v>
      </c>
      <c r="AB65" t="e">
        <f t="shared" si="42"/>
        <v>#REF!</v>
      </c>
      <c r="AC65" t="e">
        <f t="shared" si="42"/>
        <v>#REF!</v>
      </c>
      <c r="AD65" t="e">
        <f t="shared" si="42"/>
        <v>#REF!</v>
      </c>
      <c r="AE65" t="e">
        <f t="shared" si="42"/>
        <v>#REF!</v>
      </c>
      <c r="AF65" t="e">
        <f t="shared" si="42"/>
        <v>#REF!</v>
      </c>
      <c r="AG65" t="e">
        <f t="shared" si="42"/>
        <v>#REF!</v>
      </c>
      <c r="AH65" t="e">
        <f t="shared" si="42"/>
        <v>#REF!</v>
      </c>
      <c r="AI65" s="3"/>
      <c r="AJ65" s="3"/>
      <c r="AK65" s="3"/>
      <c r="AL65" s="3"/>
      <c r="AM65" s="3"/>
      <c r="AN65" s="3"/>
      <c r="AO65" s="3"/>
      <c r="AP65" s="3"/>
      <c r="AQ65" s="3"/>
      <c r="AR65" s="3"/>
      <c r="AS65" s="3"/>
    </row>
    <row r="66" spans="22:45" ht="18" x14ac:dyDescent="0.25">
      <c r="V66" s="70"/>
      <c r="W66" s="84" t="s">
        <v>226</v>
      </c>
      <c r="X66" s="3" t="e">
        <f t="shared" ref="X66:Z67" si="43">X7</f>
        <v>#REF!</v>
      </c>
      <c r="Y66" s="3" t="e">
        <f t="shared" si="43"/>
        <v>#REF!</v>
      </c>
      <c r="Z66" s="3" t="e">
        <f t="shared" si="43"/>
        <v>#REF!</v>
      </c>
      <c r="AA66" s="3" t="e">
        <f t="shared" ref="AA66:AF66" si="44">AA7</f>
        <v>#REF!</v>
      </c>
      <c r="AB66" s="3" t="e">
        <f t="shared" si="44"/>
        <v>#REF!</v>
      </c>
      <c r="AC66" s="3" t="e">
        <f t="shared" si="44"/>
        <v>#REF!</v>
      </c>
      <c r="AD66" s="3" t="e">
        <f t="shared" si="44"/>
        <v>#REF!</v>
      </c>
      <c r="AE66" s="3" t="e">
        <f t="shared" si="44"/>
        <v>#REF!</v>
      </c>
      <c r="AF66" s="3" t="e">
        <f t="shared" si="44"/>
        <v>#REF!</v>
      </c>
      <c r="AG66" s="3" t="e">
        <f t="shared" ref="AG66:AH66" si="45">AG7</f>
        <v>#REF!</v>
      </c>
      <c r="AH66" s="3" t="e">
        <f t="shared" si="45"/>
        <v>#REF!</v>
      </c>
      <c r="AI66" s="3"/>
      <c r="AJ66" s="3"/>
      <c r="AK66" s="3"/>
      <c r="AL66" s="3"/>
      <c r="AM66" s="3"/>
      <c r="AN66" s="3"/>
      <c r="AO66" s="3"/>
      <c r="AP66" s="3"/>
      <c r="AQ66" s="3"/>
      <c r="AR66" s="3"/>
      <c r="AS66" s="3"/>
    </row>
    <row r="67" spans="22:45" ht="18" x14ac:dyDescent="0.25">
      <c r="V67" s="70"/>
      <c r="W67" s="121" t="s">
        <v>227</v>
      </c>
      <c r="X67" s="3" t="e">
        <f t="shared" si="43"/>
        <v>#REF!</v>
      </c>
      <c r="Y67" s="3" t="e">
        <f t="shared" si="43"/>
        <v>#REF!</v>
      </c>
      <c r="Z67" s="3" t="e">
        <f t="shared" si="43"/>
        <v>#REF!</v>
      </c>
      <c r="AA67" s="3" t="e">
        <f t="shared" ref="AA67:AF67" si="46">AA8</f>
        <v>#REF!</v>
      </c>
      <c r="AB67" s="3" t="e">
        <f t="shared" si="46"/>
        <v>#REF!</v>
      </c>
      <c r="AC67" s="3" t="e">
        <f t="shared" si="46"/>
        <v>#REF!</v>
      </c>
      <c r="AD67" s="3" t="e">
        <f t="shared" si="46"/>
        <v>#REF!</v>
      </c>
      <c r="AE67" s="3" t="e">
        <f t="shared" si="46"/>
        <v>#REF!</v>
      </c>
      <c r="AF67" s="3" t="e">
        <f t="shared" si="46"/>
        <v>#REF!</v>
      </c>
      <c r="AG67" s="3" t="e">
        <f t="shared" ref="AG67:AH67" si="47">AG8</f>
        <v>#REF!</v>
      </c>
      <c r="AH67" s="3" t="e">
        <f t="shared" si="47"/>
        <v>#REF!</v>
      </c>
      <c r="AI67" s="3"/>
      <c r="AJ67" s="3"/>
      <c r="AK67" s="3"/>
      <c r="AL67" s="3"/>
      <c r="AM67" s="3"/>
      <c r="AN67" s="3"/>
      <c r="AO67" s="3"/>
      <c r="AP67" s="3"/>
      <c r="AQ67" s="3"/>
      <c r="AR67" s="3"/>
      <c r="AS67" s="3"/>
    </row>
    <row r="68" spans="22:45" x14ac:dyDescent="0.2">
      <c r="W68" s="121" t="s">
        <v>228</v>
      </c>
      <c r="X68" s="39" t="e">
        <f>X11</f>
        <v>#REF!</v>
      </c>
      <c r="Y68" s="39" t="e">
        <f>Y11</f>
        <v>#REF!</v>
      </c>
      <c r="Z68" s="39" t="e">
        <f>Z11</f>
        <v>#REF!</v>
      </c>
      <c r="AA68" s="39" t="e">
        <f t="shared" ref="AA68:AF68" si="48">AA11</f>
        <v>#REF!</v>
      </c>
      <c r="AB68" s="39" t="e">
        <f t="shared" si="48"/>
        <v>#REF!</v>
      </c>
      <c r="AC68" s="39" t="e">
        <f t="shared" si="48"/>
        <v>#REF!</v>
      </c>
      <c r="AD68" s="39" t="e">
        <f t="shared" si="48"/>
        <v>#REF!</v>
      </c>
      <c r="AE68" s="39" t="e">
        <f t="shared" si="48"/>
        <v>#REF!</v>
      </c>
      <c r="AF68" s="39" t="e">
        <f t="shared" si="48"/>
        <v>#REF!</v>
      </c>
      <c r="AG68" s="39" t="e">
        <f t="shared" ref="AG68:AH68" si="49">AG11</f>
        <v>#REF!</v>
      </c>
      <c r="AH68" s="39" t="e">
        <f t="shared" si="49"/>
        <v>#REF!</v>
      </c>
      <c r="AI68" s="3"/>
      <c r="AJ68" s="3"/>
      <c r="AK68" s="3"/>
      <c r="AL68" s="3"/>
      <c r="AM68" s="3"/>
      <c r="AN68" s="3"/>
      <c r="AO68" s="3"/>
      <c r="AP68" s="3"/>
      <c r="AQ68" s="3"/>
      <c r="AR68" s="3"/>
      <c r="AS68" s="3"/>
    </row>
    <row r="69" spans="22:45" x14ac:dyDescent="0.2">
      <c r="W69" s="121" t="s">
        <v>229</v>
      </c>
      <c r="X69" s="39" t="e">
        <f>+X66-X67-X68</f>
        <v>#REF!</v>
      </c>
      <c r="Y69" s="39" t="e">
        <f>+Y66-Y67-Y68</f>
        <v>#REF!</v>
      </c>
      <c r="Z69" s="39" t="e">
        <f>+Z66-Z67-Z68</f>
        <v>#REF!</v>
      </c>
      <c r="AA69" s="39" t="e">
        <f t="shared" ref="AA69:AF69" si="50">+AA66-AA67-AA68</f>
        <v>#REF!</v>
      </c>
      <c r="AB69" s="39" t="e">
        <f t="shared" si="50"/>
        <v>#REF!</v>
      </c>
      <c r="AC69" s="39" t="e">
        <f t="shared" si="50"/>
        <v>#REF!</v>
      </c>
      <c r="AD69" s="39" t="e">
        <f t="shared" si="50"/>
        <v>#REF!</v>
      </c>
      <c r="AE69" s="39" t="e">
        <f t="shared" si="50"/>
        <v>#REF!</v>
      </c>
      <c r="AF69" s="39" t="e">
        <f t="shared" si="50"/>
        <v>#REF!</v>
      </c>
      <c r="AG69" s="39" t="e">
        <f t="shared" ref="AG69:AH69" si="51">+AG66-AG67-AG68</f>
        <v>#REF!</v>
      </c>
      <c r="AH69" s="39" t="e">
        <f t="shared" si="51"/>
        <v>#REF!</v>
      </c>
      <c r="AI69" s="3"/>
      <c r="AJ69" s="3"/>
      <c r="AK69" s="3"/>
      <c r="AL69" s="3"/>
      <c r="AM69" s="3"/>
      <c r="AN69" s="3"/>
      <c r="AO69" s="3"/>
      <c r="AP69" s="3"/>
      <c r="AQ69" s="3"/>
      <c r="AR69" s="3"/>
      <c r="AS69" s="3"/>
    </row>
    <row r="70" spans="22:45" x14ac:dyDescent="0.2">
      <c r="W70" s="121" t="s">
        <v>230</v>
      </c>
      <c r="X70" s="39" t="e">
        <f>+X65-X69</f>
        <v>#REF!</v>
      </c>
      <c r="Y70" s="39" t="e">
        <f>+Y65-Y69</f>
        <v>#REF!</v>
      </c>
      <c r="Z70" s="39" t="e">
        <f>+Z65-Z69</f>
        <v>#REF!</v>
      </c>
      <c r="AA70" s="39" t="e">
        <f t="shared" ref="AA70:AF70" si="52">+AA65-AA69</f>
        <v>#REF!</v>
      </c>
      <c r="AB70" s="39" t="e">
        <f t="shared" si="52"/>
        <v>#REF!</v>
      </c>
      <c r="AC70" s="39" t="e">
        <f t="shared" si="52"/>
        <v>#REF!</v>
      </c>
      <c r="AD70" s="39" t="e">
        <f t="shared" si="52"/>
        <v>#REF!</v>
      </c>
      <c r="AE70" s="39" t="e">
        <f t="shared" si="52"/>
        <v>#REF!</v>
      </c>
      <c r="AF70" s="39" t="e">
        <f t="shared" si="52"/>
        <v>#REF!</v>
      </c>
      <c r="AG70" s="39" t="e">
        <f t="shared" ref="AG70:AH70" si="53">+AG65-AG69</f>
        <v>#REF!</v>
      </c>
      <c r="AH70" s="39" t="e">
        <f t="shared" si="53"/>
        <v>#REF!</v>
      </c>
      <c r="AI70" s="3"/>
      <c r="AJ70" s="3"/>
      <c r="AK70" s="3"/>
      <c r="AL70" s="3"/>
      <c r="AM70" s="3"/>
      <c r="AN70" s="3"/>
      <c r="AO70" s="3"/>
      <c r="AP70" s="3"/>
      <c r="AQ70" s="3"/>
      <c r="AR70" s="3"/>
      <c r="AS70" s="3"/>
    </row>
    <row r="71" spans="22:45" x14ac:dyDescent="0.2">
      <c r="W71" s="121"/>
      <c r="X71" s="39" t="e">
        <f>IF(X65/X69&gt;1,1,X65/X69)</f>
        <v>#REF!</v>
      </c>
      <c r="Y71" s="39" t="e">
        <f>IF(Y65/Y69&gt;1,1,Y65/Y69)*0+8/12</f>
        <v>#REF!</v>
      </c>
      <c r="Z71" s="39" t="e">
        <f>IF(Z65/Z69&gt;1,1,Z65/Z69)</f>
        <v>#REF!</v>
      </c>
      <c r="AA71" s="39" t="e">
        <f t="shared" ref="AA71:AF71" si="54">IF(AA65/AA69&gt;1,1,AA65/AA69)</f>
        <v>#REF!</v>
      </c>
      <c r="AB71" s="39" t="e">
        <f t="shared" si="54"/>
        <v>#REF!</v>
      </c>
      <c r="AC71" s="39" t="e">
        <f t="shared" si="54"/>
        <v>#REF!</v>
      </c>
      <c r="AD71" s="39" t="e">
        <f t="shared" si="54"/>
        <v>#REF!</v>
      </c>
      <c r="AE71" s="39" t="e">
        <f t="shared" si="54"/>
        <v>#REF!</v>
      </c>
      <c r="AF71" s="39" t="e">
        <f t="shared" si="54"/>
        <v>#REF!</v>
      </c>
      <c r="AG71" s="39" t="e">
        <f t="shared" ref="AG71:AH71" si="55">IF(AG65/AG69&gt;1,1,AG65/AG69)</f>
        <v>#REF!</v>
      </c>
      <c r="AH71" s="39" t="e">
        <f t="shared" si="55"/>
        <v>#REF!</v>
      </c>
      <c r="AI71" s="3"/>
      <c r="AJ71" s="3"/>
      <c r="AK71" s="3"/>
      <c r="AL71" s="3"/>
      <c r="AM71" s="3"/>
      <c r="AN71" s="3"/>
      <c r="AO71" s="3"/>
      <c r="AP71" s="3"/>
      <c r="AQ71" s="3"/>
      <c r="AR71" s="3"/>
      <c r="AS71" s="3"/>
    </row>
    <row r="72" spans="22:45" x14ac:dyDescent="0.2">
      <c r="W72" s="122" t="s">
        <v>231</v>
      </c>
      <c r="X72" s="185" t="e">
        <f>SUM(Y71:AG71)</f>
        <v>#REF!</v>
      </c>
      <c r="Y72" s="45"/>
      <c r="Z72" s="123"/>
      <c r="AA72" s="13"/>
      <c r="AB72" s="21"/>
      <c r="AC72" s="21"/>
      <c r="AD72" s="13"/>
      <c r="AE72" s="13"/>
      <c r="AG72" s="3"/>
      <c r="AH72" s="3"/>
      <c r="AI72" s="3"/>
      <c r="AJ72" s="3"/>
      <c r="AK72" s="3"/>
      <c r="AL72" s="3"/>
      <c r="AM72" s="3"/>
      <c r="AN72" s="3"/>
      <c r="AO72" s="3"/>
      <c r="AP72" s="3"/>
      <c r="AQ72" s="3"/>
      <c r="AR72" s="3"/>
      <c r="AS72" s="3"/>
    </row>
    <row r="73" spans="22:45" x14ac:dyDescent="0.2">
      <c r="AE73" s="3"/>
      <c r="AF73" s="3"/>
      <c r="AG73" s="3"/>
      <c r="AH73" s="3"/>
      <c r="AI73" s="3"/>
      <c r="AJ73" s="3"/>
      <c r="AK73" s="3"/>
      <c r="AL73" s="3"/>
      <c r="AM73" s="3"/>
      <c r="AN73" s="3"/>
      <c r="AO73" s="3"/>
      <c r="AP73" s="3"/>
      <c r="AQ73" s="3"/>
      <c r="AR73" s="3"/>
      <c r="AS73" s="3"/>
    </row>
    <row r="74" spans="22:45" x14ac:dyDescent="0.2">
      <c r="W74" s="39" t="s">
        <v>232</v>
      </c>
      <c r="X74" s="39"/>
      <c r="Y74" s="3"/>
      <c r="Z74" s="3" t="e">
        <f t="shared" ref="Z74:AJ74" si="56">Z7/(Z30+Z32)</f>
        <v>#REF!</v>
      </c>
      <c r="AA74" s="3" t="e">
        <f t="shared" si="56"/>
        <v>#REF!</v>
      </c>
      <c r="AB74" s="3" t="e">
        <f t="shared" si="56"/>
        <v>#REF!</v>
      </c>
      <c r="AC74" s="3" t="e">
        <f t="shared" si="56"/>
        <v>#REF!</v>
      </c>
      <c r="AD74" s="3" t="e">
        <f t="shared" si="56"/>
        <v>#REF!</v>
      </c>
      <c r="AE74" s="3" t="e">
        <f t="shared" si="56"/>
        <v>#REF!</v>
      </c>
      <c r="AF74" s="3" t="e">
        <f t="shared" si="56"/>
        <v>#REF!</v>
      </c>
      <c r="AG74" s="3" t="e">
        <f t="shared" si="56"/>
        <v>#REF!</v>
      </c>
      <c r="AH74" s="3" t="e">
        <f t="shared" si="56"/>
        <v>#REF!</v>
      </c>
      <c r="AI74" s="3" t="e">
        <f t="shared" si="56"/>
        <v>#REF!</v>
      </c>
      <c r="AJ74" s="3" t="e">
        <f t="shared" si="56"/>
        <v>#REF!</v>
      </c>
      <c r="AK74" s="124"/>
      <c r="AL74" s="124"/>
      <c r="AM74" s="124"/>
      <c r="AN74" s="3"/>
      <c r="AO74" s="3"/>
      <c r="AP74" s="3"/>
      <c r="AQ74" s="3"/>
      <c r="AR74" s="3"/>
      <c r="AS74" s="3"/>
    </row>
    <row r="75" spans="22:45" x14ac:dyDescent="0.2">
      <c r="W75" s="39" t="s">
        <v>233</v>
      </c>
      <c r="X75" s="39"/>
      <c r="Y75" s="39"/>
      <c r="Z75" s="39"/>
      <c r="AA75" s="39"/>
      <c r="AB75" s="39"/>
      <c r="AC75" s="39"/>
      <c r="AD75" s="39"/>
      <c r="AE75" s="39"/>
      <c r="AG75" s="3"/>
      <c r="AH75" s="3"/>
      <c r="AI75" s="3"/>
      <c r="AJ75" s="3"/>
      <c r="AK75" s="3"/>
      <c r="AL75" s="3"/>
      <c r="AM75" s="3"/>
      <c r="AN75" s="3"/>
      <c r="AO75" s="3"/>
      <c r="AP75" s="3"/>
      <c r="AQ75" s="3"/>
      <c r="AR75" s="3"/>
      <c r="AS75" s="3"/>
    </row>
    <row r="76" spans="22:45" x14ac:dyDescent="0.2">
      <c r="W76" s="39" t="s">
        <v>234</v>
      </c>
      <c r="X76" s="39"/>
      <c r="AA76" s="39"/>
      <c r="AB76" s="39"/>
      <c r="AC76" s="39"/>
      <c r="AD76" s="39"/>
      <c r="AE76" s="39"/>
      <c r="AG76" s="3"/>
      <c r="AH76" s="3"/>
      <c r="AI76" s="3"/>
      <c r="AJ76" s="3"/>
      <c r="AK76" s="3"/>
      <c r="AL76" s="3"/>
      <c r="AM76" s="3"/>
      <c r="AN76" s="3"/>
      <c r="AO76" s="3"/>
      <c r="AP76" s="3"/>
      <c r="AQ76" s="3"/>
      <c r="AR76" s="3"/>
      <c r="AS76" s="3"/>
    </row>
    <row r="77" spans="22:45" x14ac:dyDescent="0.2">
      <c r="W77" s="39" t="s">
        <v>235</v>
      </c>
      <c r="X77" s="39"/>
      <c r="Y77" s="3" t="e">
        <f>SUM(Y7:AG7)/SUM(Y30:AG32)</f>
        <v>#REF!</v>
      </c>
      <c r="Z77" s="3"/>
      <c r="AA77" s="3"/>
      <c r="AB77" s="3"/>
      <c r="AC77" s="3"/>
      <c r="AD77" s="3"/>
      <c r="AE77" s="3"/>
      <c r="AG77" s="3"/>
      <c r="AH77" s="3"/>
      <c r="AI77" s="3"/>
      <c r="AJ77" s="3"/>
      <c r="AK77" s="3"/>
      <c r="AL77" s="3"/>
      <c r="AM77" s="3"/>
      <c r="AN77" s="3"/>
      <c r="AO77" s="3"/>
      <c r="AP77" s="3"/>
      <c r="AQ77" s="3"/>
      <c r="AR77" s="3"/>
      <c r="AS77" s="3"/>
    </row>
    <row r="78" spans="22:45" x14ac:dyDescent="0.2">
      <c r="W78" s="3"/>
      <c r="X78" s="3"/>
      <c r="Y78" s="3"/>
      <c r="Z78" s="3"/>
      <c r="AA78" s="3"/>
      <c r="AB78" s="3"/>
      <c r="AC78" s="3"/>
      <c r="AD78" s="3"/>
      <c r="AE78" s="3"/>
      <c r="AF78" s="3"/>
      <c r="AG78" s="3"/>
      <c r="AH78" s="3"/>
      <c r="AI78" s="3"/>
      <c r="AJ78" s="3"/>
      <c r="AK78" s="3"/>
      <c r="AL78" s="3"/>
      <c r="AM78" s="3"/>
      <c r="AN78" s="3"/>
      <c r="AO78" s="3"/>
      <c r="AP78" s="3"/>
      <c r="AQ78" s="3"/>
      <c r="AR78" s="3"/>
      <c r="AS78" s="3"/>
    </row>
    <row r="79" spans="22:45" x14ac:dyDescent="0.2">
      <c r="W79" s="3"/>
      <c r="X79" s="3"/>
      <c r="Y79" s="3"/>
      <c r="Z79" s="3"/>
      <c r="AA79" s="3"/>
      <c r="AB79" s="3"/>
      <c r="AC79" s="3"/>
      <c r="AD79" s="3"/>
      <c r="AE79" s="3"/>
      <c r="AF79" s="3"/>
      <c r="AG79" s="3"/>
      <c r="AH79" s="3"/>
      <c r="AI79" s="3"/>
      <c r="AJ79" s="3"/>
      <c r="AK79" s="3"/>
      <c r="AL79" s="3"/>
      <c r="AM79" s="3"/>
      <c r="AN79" s="3"/>
      <c r="AO79" s="3"/>
      <c r="AP79" s="3"/>
      <c r="AQ79" s="3"/>
      <c r="AR79" s="3"/>
      <c r="AS79" s="3"/>
    </row>
    <row r="80" spans="22:45" x14ac:dyDescent="0.2">
      <c r="W80" s="3"/>
      <c r="X80" s="3"/>
      <c r="Y80" s="3"/>
      <c r="Z80" s="3"/>
      <c r="AA80" s="3"/>
      <c r="AB80" s="3"/>
      <c r="AC80" s="3"/>
      <c r="AD80" s="3"/>
      <c r="AE80" s="3"/>
      <c r="AF80" s="3"/>
      <c r="AG80" s="3"/>
      <c r="AH80" s="3"/>
      <c r="AI80" s="3"/>
      <c r="AJ80" s="3"/>
      <c r="AK80" s="3"/>
      <c r="AL80" s="3"/>
      <c r="AM80" s="3"/>
      <c r="AN80" s="3"/>
      <c r="AO80" s="3"/>
      <c r="AP80" s="3"/>
      <c r="AQ80" s="3"/>
      <c r="AR80" s="3"/>
      <c r="AS80" s="3"/>
    </row>
    <row r="81" spans="23:45" x14ac:dyDescent="0.2">
      <c r="W81" s="3"/>
      <c r="X81" s="3"/>
      <c r="Y81" s="3"/>
      <c r="Z81" s="3"/>
      <c r="AA81" s="3"/>
      <c r="AB81" s="3"/>
      <c r="AC81" s="3"/>
      <c r="AD81" s="3"/>
      <c r="AE81" s="3"/>
      <c r="AF81" s="3"/>
      <c r="AG81" s="3"/>
      <c r="AH81" s="3"/>
      <c r="AI81" s="3"/>
      <c r="AJ81" s="3"/>
      <c r="AK81" s="3"/>
      <c r="AL81" s="3"/>
      <c r="AM81" s="3"/>
      <c r="AN81" s="3"/>
      <c r="AO81" s="3"/>
      <c r="AP81" s="3"/>
      <c r="AQ81" s="3"/>
      <c r="AR81" s="3"/>
      <c r="AS81" s="3"/>
    </row>
    <row r="82" spans="23:45" x14ac:dyDescent="0.2">
      <c r="W82" s="3"/>
      <c r="X82" s="3"/>
      <c r="Y82" s="3"/>
      <c r="Z82" s="3"/>
      <c r="AA82" s="3"/>
      <c r="AB82" s="3"/>
      <c r="AC82" s="3"/>
      <c r="AD82" s="3"/>
      <c r="AE82" s="3"/>
      <c r="AF82" s="3"/>
      <c r="AG82" s="3"/>
      <c r="AH82" s="3"/>
      <c r="AI82" s="3"/>
      <c r="AJ82" s="3"/>
      <c r="AK82" s="3"/>
      <c r="AL82" s="3"/>
      <c r="AM82" s="3"/>
      <c r="AN82" s="3"/>
      <c r="AO82" s="3"/>
      <c r="AP82" s="3"/>
      <c r="AQ82" s="3"/>
      <c r="AR82" s="3"/>
      <c r="AS82" s="3"/>
    </row>
    <row r="83" spans="23:45" x14ac:dyDescent="0.2">
      <c r="W83" s="3"/>
      <c r="X83" s="3"/>
      <c r="Y83" s="3"/>
      <c r="Z83" s="3"/>
      <c r="AA83" s="3"/>
      <c r="AB83" s="3"/>
      <c r="AC83" s="3"/>
      <c r="AD83" s="3"/>
      <c r="AE83" s="3"/>
      <c r="AF83" s="3"/>
      <c r="AG83" s="3"/>
      <c r="AH83" s="3"/>
      <c r="AI83" s="3"/>
      <c r="AJ83" s="3"/>
      <c r="AK83" s="3"/>
      <c r="AL83" s="3"/>
      <c r="AM83" s="3"/>
      <c r="AN83" s="3"/>
      <c r="AO83" s="3"/>
      <c r="AP83" s="3"/>
      <c r="AQ83" s="3"/>
      <c r="AR83" s="3"/>
      <c r="AS83" s="3"/>
    </row>
    <row r="84" spans="23:45" x14ac:dyDescent="0.2">
      <c r="W84" s="3"/>
      <c r="X84" s="3"/>
      <c r="Y84" s="3"/>
      <c r="Z84" s="3"/>
      <c r="AA84" s="3"/>
      <c r="AB84" s="3"/>
      <c r="AC84" s="3"/>
      <c r="AD84" s="3"/>
      <c r="AE84" s="3"/>
      <c r="AF84" s="3"/>
      <c r="AG84" s="3"/>
      <c r="AH84" s="3"/>
      <c r="AI84" s="3"/>
      <c r="AJ84" s="3"/>
      <c r="AK84" s="3"/>
      <c r="AL84" s="3"/>
      <c r="AM84" s="3"/>
      <c r="AN84" s="3"/>
      <c r="AO84" s="3"/>
      <c r="AP84" s="3"/>
      <c r="AQ84" s="3"/>
      <c r="AR84" s="3"/>
      <c r="AS84" s="3"/>
    </row>
    <row r="85" spans="23:45" x14ac:dyDescent="0.2">
      <c r="W85" s="3"/>
      <c r="X85" s="3"/>
      <c r="Y85" s="3"/>
      <c r="Z85" s="3"/>
      <c r="AA85" s="3"/>
      <c r="AB85" s="3"/>
      <c r="AC85" s="3"/>
      <c r="AD85" s="3"/>
      <c r="AE85" s="3"/>
      <c r="AF85" s="3"/>
      <c r="AG85" s="3"/>
      <c r="AH85" s="3"/>
      <c r="AI85" s="3"/>
      <c r="AJ85" s="3"/>
      <c r="AK85" s="3"/>
      <c r="AL85" s="3"/>
      <c r="AM85" s="3"/>
      <c r="AN85" s="3"/>
      <c r="AO85" s="3"/>
      <c r="AP85" s="3"/>
      <c r="AQ85" s="3"/>
      <c r="AR85" s="3"/>
      <c r="AS85" s="3"/>
    </row>
    <row r="86" spans="23:45" x14ac:dyDescent="0.2">
      <c r="W86" s="3"/>
      <c r="X86" s="3"/>
      <c r="Y86" s="3"/>
      <c r="Z86" s="3"/>
      <c r="AA86" s="3"/>
      <c r="AB86" s="3"/>
      <c r="AC86" s="3"/>
      <c r="AD86" s="3"/>
      <c r="AE86" s="3"/>
      <c r="AF86" s="3"/>
      <c r="AG86" s="3"/>
      <c r="AH86" s="3"/>
      <c r="AI86" s="3"/>
      <c r="AJ86" s="3"/>
      <c r="AK86" s="3"/>
      <c r="AL86" s="3"/>
      <c r="AM86" s="3"/>
      <c r="AN86" s="3"/>
      <c r="AO86" s="3"/>
      <c r="AP86" s="3"/>
      <c r="AQ86" s="3"/>
      <c r="AR86" s="3"/>
      <c r="AS86" s="3"/>
    </row>
  </sheetData>
  <mergeCells count="2">
    <mergeCell ref="H3:I3"/>
    <mergeCell ref="H15:I15"/>
  </mergeCells>
  <phoneticPr fontId="45" type="noConversion"/>
  <pageMargins left="1.06" right="0.75" top="1.01" bottom="0.66" header="0.5" footer="0.47"/>
  <pageSetup scale="1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7:E37"/>
  <sheetViews>
    <sheetView topLeftCell="A3" workbookViewId="0">
      <selection activeCell="E22" sqref="E22"/>
    </sheetView>
  </sheetViews>
  <sheetFormatPr defaultRowHeight="15" x14ac:dyDescent="0.2"/>
  <cols>
    <col min="3" max="3" width="28.6640625" customWidth="1"/>
    <col min="4" max="4" width="17.21875" customWidth="1"/>
    <col min="5" max="5" width="15" customWidth="1"/>
  </cols>
  <sheetData>
    <row r="7" spans="2:5" ht="18.75" x14ac:dyDescent="0.3">
      <c r="E7" s="104" t="s">
        <v>250</v>
      </c>
    </row>
    <row r="8" spans="2:5" ht="18.75" x14ac:dyDescent="0.3">
      <c r="D8" s="81"/>
    </row>
    <row r="9" spans="2:5" ht="15.75" x14ac:dyDescent="0.25">
      <c r="B9" s="1305" t="e">
        <f>#REF!</f>
        <v>#REF!</v>
      </c>
      <c r="C9" s="1305"/>
      <c r="D9" s="1305"/>
      <c r="E9" s="1305"/>
    </row>
    <row r="10" spans="2:5" ht="15.75" x14ac:dyDescent="0.25">
      <c r="B10" s="1305" t="e">
        <f>#REF!</f>
        <v>#REF!</v>
      </c>
      <c r="C10" s="1305"/>
      <c r="D10" s="1305"/>
      <c r="E10" s="1305"/>
    </row>
    <row r="11" spans="2:5" ht="15.75" x14ac:dyDescent="0.2">
      <c r="B11" s="1310" t="e">
        <f>#REF!</f>
        <v>#REF!</v>
      </c>
      <c r="C11" s="1310"/>
      <c r="D11" s="1310"/>
      <c r="E11" s="1310"/>
    </row>
    <row r="12" spans="2:5" ht="15.75" x14ac:dyDescent="0.25">
      <c r="B12" s="1307" t="s">
        <v>127</v>
      </c>
      <c r="C12" s="1307"/>
      <c r="D12" s="1307"/>
      <c r="E12" s="1307"/>
    </row>
    <row r="13" spans="2:5" ht="15.75" x14ac:dyDescent="0.25">
      <c r="B13" s="74"/>
      <c r="C13" s="74"/>
      <c r="D13" s="74"/>
      <c r="E13" s="74"/>
    </row>
    <row r="14" spans="2:5" x14ac:dyDescent="0.2">
      <c r="B14" s="90" t="s">
        <v>140</v>
      </c>
      <c r="C14" s="90" t="s">
        <v>124</v>
      </c>
      <c r="D14" s="90" t="s">
        <v>38</v>
      </c>
      <c r="E14" s="90" t="s">
        <v>141</v>
      </c>
    </row>
    <row r="15" spans="2:5" ht="15.75" x14ac:dyDescent="0.2">
      <c r="B15" s="412">
        <v>1</v>
      </c>
      <c r="C15" s="413" t="s">
        <v>237</v>
      </c>
      <c r="D15" s="414" t="s">
        <v>115</v>
      </c>
      <c r="E15" s="415" t="e">
        <f>#REF!</f>
        <v>#REF!</v>
      </c>
    </row>
    <row r="16" spans="2:5" ht="15.75" x14ac:dyDescent="0.2">
      <c r="B16" s="416"/>
      <c r="C16" s="417"/>
      <c r="D16" s="418"/>
      <c r="E16" s="419"/>
    </row>
    <row r="17" spans="2:5" ht="15.75" x14ac:dyDescent="0.2">
      <c r="B17" s="416">
        <v>2</v>
      </c>
      <c r="C17" s="420" t="s">
        <v>325</v>
      </c>
      <c r="D17" s="421" t="s">
        <v>115</v>
      </c>
      <c r="E17" s="419" t="e">
        <f>GM!F40</f>
        <v>#REF!</v>
      </c>
    </row>
    <row r="18" spans="2:5" ht="15.75" x14ac:dyDescent="0.2">
      <c r="B18" s="416"/>
      <c r="C18" s="422"/>
      <c r="D18" s="421"/>
      <c r="E18" s="419"/>
    </row>
    <row r="19" spans="2:5" ht="15.75" x14ac:dyDescent="0.2">
      <c r="B19" s="423">
        <v>3</v>
      </c>
      <c r="C19" s="424" t="s">
        <v>200</v>
      </c>
      <c r="D19" s="425" t="s">
        <v>116</v>
      </c>
      <c r="E19" s="419" t="e">
        <f>'cash flow (Old)'!X55</f>
        <v>#REF!</v>
      </c>
    </row>
    <row r="20" spans="2:5" ht="15.75" x14ac:dyDescent="0.2">
      <c r="B20" s="416"/>
      <c r="C20" s="426"/>
      <c r="D20" s="427"/>
      <c r="E20" s="422"/>
    </row>
    <row r="21" spans="2:5" ht="15.75" x14ac:dyDescent="0.2">
      <c r="B21" s="416">
        <v>4</v>
      </c>
      <c r="C21" s="424" t="s">
        <v>117</v>
      </c>
      <c r="D21" s="427" t="s">
        <v>35</v>
      </c>
      <c r="E21" s="428" t="e">
        <f>'cash flow (Old)'!X58</f>
        <v>#VALUE!</v>
      </c>
    </row>
    <row r="22" spans="2:5" ht="15.75" x14ac:dyDescent="0.2">
      <c r="B22" s="429"/>
      <c r="C22" s="430"/>
      <c r="D22" s="431"/>
      <c r="E22" s="432"/>
    </row>
    <row r="23" spans="2:5" ht="15.75" x14ac:dyDescent="0.2">
      <c r="B23" s="91"/>
      <c r="C23" s="1308"/>
      <c r="D23" s="1309"/>
      <c r="E23" s="1309"/>
    </row>
    <row r="26" spans="2:5" ht="15.75" x14ac:dyDescent="0.25">
      <c r="B26" s="76"/>
      <c r="C26" s="74"/>
      <c r="D26" s="73"/>
      <c r="E26" s="73"/>
    </row>
    <row r="27" spans="2:5" ht="15.75" x14ac:dyDescent="0.25">
      <c r="B27" s="73"/>
      <c r="C27" s="73"/>
      <c r="D27" s="73"/>
      <c r="E27" s="73"/>
    </row>
    <row r="28" spans="2:5" ht="15.75" x14ac:dyDescent="0.25">
      <c r="B28" s="1307" t="s">
        <v>118</v>
      </c>
      <c r="C28" s="1307"/>
      <c r="D28" s="1307"/>
      <c r="E28" s="1307"/>
    </row>
    <row r="29" spans="2:5" ht="15.75" x14ac:dyDescent="0.25">
      <c r="B29" s="75"/>
      <c r="C29" s="75"/>
      <c r="D29" s="75"/>
      <c r="E29" s="75"/>
    </row>
    <row r="30" spans="2:5" ht="15.75" x14ac:dyDescent="0.25">
      <c r="B30" s="73"/>
      <c r="C30" s="73"/>
      <c r="D30" s="73"/>
      <c r="E30" s="73"/>
    </row>
    <row r="31" spans="2:5" ht="15.75" x14ac:dyDescent="0.25">
      <c r="B31" s="77" t="s">
        <v>27</v>
      </c>
      <c r="C31" s="92" t="s">
        <v>119</v>
      </c>
      <c r="D31" s="93" t="s">
        <v>34</v>
      </c>
      <c r="E31" s="73" t="s">
        <v>149</v>
      </c>
    </row>
    <row r="32" spans="2:5" ht="15.75" x14ac:dyDescent="0.25">
      <c r="B32" s="77"/>
      <c r="C32" s="78"/>
      <c r="D32" s="92" t="s">
        <v>120</v>
      </c>
      <c r="E32" s="73"/>
    </row>
    <row r="33" spans="2:5" ht="22.5" customHeight="1" x14ac:dyDescent="0.25">
      <c r="B33" s="94">
        <v>1</v>
      </c>
      <c r="C33" s="96" t="s">
        <v>146</v>
      </c>
      <c r="D33" s="95" t="e">
        <f>$E$21</f>
        <v>#VALUE!</v>
      </c>
      <c r="E33" s="73"/>
    </row>
    <row r="34" spans="2:5" ht="22.5" customHeight="1" x14ac:dyDescent="0.25">
      <c r="B34" s="94">
        <v>2</v>
      </c>
      <c r="C34" s="80" t="s">
        <v>145</v>
      </c>
      <c r="D34" s="95">
        <v>0.14438267769681332</v>
      </c>
      <c r="E34" s="73"/>
    </row>
    <row r="35" spans="2:5" ht="24.75" customHeight="1" x14ac:dyDescent="0.25">
      <c r="B35" s="94">
        <v>3</v>
      </c>
      <c r="C35" s="80" t="s">
        <v>121</v>
      </c>
      <c r="D35" s="95">
        <v>0.13992384480029049</v>
      </c>
      <c r="E35" s="73"/>
    </row>
    <row r="36" spans="2:5" ht="35.25" customHeight="1" x14ac:dyDescent="0.25">
      <c r="B36" s="94">
        <v>4</v>
      </c>
      <c r="C36" s="80" t="s">
        <v>122</v>
      </c>
      <c r="D36" s="95">
        <v>0.12877328530126689</v>
      </c>
      <c r="E36" s="73"/>
    </row>
    <row r="37" spans="2:5" ht="15.75" x14ac:dyDescent="0.25">
      <c r="B37" s="460">
        <v>5</v>
      </c>
      <c r="C37" s="461" t="s">
        <v>147</v>
      </c>
      <c r="D37" s="462" t="e">
        <f t="shared" ref="D37" si="0">$E$21</f>
        <v>#VALUE!</v>
      </c>
      <c r="E37" s="463">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92"/>
  <sheetViews>
    <sheetView topLeftCell="A85" workbookViewId="0">
      <selection activeCell="D28" sqref="D28"/>
    </sheetView>
  </sheetViews>
  <sheetFormatPr defaultRowHeight="12.75" x14ac:dyDescent="0.2"/>
  <cols>
    <col min="1" max="1" width="9.21875" style="978"/>
    <col min="2" max="2" width="61.6640625" style="978" customWidth="1"/>
    <col min="3" max="3" width="10.88671875" style="978" customWidth="1"/>
    <col min="4" max="4" width="15.6640625" style="978" customWidth="1"/>
    <col min="5" max="5" width="20.88671875" style="978" customWidth="1"/>
    <col min="6" max="6" width="13.5546875" style="978" customWidth="1"/>
    <col min="7" max="7" width="11.44140625" style="978" customWidth="1"/>
    <col min="8" max="8" width="12.5546875" style="978" customWidth="1"/>
    <col min="9" max="9" width="16.21875" style="978" customWidth="1"/>
    <col min="10" max="10" width="11.21875" style="978" customWidth="1"/>
    <col min="11" max="11" width="9.77734375" style="978" bestFit="1" customWidth="1"/>
    <col min="12" max="15" width="9.21875" style="978"/>
    <col min="16" max="16" width="24.5546875" style="978" customWidth="1"/>
    <col min="17" max="17" width="12.109375" style="978" customWidth="1"/>
    <col min="18" max="18" width="9.21875" style="978"/>
    <col min="19" max="19" width="11.44140625" style="978" customWidth="1"/>
    <col min="20" max="20" width="11.88671875" style="978" customWidth="1"/>
    <col min="21" max="257" width="9.21875" style="978"/>
    <col min="258" max="258" width="61.6640625" style="978" customWidth="1"/>
    <col min="259" max="259" width="10.88671875" style="978" customWidth="1"/>
    <col min="260" max="260" width="15.6640625" style="978" customWidth="1"/>
    <col min="261" max="261" width="20.88671875" style="978" customWidth="1"/>
    <col min="262" max="262" width="13.5546875" style="978" customWidth="1"/>
    <col min="263" max="263" width="11.44140625" style="978" customWidth="1"/>
    <col min="264" max="264" width="12.5546875" style="978" customWidth="1"/>
    <col min="265" max="265" width="16.21875" style="978" customWidth="1"/>
    <col min="266" max="266" width="11.21875" style="978" customWidth="1"/>
    <col min="267" max="267" width="9.77734375" style="978" bestFit="1" customWidth="1"/>
    <col min="268" max="271" width="9.21875" style="978"/>
    <col min="272" max="272" width="24.5546875" style="978" customWidth="1"/>
    <col min="273" max="273" width="12.109375" style="978" customWidth="1"/>
    <col min="274" max="274" width="9.21875" style="978"/>
    <col min="275" max="275" width="11.44140625" style="978" customWidth="1"/>
    <col min="276" max="276" width="11.88671875" style="978" customWidth="1"/>
    <col min="277" max="513" width="9.21875" style="978"/>
    <col min="514" max="514" width="61.6640625" style="978" customWidth="1"/>
    <col min="515" max="515" width="10.88671875" style="978" customWidth="1"/>
    <col min="516" max="516" width="15.6640625" style="978" customWidth="1"/>
    <col min="517" max="517" width="20.88671875" style="978" customWidth="1"/>
    <col min="518" max="518" width="13.5546875" style="978" customWidth="1"/>
    <col min="519" max="519" width="11.44140625" style="978" customWidth="1"/>
    <col min="520" max="520" width="12.5546875" style="978" customWidth="1"/>
    <col min="521" max="521" width="16.21875" style="978" customWidth="1"/>
    <col min="522" max="522" width="11.21875" style="978" customWidth="1"/>
    <col min="523" max="523" width="9.77734375" style="978" bestFit="1" customWidth="1"/>
    <col min="524" max="527" width="9.21875" style="978"/>
    <col min="528" max="528" width="24.5546875" style="978" customWidth="1"/>
    <col min="529" max="529" width="12.109375" style="978" customWidth="1"/>
    <col min="530" max="530" width="9.21875" style="978"/>
    <col min="531" max="531" width="11.44140625" style="978" customWidth="1"/>
    <col min="532" max="532" width="11.88671875" style="978" customWidth="1"/>
    <col min="533" max="769" width="9.21875" style="978"/>
    <col min="770" max="770" width="61.6640625" style="978" customWidth="1"/>
    <col min="771" max="771" width="10.88671875" style="978" customWidth="1"/>
    <col min="772" max="772" width="15.6640625" style="978" customWidth="1"/>
    <col min="773" max="773" width="20.88671875" style="978" customWidth="1"/>
    <col min="774" max="774" width="13.5546875" style="978" customWidth="1"/>
    <col min="775" max="775" width="11.44140625" style="978" customWidth="1"/>
    <col min="776" max="776" width="12.5546875" style="978" customWidth="1"/>
    <col min="777" max="777" width="16.21875" style="978" customWidth="1"/>
    <col min="778" max="778" width="11.21875" style="978" customWidth="1"/>
    <col min="779" max="779" width="9.77734375" style="978" bestFit="1" customWidth="1"/>
    <col min="780" max="783" width="9.21875" style="978"/>
    <col min="784" max="784" width="24.5546875" style="978" customWidth="1"/>
    <col min="785" max="785" width="12.109375" style="978" customWidth="1"/>
    <col min="786" max="786" width="9.21875" style="978"/>
    <col min="787" max="787" width="11.44140625" style="978" customWidth="1"/>
    <col min="788" max="788" width="11.88671875" style="978" customWidth="1"/>
    <col min="789" max="1025" width="9.21875" style="978"/>
    <col min="1026" max="1026" width="61.6640625" style="978" customWidth="1"/>
    <col min="1027" max="1027" width="10.88671875" style="978" customWidth="1"/>
    <col min="1028" max="1028" width="15.6640625" style="978" customWidth="1"/>
    <col min="1029" max="1029" width="20.88671875" style="978" customWidth="1"/>
    <col min="1030" max="1030" width="13.5546875" style="978" customWidth="1"/>
    <col min="1031" max="1031" width="11.44140625" style="978" customWidth="1"/>
    <col min="1032" max="1032" width="12.5546875" style="978" customWidth="1"/>
    <col min="1033" max="1033" width="16.21875" style="978" customWidth="1"/>
    <col min="1034" max="1034" width="11.21875" style="978" customWidth="1"/>
    <col min="1035" max="1035" width="9.77734375" style="978" bestFit="1" customWidth="1"/>
    <col min="1036" max="1039" width="9.21875" style="978"/>
    <col min="1040" max="1040" width="24.5546875" style="978" customWidth="1"/>
    <col min="1041" max="1041" width="12.109375" style="978" customWidth="1"/>
    <col min="1042" max="1042" width="9.21875" style="978"/>
    <col min="1043" max="1043" width="11.44140625" style="978" customWidth="1"/>
    <col min="1044" max="1044" width="11.88671875" style="978" customWidth="1"/>
    <col min="1045" max="1281" width="9.21875" style="978"/>
    <col min="1282" max="1282" width="61.6640625" style="978" customWidth="1"/>
    <col min="1283" max="1283" width="10.88671875" style="978" customWidth="1"/>
    <col min="1284" max="1284" width="15.6640625" style="978" customWidth="1"/>
    <col min="1285" max="1285" width="20.88671875" style="978" customWidth="1"/>
    <col min="1286" max="1286" width="13.5546875" style="978" customWidth="1"/>
    <col min="1287" max="1287" width="11.44140625" style="978" customWidth="1"/>
    <col min="1288" max="1288" width="12.5546875" style="978" customWidth="1"/>
    <col min="1289" max="1289" width="16.21875" style="978" customWidth="1"/>
    <col min="1290" max="1290" width="11.21875" style="978" customWidth="1"/>
    <col min="1291" max="1291" width="9.77734375" style="978" bestFit="1" customWidth="1"/>
    <col min="1292" max="1295" width="9.21875" style="978"/>
    <col min="1296" max="1296" width="24.5546875" style="978" customWidth="1"/>
    <col min="1297" max="1297" width="12.109375" style="978" customWidth="1"/>
    <col min="1298" max="1298" width="9.21875" style="978"/>
    <col min="1299" max="1299" width="11.44140625" style="978" customWidth="1"/>
    <col min="1300" max="1300" width="11.88671875" style="978" customWidth="1"/>
    <col min="1301" max="1537" width="9.21875" style="978"/>
    <col min="1538" max="1538" width="61.6640625" style="978" customWidth="1"/>
    <col min="1539" max="1539" width="10.88671875" style="978" customWidth="1"/>
    <col min="1540" max="1540" width="15.6640625" style="978" customWidth="1"/>
    <col min="1541" max="1541" width="20.88671875" style="978" customWidth="1"/>
    <col min="1542" max="1542" width="13.5546875" style="978" customWidth="1"/>
    <col min="1543" max="1543" width="11.44140625" style="978" customWidth="1"/>
    <col min="1544" max="1544" width="12.5546875" style="978" customWidth="1"/>
    <col min="1545" max="1545" width="16.21875" style="978" customWidth="1"/>
    <col min="1546" max="1546" width="11.21875" style="978" customWidth="1"/>
    <col min="1547" max="1547" width="9.77734375" style="978" bestFit="1" customWidth="1"/>
    <col min="1548" max="1551" width="9.21875" style="978"/>
    <col min="1552" max="1552" width="24.5546875" style="978" customWidth="1"/>
    <col min="1553" max="1553" width="12.109375" style="978" customWidth="1"/>
    <col min="1554" max="1554" width="9.21875" style="978"/>
    <col min="1555" max="1555" width="11.44140625" style="978" customWidth="1"/>
    <col min="1556" max="1556" width="11.88671875" style="978" customWidth="1"/>
    <col min="1557" max="1793" width="9.21875" style="978"/>
    <col min="1794" max="1794" width="61.6640625" style="978" customWidth="1"/>
    <col min="1795" max="1795" width="10.88671875" style="978" customWidth="1"/>
    <col min="1796" max="1796" width="15.6640625" style="978" customWidth="1"/>
    <col min="1797" max="1797" width="20.88671875" style="978" customWidth="1"/>
    <col min="1798" max="1798" width="13.5546875" style="978" customWidth="1"/>
    <col min="1799" max="1799" width="11.44140625" style="978" customWidth="1"/>
    <col min="1800" max="1800" width="12.5546875" style="978" customWidth="1"/>
    <col min="1801" max="1801" width="16.21875" style="978" customWidth="1"/>
    <col min="1802" max="1802" width="11.21875" style="978" customWidth="1"/>
    <col min="1803" max="1803" width="9.77734375" style="978" bestFit="1" customWidth="1"/>
    <col min="1804" max="1807" width="9.21875" style="978"/>
    <col min="1808" max="1808" width="24.5546875" style="978" customWidth="1"/>
    <col min="1809" max="1809" width="12.109375" style="978" customWidth="1"/>
    <col min="1810" max="1810" width="9.21875" style="978"/>
    <col min="1811" max="1811" width="11.44140625" style="978" customWidth="1"/>
    <col min="1812" max="1812" width="11.88671875" style="978" customWidth="1"/>
    <col min="1813" max="2049" width="9.21875" style="978"/>
    <col min="2050" max="2050" width="61.6640625" style="978" customWidth="1"/>
    <col min="2051" max="2051" width="10.88671875" style="978" customWidth="1"/>
    <col min="2052" max="2052" width="15.6640625" style="978" customWidth="1"/>
    <col min="2053" max="2053" width="20.88671875" style="978" customWidth="1"/>
    <col min="2054" max="2054" width="13.5546875" style="978" customWidth="1"/>
    <col min="2055" max="2055" width="11.44140625" style="978" customWidth="1"/>
    <col min="2056" max="2056" width="12.5546875" style="978" customWidth="1"/>
    <col min="2057" max="2057" width="16.21875" style="978" customWidth="1"/>
    <col min="2058" max="2058" width="11.21875" style="978" customWidth="1"/>
    <col min="2059" max="2059" width="9.77734375" style="978" bestFit="1" customWidth="1"/>
    <col min="2060" max="2063" width="9.21875" style="978"/>
    <col min="2064" max="2064" width="24.5546875" style="978" customWidth="1"/>
    <col min="2065" max="2065" width="12.109375" style="978" customWidth="1"/>
    <col min="2066" max="2066" width="9.21875" style="978"/>
    <col min="2067" max="2067" width="11.44140625" style="978" customWidth="1"/>
    <col min="2068" max="2068" width="11.88671875" style="978" customWidth="1"/>
    <col min="2069" max="2305" width="9.21875" style="978"/>
    <col min="2306" max="2306" width="61.6640625" style="978" customWidth="1"/>
    <col min="2307" max="2307" width="10.88671875" style="978" customWidth="1"/>
    <col min="2308" max="2308" width="15.6640625" style="978" customWidth="1"/>
    <col min="2309" max="2309" width="20.88671875" style="978" customWidth="1"/>
    <col min="2310" max="2310" width="13.5546875" style="978" customWidth="1"/>
    <col min="2311" max="2311" width="11.44140625" style="978" customWidth="1"/>
    <col min="2312" max="2312" width="12.5546875" style="978" customWidth="1"/>
    <col min="2313" max="2313" width="16.21875" style="978" customWidth="1"/>
    <col min="2314" max="2314" width="11.21875" style="978" customWidth="1"/>
    <col min="2315" max="2315" width="9.77734375" style="978" bestFit="1" customWidth="1"/>
    <col min="2316" max="2319" width="9.21875" style="978"/>
    <col min="2320" max="2320" width="24.5546875" style="978" customWidth="1"/>
    <col min="2321" max="2321" width="12.109375" style="978" customWidth="1"/>
    <col min="2322" max="2322" width="9.21875" style="978"/>
    <col min="2323" max="2323" width="11.44140625" style="978" customWidth="1"/>
    <col min="2324" max="2324" width="11.88671875" style="978" customWidth="1"/>
    <col min="2325" max="2561" width="9.21875" style="978"/>
    <col min="2562" max="2562" width="61.6640625" style="978" customWidth="1"/>
    <col min="2563" max="2563" width="10.88671875" style="978" customWidth="1"/>
    <col min="2564" max="2564" width="15.6640625" style="978" customWidth="1"/>
    <col min="2565" max="2565" width="20.88671875" style="978" customWidth="1"/>
    <col min="2566" max="2566" width="13.5546875" style="978" customWidth="1"/>
    <col min="2567" max="2567" width="11.44140625" style="978" customWidth="1"/>
    <col min="2568" max="2568" width="12.5546875" style="978" customWidth="1"/>
    <col min="2569" max="2569" width="16.21875" style="978" customWidth="1"/>
    <col min="2570" max="2570" width="11.21875" style="978" customWidth="1"/>
    <col min="2571" max="2571" width="9.77734375" style="978" bestFit="1" customWidth="1"/>
    <col min="2572" max="2575" width="9.21875" style="978"/>
    <col min="2576" max="2576" width="24.5546875" style="978" customWidth="1"/>
    <col min="2577" max="2577" width="12.109375" style="978" customWidth="1"/>
    <col min="2578" max="2578" width="9.21875" style="978"/>
    <col min="2579" max="2579" width="11.44140625" style="978" customWidth="1"/>
    <col min="2580" max="2580" width="11.88671875" style="978" customWidth="1"/>
    <col min="2581" max="2817" width="9.21875" style="978"/>
    <col min="2818" max="2818" width="61.6640625" style="978" customWidth="1"/>
    <col min="2819" max="2819" width="10.88671875" style="978" customWidth="1"/>
    <col min="2820" max="2820" width="15.6640625" style="978" customWidth="1"/>
    <col min="2821" max="2821" width="20.88671875" style="978" customWidth="1"/>
    <col min="2822" max="2822" width="13.5546875" style="978" customWidth="1"/>
    <col min="2823" max="2823" width="11.44140625" style="978" customWidth="1"/>
    <col min="2824" max="2824" width="12.5546875" style="978" customWidth="1"/>
    <col min="2825" max="2825" width="16.21875" style="978" customWidth="1"/>
    <col min="2826" max="2826" width="11.21875" style="978" customWidth="1"/>
    <col min="2827" max="2827" width="9.77734375" style="978" bestFit="1" customWidth="1"/>
    <col min="2828" max="2831" width="9.21875" style="978"/>
    <col min="2832" max="2832" width="24.5546875" style="978" customWidth="1"/>
    <col min="2833" max="2833" width="12.109375" style="978" customWidth="1"/>
    <col min="2834" max="2834" width="9.21875" style="978"/>
    <col min="2835" max="2835" width="11.44140625" style="978" customWidth="1"/>
    <col min="2836" max="2836" width="11.88671875" style="978" customWidth="1"/>
    <col min="2837" max="3073" width="9.21875" style="978"/>
    <col min="3074" max="3074" width="61.6640625" style="978" customWidth="1"/>
    <col min="3075" max="3075" width="10.88671875" style="978" customWidth="1"/>
    <col min="3076" max="3076" width="15.6640625" style="978" customWidth="1"/>
    <col min="3077" max="3077" width="20.88671875" style="978" customWidth="1"/>
    <col min="3078" max="3078" width="13.5546875" style="978" customWidth="1"/>
    <col min="3079" max="3079" width="11.44140625" style="978" customWidth="1"/>
    <col min="3080" max="3080" width="12.5546875" style="978" customWidth="1"/>
    <col min="3081" max="3081" width="16.21875" style="978" customWidth="1"/>
    <col min="3082" max="3082" width="11.21875" style="978" customWidth="1"/>
    <col min="3083" max="3083" width="9.77734375" style="978" bestFit="1" customWidth="1"/>
    <col min="3084" max="3087" width="9.21875" style="978"/>
    <col min="3088" max="3088" width="24.5546875" style="978" customWidth="1"/>
    <col min="3089" max="3089" width="12.109375" style="978" customWidth="1"/>
    <col min="3090" max="3090" width="9.21875" style="978"/>
    <col min="3091" max="3091" width="11.44140625" style="978" customWidth="1"/>
    <col min="3092" max="3092" width="11.88671875" style="978" customWidth="1"/>
    <col min="3093" max="3329" width="9.21875" style="978"/>
    <col min="3330" max="3330" width="61.6640625" style="978" customWidth="1"/>
    <col min="3331" max="3331" width="10.88671875" style="978" customWidth="1"/>
    <col min="3332" max="3332" width="15.6640625" style="978" customWidth="1"/>
    <col min="3333" max="3333" width="20.88671875" style="978" customWidth="1"/>
    <col min="3334" max="3334" width="13.5546875" style="978" customWidth="1"/>
    <col min="3335" max="3335" width="11.44140625" style="978" customWidth="1"/>
    <col min="3336" max="3336" width="12.5546875" style="978" customWidth="1"/>
    <col min="3337" max="3337" width="16.21875" style="978" customWidth="1"/>
    <col min="3338" max="3338" width="11.21875" style="978" customWidth="1"/>
    <col min="3339" max="3339" width="9.77734375" style="978" bestFit="1" customWidth="1"/>
    <col min="3340" max="3343" width="9.21875" style="978"/>
    <col min="3344" max="3344" width="24.5546875" style="978" customWidth="1"/>
    <col min="3345" max="3345" width="12.109375" style="978" customWidth="1"/>
    <col min="3346" max="3346" width="9.21875" style="978"/>
    <col min="3347" max="3347" width="11.44140625" style="978" customWidth="1"/>
    <col min="3348" max="3348" width="11.88671875" style="978" customWidth="1"/>
    <col min="3349" max="3585" width="9.21875" style="978"/>
    <col min="3586" max="3586" width="61.6640625" style="978" customWidth="1"/>
    <col min="3587" max="3587" width="10.88671875" style="978" customWidth="1"/>
    <col min="3588" max="3588" width="15.6640625" style="978" customWidth="1"/>
    <col min="3589" max="3589" width="20.88671875" style="978" customWidth="1"/>
    <col min="3590" max="3590" width="13.5546875" style="978" customWidth="1"/>
    <col min="3591" max="3591" width="11.44140625" style="978" customWidth="1"/>
    <col min="3592" max="3592" width="12.5546875" style="978" customWidth="1"/>
    <col min="3593" max="3593" width="16.21875" style="978" customWidth="1"/>
    <col min="3594" max="3594" width="11.21875" style="978" customWidth="1"/>
    <col min="3595" max="3595" width="9.77734375" style="978" bestFit="1" customWidth="1"/>
    <col min="3596" max="3599" width="9.21875" style="978"/>
    <col min="3600" max="3600" width="24.5546875" style="978" customWidth="1"/>
    <col min="3601" max="3601" width="12.109375" style="978" customWidth="1"/>
    <col min="3602" max="3602" width="9.21875" style="978"/>
    <col min="3603" max="3603" width="11.44140625" style="978" customWidth="1"/>
    <col min="3604" max="3604" width="11.88671875" style="978" customWidth="1"/>
    <col min="3605" max="3841" width="9.21875" style="978"/>
    <col min="3842" max="3842" width="61.6640625" style="978" customWidth="1"/>
    <col min="3843" max="3843" width="10.88671875" style="978" customWidth="1"/>
    <col min="3844" max="3844" width="15.6640625" style="978" customWidth="1"/>
    <col min="3845" max="3845" width="20.88671875" style="978" customWidth="1"/>
    <col min="3846" max="3846" width="13.5546875" style="978" customWidth="1"/>
    <col min="3847" max="3847" width="11.44140625" style="978" customWidth="1"/>
    <col min="3848" max="3848" width="12.5546875" style="978" customWidth="1"/>
    <col min="3849" max="3849" width="16.21875" style="978" customWidth="1"/>
    <col min="3850" max="3850" width="11.21875" style="978" customWidth="1"/>
    <col min="3851" max="3851" width="9.77734375" style="978" bestFit="1" customWidth="1"/>
    <col min="3852" max="3855" width="9.21875" style="978"/>
    <col min="3856" max="3856" width="24.5546875" style="978" customWidth="1"/>
    <col min="3857" max="3857" width="12.109375" style="978" customWidth="1"/>
    <col min="3858" max="3858" width="9.21875" style="978"/>
    <col min="3859" max="3859" width="11.44140625" style="978" customWidth="1"/>
    <col min="3860" max="3860" width="11.88671875" style="978" customWidth="1"/>
    <col min="3861" max="4097" width="9.21875" style="978"/>
    <col min="4098" max="4098" width="61.6640625" style="978" customWidth="1"/>
    <col min="4099" max="4099" width="10.88671875" style="978" customWidth="1"/>
    <col min="4100" max="4100" width="15.6640625" style="978" customWidth="1"/>
    <col min="4101" max="4101" width="20.88671875" style="978" customWidth="1"/>
    <col min="4102" max="4102" width="13.5546875" style="978" customWidth="1"/>
    <col min="4103" max="4103" width="11.44140625" style="978" customWidth="1"/>
    <col min="4104" max="4104" width="12.5546875" style="978" customWidth="1"/>
    <col min="4105" max="4105" width="16.21875" style="978" customWidth="1"/>
    <col min="4106" max="4106" width="11.21875" style="978" customWidth="1"/>
    <col min="4107" max="4107" width="9.77734375" style="978" bestFit="1" customWidth="1"/>
    <col min="4108" max="4111" width="9.21875" style="978"/>
    <col min="4112" max="4112" width="24.5546875" style="978" customWidth="1"/>
    <col min="4113" max="4113" width="12.109375" style="978" customWidth="1"/>
    <col min="4114" max="4114" width="9.21875" style="978"/>
    <col min="4115" max="4115" width="11.44140625" style="978" customWidth="1"/>
    <col min="4116" max="4116" width="11.88671875" style="978" customWidth="1"/>
    <col min="4117" max="4353" width="9.21875" style="978"/>
    <col min="4354" max="4354" width="61.6640625" style="978" customWidth="1"/>
    <col min="4355" max="4355" width="10.88671875" style="978" customWidth="1"/>
    <col min="4356" max="4356" width="15.6640625" style="978" customWidth="1"/>
    <col min="4357" max="4357" width="20.88671875" style="978" customWidth="1"/>
    <col min="4358" max="4358" width="13.5546875" style="978" customWidth="1"/>
    <col min="4359" max="4359" width="11.44140625" style="978" customWidth="1"/>
    <col min="4360" max="4360" width="12.5546875" style="978" customWidth="1"/>
    <col min="4361" max="4361" width="16.21875" style="978" customWidth="1"/>
    <col min="4362" max="4362" width="11.21875" style="978" customWidth="1"/>
    <col min="4363" max="4363" width="9.77734375" style="978" bestFit="1" customWidth="1"/>
    <col min="4364" max="4367" width="9.21875" style="978"/>
    <col min="4368" max="4368" width="24.5546875" style="978" customWidth="1"/>
    <col min="4369" max="4369" width="12.109375" style="978" customWidth="1"/>
    <col min="4370" max="4370" width="9.21875" style="978"/>
    <col min="4371" max="4371" width="11.44140625" style="978" customWidth="1"/>
    <col min="4372" max="4372" width="11.88671875" style="978" customWidth="1"/>
    <col min="4373" max="4609" width="9.21875" style="978"/>
    <col min="4610" max="4610" width="61.6640625" style="978" customWidth="1"/>
    <col min="4611" max="4611" width="10.88671875" style="978" customWidth="1"/>
    <col min="4612" max="4612" width="15.6640625" style="978" customWidth="1"/>
    <col min="4613" max="4613" width="20.88671875" style="978" customWidth="1"/>
    <col min="4614" max="4614" width="13.5546875" style="978" customWidth="1"/>
    <col min="4615" max="4615" width="11.44140625" style="978" customWidth="1"/>
    <col min="4616" max="4616" width="12.5546875" style="978" customWidth="1"/>
    <col min="4617" max="4617" width="16.21875" style="978" customWidth="1"/>
    <col min="4618" max="4618" width="11.21875" style="978" customWidth="1"/>
    <col min="4619" max="4619" width="9.77734375" style="978" bestFit="1" customWidth="1"/>
    <col min="4620" max="4623" width="9.21875" style="978"/>
    <col min="4624" max="4624" width="24.5546875" style="978" customWidth="1"/>
    <col min="4625" max="4625" width="12.109375" style="978" customWidth="1"/>
    <col min="4626" max="4626" width="9.21875" style="978"/>
    <col min="4627" max="4627" width="11.44140625" style="978" customWidth="1"/>
    <col min="4628" max="4628" width="11.88671875" style="978" customWidth="1"/>
    <col min="4629" max="4865" width="9.21875" style="978"/>
    <col min="4866" max="4866" width="61.6640625" style="978" customWidth="1"/>
    <col min="4867" max="4867" width="10.88671875" style="978" customWidth="1"/>
    <col min="4868" max="4868" width="15.6640625" style="978" customWidth="1"/>
    <col min="4869" max="4869" width="20.88671875" style="978" customWidth="1"/>
    <col min="4870" max="4870" width="13.5546875" style="978" customWidth="1"/>
    <col min="4871" max="4871" width="11.44140625" style="978" customWidth="1"/>
    <col min="4872" max="4872" width="12.5546875" style="978" customWidth="1"/>
    <col min="4873" max="4873" width="16.21875" style="978" customWidth="1"/>
    <col min="4874" max="4874" width="11.21875" style="978" customWidth="1"/>
    <col min="4875" max="4875" width="9.77734375" style="978" bestFit="1" customWidth="1"/>
    <col min="4876" max="4879" width="9.21875" style="978"/>
    <col min="4880" max="4880" width="24.5546875" style="978" customWidth="1"/>
    <col min="4881" max="4881" width="12.109375" style="978" customWidth="1"/>
    <col min="4882" max="4882" width="9.21875" style="978"/>
    <col min="4883" max="4883" width="11.44140625" style="978" customWidth="1"/>
    <col min="4884" max="4884" width="11.88671875" style="978" customWidth="1"/>
    <col min="4885" max="5121" width="9.21875" style="978"/>
    <col min="5122" max="5122" width="61.6640625" style="978" customWidth="1"/>
    <col min="5123" max="5123" width="10.88671875" style="978" customWidth="1"/>
    <col min="5124" max="5124" width="15.6640625" style="978" customWidth="1"/>
    <col min="5125" max="5125" width="20.88671875" style="978" customWidth="1"/>
    <col min="5126" max="5126" width="13.5546875" style="978" customWidth="1"/>
    <col min="5127" max="5127" width="11.44140625" style="978" customWidth="1"/>
    <col min="5128" max="5128" width="12.5546875" style="978" customWidth="1"/>
    <col min="5129" max="5129" width="16.21875" style="978" customWidth="1"/>
    <col min="5130" max="5130" width="11.21875" style="978" customWidth="1"/>
    <col min="5131" max="5131" width="9.77734375" style="978" bestFit="1" customWidth="1"/>
    <col min="5132" max="5135" width="9.21875" style="978"/>
    <col min="5136" max="5136" width="24.5546875" style="978" customWidth="1"/>
    <col min="5137" max="5137" width="12.109375" style="978" customWidth="1"/>
    <col min="5138" max="5138" width="9.21875" style="978"/>
    <col min="5139" max="5139" width="11.44140625" style="978" customWidth="1"/>
    <col min="5140" max="5140" width="11.88671875" style="978" customWidth="1"/>
    <col min="5141" max="5377" width="9.21875" style="978"/>
    <col min="5378" max="5378" width="61.6640625" style="978" customWidth="1"/>
    <col min="5379" max="5379" width="10.88671875" style="978" customWidth="1"/>
    <col min="5380" max="5380" width="15.6640625" style="978" customWidth="1"/>
    <col min="5381" max="5381" width="20.88671875" style="978" customWidth="1"/>
    <col min="5382" max="5382" width="13.5546875" style="978" customWidth="1"/>
    <col min="5383" max="5383" width="11.44140625" style="978" customWidth="1"/>
    <col min="5384" max="5384" width="12.5546875" style="978" customWidth="1"/>
    <col min="5385" max="5385" width="16.21875" style="978" customWidth="1"/>
    <col min="5386" max="5386" width="11.21875" style="978" customWidth="1"/>
    <col min="5387" max="5387" width="9.77734375" style="978" bestFit="1" customWidth="1"/>
    <col min="5388" max="5391" width="9.21875" style="978"/>
    <col min="5392" max="5392" width="24.5546875" style="978" customWidth="1"/>
    <col min="5393" max="5393" width="12.109375" style="978" customWidth="1"/>
    <col min="5394" max="5394" width="9.21875" style="978"/>
    <col min="5395" max="5395" width="11.44140625" style="978" customWidth="1"/>
    <col min="5396" max="5396" width="11.88671875" style="978" customWidth="1"/>
    <col min="5397" max="5633" width="9.21875" style="978"/>
    <col min="5634" max="5634" width="61.6640625" style="978" customWidth="1"/>
    <col min="5635" max="5635" width="10.88671875" style="978" customWidth="1"/>
    <col min="5636" max="5636" width="15.6640625" style="978" customWidth="1"/>
    <col min="5637" max="5637" width="20.88671875" style="978" customWidth="1"/>
    <col min="5638" max="5638" width="13.5546875" style="978" customWidth="1"/>
    <col min="5639" max="5639" width="11.44140625" style="978" customWidth="1"/>
    <col min="5640" max="5640" width="12.5546875" style="978" customWidth="1"/>
    <col min="5641" max="5641" width="16.21875" style="978" customWidth="1"/>
    <col min="5642" max="5642" width="11.21875" style="978" customWidth="1"/>
    <col min="5643" max="5643" width="9.77734375" style="978" bestFit="1" customWidth="1"/>
    <col min="5644" max="5647" width="9.21875" style="978"/>
    <col min="5648" max="5648" width="24.5546875" style="978" customWidth="1"/>
    <col min="5649" max="5649" width="12.109375" style="978" customWidth="1"/>
    <col min="5650" max="5650" width="9.21875" style="978"/>
    <col min="5651" max="5651" width="11.44140625" style="978" customWidth="1"/>
    <col min="5652" max="5652" width="11.88671875" style="978" customWidth="1"/>
    <col min="5653" max="5889" width="9.21875" style="978"/>
    <col min="5890" max="5890" width="61.6640625" style="978" customWidth="1"/>
    <col min="5891" max="5891" width="10.88671875" style="978" customWidth="1"/>
    <col min="5892" max="5892" width="15.6640625" style="978" customWidth="1"/>
    <col min="5893" max="5893" width="20.88671875" style="978" customWidth="1"/>
    <col min="5894" max="5894" width="13.5546875" style="978" customWidth="1"/>
    <col min="5895" max="5895" width="11.44140625" style="978" customWidth="1"/>
    <col min="5896" max="5896" width="12.5546875" style="978" customWidth="1"/>
    <col min="5897" max="5897" width="16.21875" style="978" customWidth="1"/>
    <col min="5898" max="5898" width="11.21875" style="978" customWidth="1"/>
    <col min="5899" max="5899" width="9.77734375" style="978" bestFit="1" customWidth="1"/>
    <col min="5900" max="5903" width="9.21875" style="978"/>
    <col min="5904" max="5904" width="24.5546875" style="978" customWidth="1"/>
    <col min="5905" max="5905" width="12.109375" style="978" customWidth="1"/>
    <col min="5906" max="5906" width="9.21875" style="978"/>
    <col min="5907" max="5907" width="11.44140625" style="978" customWidth="1"/>
    <col min="5908" max="5908" width="11.88671875" style="978" customWidth="1"/>
    <col min="5909" max="6145" width="9.21875" style="978"/>
    <col min="6146" max="6146" width="61.6640625" style="978" customWidth="1"/>
    <col min="6147" max="6147" width="10.88671875" style="978" customWidth="1"/>
    <col min="6148" max="6148" width="15.6640625" style="978" customWidth="1"/>
    <col min="6149" max="6149" width="20.88671875" style="978" customWidth="1"/>
    <col min="6150" max="6150" width="13.5546875" style="978" customWidth="1"/>
    <col min="6151" max="6151" width="11.44140625" style="978" customWidth="1"/>
    <col min="6152" max="6152" width="12.5546875" style="978" customWidth="1"/>
    <col min="6153" max="6153" width="16.21875" style="978" customWidth="1"/>
    <col min="6154" max="6154" width="11.21875" style="978" customWidth="1"/>
    <col min="6155" max="6155" width="9.77734375" style="978" bestFit="1" customWidth="1"/>
    <col min="6156" max="6159" width="9.21875" style="978"/>
    <col min="6160" max="6160" width="24.5546875" style="978" customWidth="1"/>
    <col min="6161" max="6161" width="12.109375" style="978" customWidth="1"/>
    <col min="6162" max="6162" width="9.21875" style="978"/>
    <col min="6163" max="6163" width="11.44140625" style="978" customWidth="1"/>
    <col min="6164" max="6164" width="11.88671875" style="978" customWidth="1"/>
    <col min="6165" max="6401" width="9.21875" style="978"/>
    <col min="6402" max="6402" width="61.6640625" style="978" customWidth="1"/>
    <col min="6403" max="6403" width="10.88671875" style="978" customWidth="1"/>
    <col min="6404" max="6404" width="15.6640625" style="978" customWidth="1"/>
    <col min="6405" max="6405" width="20.88671875" style="978" customWidth="1"/>
    <col min="6406" max="6406" width="13.5546875" style="978" customWidth="1"/>
    <col min="6407" max="6407" width="11.44140625" style="978" customWidth="1"/>
    <col min="6408" max="6408" width="12.5546875" style="978" customWidth="1"/>
    <col min="6409" max="6409" width="16.21875" style="978" customWidth="1"/>
    <col min="6410" max="6410" width="11.21875" style="978" customWidth="1"/>
    <col min="6411" max="6411" width="9.77734375" style="978" bestFit="1" customWidth="1"/>
    <col min="6412" max="6415" width="9.21875" style="978"/>
    <col min="6416" max="6416" width="24.5546875" style="978" customWidth="1"/>
    <col min="6417" max="6417" width="12.109375" style="978" customWidth="1"/>
    <col min="6418" max="6418" width="9.21875" style="978"/>
    <col min="6419" max="6419" width="11.44140625" style="978" customWidth="1"/>
    <col min="6420" max="6420" width="11.88671875" style="978" customWidth="1"/>
    <col min="6421" max="6657" width="9.21875" style="978"/>
    <col min="6658" max="6658" width="61.6640625" style="978" customWidth="1"/>
    <col min="6659" max="6659" width="10.88671875" style="978" customWidth="1"/>
    <col min="6660" max="6660" width="15.6640625" style="978" customWidth="1"/>
    <col min="6661" max="6661" width="20.88671875" style="978" customWidth="1"/>
    <col min="6662" max="6662" width="13.5546875" style="978" customWidth="1"/>
    <col min="6663" max="6663" width="11.44140625" style="978" customWidth="1"/>
    <col min="6664" max="6664" width="12.5546875" style="978" customWidth="1"/>
    <col min="6665" max="6665" width="16.21875" style="978" customWidth="1"/>
    <col min="6666" max="6666" width="11.21875" style="978" customWidth="1"/>
    <col min="6667" max="6667" width="9.77734375" style="978" bestFit="1" customWidth="1"/>
    <col min="6668" max="6671" width="9.21875" style="978"/>
    <col min="6672" max="6672" width="24.5546875" style="978" customWidth="1"/>
    <col min="6673" max="6673" width="12.109375" style="978" customWidth="1"/>
    <col min="6674" max="6674" width="9.21875" style="978"/>
    <col min="6675" max="6675" width="11.44140625" style="978" customWidth="1"/>
    <col min="6676" max="6676" width="11.88671875" style="978" customWidth="1"/>
    <col min="6677" max="6913" width="9.21875" style="978"/>
    <col min="6914" max="6914" width="61.6640625" style="978" customWidth="1"/>
    <col min="6915" max="6915" width="10.88671875" style="978" customWidth="1"/>
    <col min="6916" max="6916" width="15.6640625" style="978" customWidth="1"/>
    <col min="6917" max="6917" width="20.88671875" style="978" customWidth="1"/>
    <col min="6918" max="6918" width="13.5546875" style="978" customWidth="1"/>
    <col min="6919" max="6919" width="11.44140625" style="978" customWidth="1"/>
    <col min="6920" max="6920" width="12.5546875" style="978" customWidth="1"/>
    <col min="6921" max="6921" width="16.21875" style="978" customWidth="1"/>
    <col min="6922" max="6922" width="11.21875" style="978" customWidth="1"/>
    <col min="6923" max="6923" width="9.77734375" style="978" bestFit="1" customWidth="1"/>
    <col min="6924" max="6927" width="9.21875" style="978"/>
    <col min="6928" max="6928" width="24.5546875" style="978" customWidth="1"/>
    <col min="6929" max="6929" width="12.109375" style="978" customWidth="1"/>
    <col min="6930" max="6930" width="9.21875" style="978"/>
    <col min="6931" max="6931" width="11.44140625" style="978" customWidth="1"/>
    <col min="6932" max="6932" width="11.88671875" style="978" customWidth="1"/>
    <col min="6933" max="7169" width="9.21875" style="978"/>
    <col min="7170" max="7170" width="61.6640625" style="978" customWidth="1"/>
    <col min="7171" max="7171" width="10.88671875" style="978" customWidth="1"/>
    <col min="7172" max="7172" width="15.6640625" style="978" customWidth="1"/>
    <col min="7173" max="7173" width="20.88671875" style="978" customWidth="1"/>
    <col min="7174" max="7174" width="13.5546875" style="978" customWidth="1"/>
    <col min="7175" max="7175" width="11.44140625" style="978" customWidth="1"/>
    <col min="7176" max="7176" width="12.5546875" style="978" customWidth="1"/>
    <col min="7177" max="7177" width="16.21875" style="978" customWidth="1"/>
    <col min="7178" max="7178" width="11.21875" style="978" customWidth="1"/>
    <col min="7179" max="7179" width="9.77734375" style="978" bestFit="1" customWidth="1"/>
    <col min="7180" max="7183" width="9.21875" style="978"/>
    <col min="7184" max="7184" width="24.5546875" style="978" customWidth="1"/>
    <col min="7185" max="7185" width="12.109375" style="978" customWidth="1"/>
    <col min="7186" max="7186" width="9.21875" style="978"/>
    <col min="7187" max="7187" width="11.44140625" style="978" customWidth="1"/>
    <col min="7188" max="7188" width="11.88671875" style="978" customWidth="1"/>
    <col min="7189" max="7425" width="9.21875" style="978"/>
    <col min="7426" max="7426" width="61.6640625" style="978" customWidth="1"/>
    <col min="7427" max="7427" width="10.88671875" style="978" customWidth="1"/>
    <col min="7428" max="7428" width="15.6640625" style="978" customWidth="1"/>
    <col min="7429" max="7429" width="20.88671875" style="978" customWidth="1"/>
    <col min="7430" max="7430" width="13.5546875" style="978" customWidth="1"/>
    <col min="7431" max="7431" width="11.44140625" style="978" customWidth="1"/>
    <col min="7432" max="7432" width="12.5546875" style="978" customWidth="1"/>
    <col min="7433" max="7433" width="16.21875" style="978" customWidth="1"/>
    <col min="7434" max="7434" width="11.21875" style="978" customWidth="1"/>
    <col min="7435" max="7435" width="9.77734375" style="978" bestFit="1" customWidth="1"/>
    <col min="7436" max="7439" width="9.21875" style="978"/>
    <col min="7440" max="7440" width="24.5546875" style="978" customWidth="1"/>
    <col min="7441" max="7441" width="12.109375" style="978" customWidth="1"/>
    <col min="7442" max="7442" width="9.21875" style="978"/>
    <col min="7443" max="7443" width="11.44140625" style="978" customWidth="1"/>
    <col min="7444" max="7444" width="11.88671875" style="978" customWidth="1"/>
    <col min="7445" max="7681" width="9.21875" style="978"/>
    <col min="7682" max="7682" width="61.6640625" style="978" customWidth="1"/>
    <col min="7683" max="7683" width="10.88671875" style="978" customWidth="1"/>
    <col min="7684" max="7684" width="15.6640625" style="978" customWidth="1"/>
    <col min="7685" max="7685" width="20.88671875" style="978" customWidth="1"/>
    <col min="7686" max="7686" width="13.5546875" style="978" customWidth="1"/>
    <col min="7687" max="7687" width="11.44140625" style="978" customWidth="1"/>
    <col min="7688" max="7688" width="12.5546875" style="978" customWidth="1"/>
    <col min="7689" max="7689" width="16.21875" style="978" customWidth="1"/>
    <col min="7690" max="7690" width="11.21875" style="978" customWidth="1"/>
    <col min="7691" max="7691" width="9.77734375" style="978" bestFit="1" customWidth="1"/>
    <col min="7692" max="7695" width="9.21875" style="978"/>
    <col min="7696" max="7696" width="24.5546875" style="978" customWidth="1"/>
    <col min="7697" max="7697" width="12.109375" style="978" customWidth="1"/>
    <col min="7698" max="7698" width="9.21875" style="978"/>
    <col min="7699" max="7699" width="11.44140625" style="978" customWidth="1"/>
    <col min="7700" max="7700" width="11.88671875" style="978" customWidth="1"/>
    <col min="7701" max="7937" width="9.21875" style="978"/>
    <col min="7938" max="7938" width="61.6640625" style="978" customWidth="1"/>
    <col min="7939" max="7939" width="10.88671875" style="978" customWidth="1"/>
    <col min="7940" max="7940" width="15.6640625" style="978" customWidth="1"/>
    <col min="7941" max="7941" width="20.88671875" style="978" customWidth="1"/>
    <col min="7942" max="7942" width="13.5546875" style="978" customWidth="1"/>
    <col min="7943" max="7943" width="11.44140625" style="978" customWidth="1"/>
    <col min="7944" max="7944" width="12.5546875" style="978" customWidth="1"/>
    <col min="7945" max="7945" width="16.21875" style="978" customWidth="1"/>
    <col min="7946" max="7946" width="11.21875" style="978" customWidth="1"/>
    <col min="7947" max="7947" width="9.77734375" style="978" bestFit="1" customWidth="1"/>
    <col min="7948" max="7951" width="9.21875" style="978"/>
    <col min="7952" max="7952" width="24.5546875" style="978" customWidth="1"/>
    <col min="7953" max="7953" width="12.109375" style="978" customWidth="1"/>
    <col min="7954" max="7954" width="9.21875" style="978"/>
    <col min="7955" max="7955" width="11.44140625" style="978" customWidth="1"/>
    <col min="7956" max="7956" width="11.88671875" style="978" customWidth="1"/>
    <col min="7957" max="8193" width="9.21875" style="978"/>
    <col min="8194" max="8194" width="61.6640625" style="978" customWidth="1"/>
    <col min="8195" max="8195" width="10.88671875" style="978" customWidth="1"/>
    <col min="8196" max="8196" width="15.6640625" style="978" customWidth="1"/>
    <col min="8197" max="8197" width="20.88671875" style="978" customWidth="1"/>
    <col min="8198" max="8198" width="13.5546875" style="978" customWidth="1"/>
    <col min="8199" max="8199" width="11.44140625" style="978" customWidth="1"/>
    <col min="8200" max="8200" width="12.5546875" style="978" customWidth="1"/>
    <col min="8201" max="8201" width="16.21875" style="978" customWidth="1"/>
    <col min="8202" max="8202" width="11.21875" style="978" customWidth="1"/>
    <col min="8203" max="8203" width="9.77734375" style="978" bestFit="1" customWidth="1"/>
    <col min="8204" max="8207" width="9.21875" style="978"/>
    <col min="8208" max="8208" width="24.5546875" style="978" customWidth="1"/>
    <col min="8209" max="8209" width="12.109375" style="978" customWidth="1"/>
    <col min="8210" max="8210" width="9.21875" style="978"/>
    <col min="8211" max="8211" width="11.44140625" style="978" customWidth="1"/>
    <col min="8212" max="8212" width="11.88671875" style="978" customWidth="1"/>
    <col min="8213" max="8449" width="9.21875" style="978"/>
    <col min="8450" max="8450" width="61.6640625" style="978" customWidth="1"/>
    <col min="8451" max="8451" width="10.88671875" style="978" customWidth="1"/>
    <col min="8452" max="8452" width="15.6640625" style="978" customWidth="1"/>
    <col min="8453" max="8453" width="20.88671875" style="978" customWidth="1"/>
    <col min="8454" max="8454" width="13.5546875" style="978" customWidth="1"/>
    <col min="8455" max="8455" width="11.44140625" style="978" customWidth="1"/>
    <col min="8456" max="8456" width="12.5546875" style="978" customWidth="1"/>
    <col min="8457" max="8457" width="16.21875" style="978" customWidth="1"/>
    <col min="8458" max="8458" width="11.21875" style="978" customWidth="1"/>
    <col min="8459" max="8459" width="9.77734375" style="978" bestFit="1" customWidth="1"/>
    <col min="8460" max="8463" width="9.21875" style="978"/>
    <col min="8464" max="8464" width="24.5546875" style="978" customWidth="1"/>
    <col min="8465" max="8465" width="12.109375" style="978" customWidth="1"/>
    <col min="8466" max="8466" width="9.21875" style="978"/>
    <col min="8467" max="8467" width="11.44140625" style="978" customWidth="1"/>
    <col min="8468" max="8468" width="11.88671875" style="978" customWidth="1"/>
    <col min="8469" max="8705" width="9.21875" style="978"/>
    <col min="8706" max="8706" width="61.6640625" style="978" customWidth="1"/>
    <col min="8707" max="8707" width="10.88671875" style="978" customWidth="1"/>
    <col min="8708" max="8708" width="15.6640625" style="978" customWidth="1"/>
    <col min="8709" max="8709" width="20.88671875" style="978" customWidth="1"/>
    <col min="8710" max="8710" width="13.5546875" style="978" customWidth="1"/>
    <col min="8711" max="8711" width="11.44140625" style="978" customWidth="1"/>
    <col min="8712" max="8712" width="12.5546875" style="978" customWidth="1"/>
    <col min="8713" max="8713" width="16.21875" style="978" customWidth="1"/>
    <col min="8714" max="8714" width="11.21875" style="978" customWidth="1"/>
    <col min="8715" max="8715" width="9.77734375" style="978" bestFit="1" customWidth="1"/>
    <col min="8716" max="8719" width="9.21875" style="978"/>
    <col min="8720" max="8720" width="24.5546875" style="978" customWidth="1"/>
    <col min="8721" max="8721" width="12.109375" style="978" customWidth="1"/>
    <col min="8722" max="8722" width="9.21875" style="978"/>
    <col min="8723" max="8723" width="11.44140625" style="978" customWidth="1"/>
    <col min="8724" max="8724" width="11.88671875" style="978" customWidth="1"/>
    <col min="8725" max="8961" width="9.21875" style="978"/>
    <col min="8962" max="8962" width="61.6640625" style="978" customWidth="1"/>
    <col min="8963" max="8963" width="10.88671875" style="978" customWidth="1"/>
    <col min="8964" max="8964" width="15.6640625" style="978" customWidth="1"/>
    <col min="8965" max="8965" width="20.88671875" style="978" customWidth="1"/>
    <col min="8966" max="8966" width="13.5546875" style="978" customWidth="1"/>
    <col min="8967" max="8967" width="11.44140625" style="978" customWidth="1"/>
    <col min="8968" max="8968" width="12.5546875" style="978" customWidth="1"/>
    <col min="8969" max="8969" width="16.21875" style="978" customWidth="1"/>
    <col min="8970" max="8970" width="11.21875" style="978" customWidth="1"/>
    <col min="8971" max="8971" width="9.77734375" style="978" bestFit="1" customWidth="1"/>
    <col min="8972" max="8975" width="9.21875" style="978"/>
    <col min="8976" max="8976" width="24.5546875" style="978" customWidth="1"/>
    <col min="8977" max="8977" width="12.109375" style="978" customWidth="1"/>
    <col min="8978" max="8978" width="9.21875" style="978"/>
    <col min="8979" max="8979" width="11.44140625" style="978" customWidth="1"/>
    <col min="8980" max="8980" width="11.88671875" style="978" customWidth="1"/>
    <col min="8981" max="9217" width="9.21875" style="978"/>
    <col min="9218" max="9218" width="61.6640625" style="978" customWidth="1"/>
    <col min="9219" max="9219" width="10.88671875" style="978" customWidth="1"/>
    <col min="9220" max="9220" width="15.6640625" style="978" customWidth="1"/>
    <col min="9221" max="9221" width="20.88671875" style="978" customWidth="1"/>
    <col min="9222" max="9222" width="13.5546875" style="978" customWidth="1"/>
    <col min="9223" max="9223" width="11.44140625" style="978" customWidth="1"/>
    <col min="9224" max="9224" width="12.5546875" style="978" customWidth="1"/>
    <col min="9225" max="9225" width="16.21875" style="978" customWidth="1"/>
    <col min="9226" max="9226" width="11.21875" style="978" customWidth="1"/>
    <col min="9227" max="9227" width="9.77734375" style="978" bestFit="1" customWidth="1"/>
    <col min="9228" max="9231" width="9.21875" style="978"/>
    <col min="9232" max="9232" width="24.5546875" style="978" customWidth="1"/>
    <col min="9233" max="9233" width="12.109375" style="978" customWidth="1"/>
    <col min="9234" max="9234" width="9.21875" style="978"/>
    <col min="9235" max="9235" width="11.44140625" style="978" customWidth="1"/>
    <col min="9236" max="9236" width="11.88671875" style="978" customWidth="1"/>
    <col min="9237" max="9473" width="9.21875" style="978"/>
    <col min="9474" max="9474" width="61.6640625" style="978" customWidth="1"/>
    <col min="9475" max="9475" width="10.88671875" style="978" customWidth="1"/>
    <col min="9476" max="9476" width="15.6640625" style="978" customWidth="1"/>
    <col min="9477" max="9477" width="20.88671875" style="978" customWidth="1"/>
    <col min="9478" max="9478" width="13.5546875" style="978" customWidth="1"/>
    <col min="9479" max="9479" width="11.44140625" style="978" customWidth="1"/>
    <col min="9480" max="9480" width="12.5546875" style="978" customWidth="1"/>
    <col min="9481" max="9481" width="16.21875" style="978" customWidth="1"/>
    <col min="9482" max="9482" width="11.21875" style="978" customWidth="1"/>
    <col min="9483" max="9483" width="9.77734375" style="978" bestFit="1" customWidth="1"/>
    <col min="9484" max="9487" width="9.21875" style="978"/>
    <col min="9488" max="9488" width="24.5546875" style="978" customWidth="1"/>
    <col min="9489" max="9489" width="12.109375" style="978" customWidth="1"/>
    <col min="9490" max="9490" width="9.21875" style="978"/>
    <col min="9491" max="9491" width="11.44140625" style="978" customWidth="1"/>
    <col min="9492" max="9492" width="11.88671875" style="978" customWidth="1"/>
    <col min="9493" max="9729" width="9.21875" style="978"/>
    <col min="9730" max="9730" width="61.6640625" style="978" customWidth="1"/>
    <col min="9731" max="9731" width="10.88671875" style="978" customWidth="1"/>
    <col min="9732" max="9732" width="15.6640625" style="978" customWidth="1"/>
    <col min="9733" max="9733" width="20.88671875" style="978" customWidth="1"/>
    <col min="9734" max="9734" width="13.5546875" style="978" customWidth="1"/>
    <col min="9735" max="9735" width="11.44140625" style="978" customWidth="1"/>
    <col min="9736" max="9736" width="12.5546875" style="978" customWidth="1"/>
    <col min="9737" max="9737" width="16.21875" style="978" customWidth="1"/>
    <col min="9738" max="9738" width="11.21875" style="978" customWidth="1"/>
    <col min="9739" max="9739" width="9.77734375" style="978" bestFit="1" customWidth="1"/>
    <col min="9740" max="9743" width="9.21875" style="978"/>
    <col min="9744" max="9744" width="24.5546875" style="978" customWidth="1"/>
    <col min="9745" max="9745" width="12.109375" style="978" customWidth="1"/>
    <col min="9746" max="9746" width="9.21875" style="978"/>
    <col min="9747" max="9747" width="11.44140625" style="978" customWidth="1"/>
    <col min="9748" max="9748" width="11.88671875" style="978" customWidth="1"/>
    <col min="9749" max="9985" width="9.21875" style="978"/>
    <col min="9986" max="9986" width="61.6640625" style="978" customWidth="1"/>
    <col min="9987" max="9987" width="10.88671875" style="978" customWidth="1"/>
    <col min="9988" max="9988" width="15.6640625" style="978" customWidth="1"/>
    <col min="9989" max="9989" width="20.88671875" style="978" customWidth="1"/>
    <col min="9990" max="9990" width="13.5546875" style="978" customWidth="1"/>
    <col min="9991" max="9991" width="11.44140625" style="978" customWidth="1"/>
    <col min="9992" max="9992" width="12.5546875" style="978" customWidth="1"/>
    <col min="9993" max="9993" width="16.21875" style="978" customWidth="1"/>
    <col min="9994" max="9994" width="11.21875" style="978" customWidth="1"/>
    <col min="9995" max="9995" width="9.77734375" style="978" bestFit="1" customWidth="1"/>
    <col min="9996" max="9999" width="9.21875" style="978"/>
    <col min="10000" max="10000" width="24.5546875" style="978" customWidth="1"/>
    <col min="10001" max="10001" width="12.109375" style="978" customWidth="1"/>
    <col min="10002" max="10002" width="9.21875" style="978"/>
    <col min="10003" max="10003" width="11.44140625" style="978" customWidth="1"/>
    <col min="10004" max="10004" width="11.88671875" style="978" customWidth="1"/>
    <col min="10005" max="10241" width="9.21875" style="978"/>
    <col min="10242" max="10242" width="61.6640625" style="978" customWidth="1"/>
    <col min="10243" max="10243" width="10.88671875" style="978" customWidth="1"/>
    <col min="10244" max="10244" width="15.6640625" style="978" customWidth="1"/>
    <col min="10245" max="10245" width="20.88671875" style="978" customWidth="1"/>
    <col min="10246" max="10246" width="13.5546875" style="978" customWidth="1"/>
    <col min="10247" max="10247" width="11.44140625" style="978" customWidth="1"/>
    <col min="10248" max="10248" width="12.5546875" style="978" customWidth="1"/>
    <col min="10249" max="10249" width="16.21875" style="978" customWidth="1"/>
    <col min="10250" max="10250" width="11.21875" style="978" customWidth="1"/>
    <col min="10251" max="10251" width="9.77734375" style="978" bestFit="1" customWidth="1"/>
    <col min="10252" max="10255" width="9.21875" style="978"/>
    <col min="10256" max="10256" width="24.5546875" style="978" customWidth="1"/>
    <col min="10257" max="10257" width="12.109375" style="978" customWidth="1"/>
    <col min="10258" max="10258" width="9.21875" style="978"/>
    <col min="10259" max="10259" width="11.44140625" style="978" customWidth="1"/>
    <col min="10260" max="10260" width="11.88671875" style="978" customWidth="1"/>
    <col min="10261" max="10497" width="9.21875" style="978"/>
    <col min="10498" max="10498" width="61.6640625" style="978" customWidth="1"/>
    <col min="10499" max="10499" width="10.88671875" style="978" customWidth="1"/>
    <col min="10500" max="10500" width="15.6640625" style="978" customWidth="1"/>
    <col min="10501" max="10501" width="20.88671875" style="978" customWidth="1"/>
    <col min="10502" max="10502" width="13.5546875" style="978" customWidth="1"/>
    <col min="10503" max="10503" width="11.44140625" style="978" customWidth="1"/>
    <col min="10504" max="10504" width="12.5546875" style="978" customWidth="1"/>
    <col min="10505" max="10505" width="16.21875" style="978" customWidth="1"/>
    <col min="10506" max="10506" width="11.21875" style="978" customWidth="1"/>
    <col min="10507" max="10507" width="9.77734375" style="978" bestFit="1" customWidth="1"/>
    <col min="10508" max="10511" width="9.21875" style="978"/>
    <col min="10512" max="10512" width="24.5546875" style="978" customWidth="1"/>
    <col min="10513" max="10513" width="12.109375" style="978" customWidth="1"/>
    <col min="10514" max="10514" width="9.21875" style="978"/>
    <col min="10515" max="10515" width="11.44140625" style="978" customWidth="1"/>
    <col min="10516" max="10516" width="11.88671875" style="978" customWidth="1"/>
    <col min="10517" max="10753" width="9.21875" style="978"/>
    <col min="10754" max="10754" width="61.6640625" style="978" customWidth="1"/>
    <col min="10755" max="10755" width="10.88671875" style="978" customWidth="1"/>
    <col min="10756" max="10756" width="15.6640625" style="978" customWidth="1"/>
    <col min="10757" max="10757" width="20.88671875" style="978" customWidth="1"/>
    <col min="10758" max="10758" width="13.5546875" style="978" customWidth="1"/>
    <col min="10759" max="10759" width="11.44140625" style="978" customWidth="1"/>
    <col min="10760" max="10760" width="12.5546875" style="978" customWidth="1"/>
    <col min="10761" max="10761" width="16.21875" style="978" customWidth="1"/>
    <col min="10762" max="10762" width="11.21875" style="978" customWidth="1"/>
    <col min="10763" max="10763" width="9.77734375" style="978" bestFit="1" customWidth="1"/>
    <col min="10764" max="10767" width="9.21875" style="978"/>
    <col min="10768" max="10768" width="24.5546875" style="978" customWidth="1"/>
    <col min="10769" max="10769" width="12.109375" style="978" customWidth="1"/>
    <col min="10770" max="10770" width="9.21875" style="978"/>
    <col min="10771" max="10771" width="11.44140625" style="978" customWidth="1"/>
    <col min="10772" max="10772" width="11.88671875" style="978" customWidth="1"/>
    <col min="10773" max="11009" width="9.21875" style="978"/>
    <col min="11010" max="11010" width="61.6640625" style="978" customWidth="1"/>
    <col min="11011" max="11011" width="10.88671875" style="978" customWidth="1"/>
    <col min="11012" max="11012" width="15.6640625" style="978" customWidth="1"/>
    <col min="11013" max="11013" width="20.88671875" style="978" customWidth="1"/>
    <col min="11014" max="11014" width="13.5546875" style="978" customWidth="1"/>
    <col min="11015" max="11015" width="11.44140625" style="978" customWidth="1"/>
    <col min="11016" max="11016" width="12.5546875" style="978" customWidth="1"/>
    <col min="11017" max="11017" width="16.21875" style="978" customWidth="1"/>
    <col min="11018" max="11018" width="11.21875" style="978" customWidth="1"/>
    <col min="11019" max="11019" width="9.77734375" style="978" bestFit="1" customWidth="1"/>
    <col min="11020" max="11023" width="9.21875" style="978"/>
    <col min="11024" max="11024" width="24.5546875" style="978" customWidth="1"/>
    <col min="11025" max="11025" width="12.109375" style="978" customWidth="1"/>
    <col min="11026" max="11026" width="9.21875" style="978"/>
    <col min="11027" max="11027" width="11.44140625" style="978" customWidth="1"/>
    <col min="11028" max="11028" width="11.88671875" style="978" customWidth="1"/>
    <col min="11029" max="11265" width="9.21875" style="978"/>
    <col min="11266" max="11266" width="61.6640625" style="978" customWidth="1"/>
    <col min="11267" max="11267" width="10.88671875" style="978" customWidth="1"/>
    <col min="11268" max="11268" width="15.6640625" style="978" customWidth="1"/>
    <col min="11269" max="11269" width="20.88671875" style="978" customWidth="1"/>
    <col min="11270" max="11270" width="13.5546875" style="978" customWidth="1"/>
    <col min="11271" max="11271" width="11.44140625" style="978" customWidth="1"/>
    <col min="11272" max="11272" width="12.5546875" style="978" customWidth="1"/>
    <col min="11273" max="11273" width="16.21875" style="978" customWidth="1"/>
    <col min="11274" max="11274" width="11.21875" style="978" customWidth="1"/>
    <col min="11275" max="11275" width="9.77734375" style="978" bestFit="1" customWidth="1"/>
    <col min="11276" max="11279" width="9.21875" style="978"/>
    <col min="11280" max="11280" width="24.5546875" style="978" customWidth="1"/>
    <col min="11281" max="11281" width="12.109375" style="978" customWidth="1"/>
    <col min="11282" max="11282" width="9.21875" style="978"/>
    <col min="11283" max="11283" width="11.44140625" style="978" customWidth="1"/>
    <col min="11284" max="11284" width="11.88671875" style="978" customWidth="1"/>
    <col min="11285" max="11521" width="9.21875" style="978"/>
    <col min="11522" max="11522" width="61.6640625" style="978" customWidth="1"/>
    <col min="11523" max="11523" width="10.88671875" style="978" customWidth="1"/>
    <col min="11524" max="11524" width="15.6640625" style="978" customWidth="1"/>
    <col min="11525" max="11525" width="20.88671875" style="978" customWidth="1"/>
    <col min="11526" max="11526" width="13.5546875" style="978" customWidth="1"/>
    <col min="11527" max="11527" width="11.44140625" style="978" customWidth="1"/>
    <col min="11528" max="11528" width="12.5546875" style="978" customWidth="1"/>
    <col min="11529" max="11529" width="16.21875" style="978" customWidth="1"/>
    <col min="11530" max="11530" width="11.21875" style="978" customWidth="1"/>
    <col min="11531" max="11531" width="9.77734375" style="978" bestFit="1" customWidth="1"/>
    <col min="11532" max="11535" width="9.21875" style="978"/>
    <col min="11536" max="11536" width="24.5546875" style="978" customWidth="1"/>
    <col min="11537" max="11537" width="12.109375" style="978" customWidth="1"/>
    <col min="11538" max="11538" width="9.21875" style="978"/>
    <col min="11539" max="11539" width="11.44140625" style="978" customWidth="1"/>
    <col min="11540" max="11540" width="11.88671875" style="978" customWidth="1"/>
    <col min="11541" max="11777" width="9.21875" style="978"/>
    <col min="11778" max="11778" width="61.6640625" style="978" customWidth="1"/>
    <col min="11779" max="11779" width="10.88671875" style="978" customWidth="1"/>
    <col min="11780" max="11780" width="15.6640625" style="978" customWidth="1"/>
    <col min="11781" max="11781" width="20.88671875" style="978" customWidth="1"/>
    <col min="11782" max="11782" width="13.5546875" style="978" customWidth="1"/>
    <col min="11783" max="11783" width="11.44140625" style="978" customWidth="1"/>
    <col min="11784" max="11784" width="12.5546875" style="978" customWidth="1"/>
    <col min="11785" max="11785" width="16.21875" style="978" customWidth="1"/>
    <col min="11786" max="11786" width="11.21875" style="978" customWidth="1"/>
    <col min="11787" max="11787" width="9.77734375" style="978" bestFit="1" customWidth="1"/>
    <col min="11788" max="11791" width="9.21875" style="978"/>
    <col min="11792" max="11792" width="24.5546875" style="978" customWidth="1"/>
    <col min="11793" max="11793" width="12.109375" style="978" customWidth="1"/>
    <col min="11794" max="11794" width="9.21875" style="978"/>
    <col min="11795" max="11795" width="11.44140625" style="978" customWidth="1"/>
    <col min="11796" max="11796" width="11.88671875" style="978" customWidth="1"/>
    <col min="11797" max="12033" width="9.21875" style="978"/>
    <col min="12034" max="12034" width="61.6640625" style="978" customWidth="1"/>
    <col min="12035" max="12035" width="10.88671875" style="978" customWidth="1"/>
    <col min="12036" max="12036" width="15.6640625" style="978" customWidth="1"/>
    <col min="12037" max="12037" width="20.88671875" style="978" customWidth="1"/>
    <col min="12038" max="12038" width="13.5546875" style="978" customWidth="1"/>
    <col min="12039" max="12039" width="11.44140625" style="978" customWidth="1"/>
    <col min="12040" max="12040" width="12.5546875" style="978" customWidth="1"/>
    <col min="12041" max="12041" width="16.21875" style="978" customWidth="1"/>
    <col min="12042" max="12042" width="11.21875" style="978" customWidth="1"/>
    <col min="12043" max="12043" width="9.77734375" style="978" bestFit="1" customWidth="1"/>
    <col min="12044" max="12047" width="9.21875" style="978"/>
    <col min="12048" max="12048" width="24.5546875" style="978" customWidth="1"/>
    <col min="12049" max="12049" width="12.109375" style="978" customWidth="1"/>
    <col min="12050" max="12050" width="9.21875" style="978"/>
    <col min="12051" max="12051" width="11.44140625" style="978" customWidth="1"/>
    <col min="12052" max="12052" width="11.88671875" style="978" customWidth="1"/>
    <col min="12053" max="12289" width="9.21875" style="978"/>
    <col min="12290" max="12290" width="61.6640625" style="978" customWidth="1"/>
    <col min="12291" max="12291" width="10.88671875" style="978" customWidth="1"/>
    <col min="12292" max="12292" width="15.6640625" style="978" customWidth="1"/>
    <col min="12293" max="12293" width="20.88671875" style="978" customWidth="1"/>
    <col min="12294" max="12294" width="13.5546875" style="978" customWidth="1"/>
    <col min="12295" max="12295" width="11.44140625" style="978" customWidth="1"/>
    <col min="12296" max="12296" width="12.5546875" style="978" customWidth="1"/>
    <col min="12297" max="12297" width="16.21875" style="978" customWidth="1"/>
    <col min="12298" max="12298" width="11.21875" style="978" customWidth="1"/>
    <col min="12299" max="12299" width="9.77734375" style="978" bestFit="1" customWidth="1"/>
    <col min="12300" max="12303" width="9.21875" style="978"/>
    <col min="12304" max="12304" width="24.5546875" style="978" customWidth="1"/>
    <col min="12305" max="12305" width="12.109375" style="978" customWidth="1"/>
    <col min="12306" max="12306" width="9.21875" style="978"/>
    <col min="12307" max="12307" width="11.44140625" style="978" customWidth="1"/>
    <col min="12308" max="12308" width="11.88671875" style="978" customWidth="1"/>
    <col min="12309" max="12545" width="9.21875" style="978"/>
    <col min="12546" max="12546" width="61.6640625" style="978" customWidth="1"/>
    <col min="12547" max="12547" width="10.88671875" style="978" customWidth="1"/>
    <col min="12548" max="12548" width="15.6640625" style="978" customWidth="1"/>
    <col min="12549" max="12549" width="20.88671875" style="978" customWidth="1"/>
    <col min="12550" max="12550" width="13.5546875" style="978" customWidth="1"/>
    <col min="12551" max="12551" width="11.44140625" style="978" customWidth="1"/>
    <col min="12552" max="12552" width="12.5546875" style="978" customWidth="1"/>
    <col min="12553" max="12553" width="16.21875" style="978" customWidth="1"/>
    <col min="12554" max="12554" width="11.21875" style="978" customWidth="1"/>
    <col min="12555" max="12555" width="9.77734375" style="978" bestFit="1" customWidth="1"/>
    <col min="12556" max="12559" width="9.21875" style="978"/>
    <col min="12560" max="12560" width="24.5546875" style="978" customWidth="1"/>
    <col min="12561" max="12561" width="12.109375" style="978" customWidth="1"/>
    <col min="12562" max="12562" width="9.21875" style="978"/>
    <col min="12563" max="12563" width="11.44140625" style="978" customWidth="1"/>
    <col min="12564" max="12564" width="11.88671875" style="978" customWidth="1"/>
    <col min="12565" max="12801" width="9.21875" style="978"/>
    <col min="12802" max="12802" width="61.6640625" style="978" customWidth="1"/>
    <col min="12803" max="12803" width="10.88671875" style="978" customWidth="1"/>
    <col min="12804" max="12804" width="15.6640625" style="978" customWidth="1"/>
    <col min="12805" max="12805" width="20.88671875" style="978" customWidth="1"/>
    <col min="12806" max="12806" width="13.5546875" style="978" customWidth="1"/>
    <col min="12807" max="12807" width="11.44140625" style="978" customWidth="1"/>
    <col min="12808" max="12808" width="12.5546875" style="978" customWidth="1"/>
    <col min="12809" max="12809" width="16.21875" style="978" customWidth="1"/>
    <col min="12810" max="12810" width="11.21875" style="978" customWidth="1"/>
    <col min="12811" max="12811" width="9.77734375" style="978" bestFit="1" customWidth="1"/>
    <col min="12812" max="12815" width="9.21875" style="978"/>
    <col min="12816" max="12816" width="24.5546875" style="978" customWidth="1"/>
    <col min="12817" max="12817" width="12.109375" style="978" customWidth="1"/>
    <col min="12818" max="12818" width="9.21875" style="978"/>
    <col min="12819" max="12819" width="11.44140625" style="978" customWidth="1"/>
    <col min="12820" max="12820" width="11.88671875" style="978" customWidth="1"/>
    <col min="12821" max="13057" width="9.21875" style="978"/>
    <col min="13058" max="13058" width="61.6640625" style="978" customWidth="1"/>
    <col min="13059" max="13059" width="10.88671875" style="978" customWidth="1"/>
    <col min="13060" max="13060" width="15.6640625" style="978" customWidth="1"/>
    <col min="13061" max="13061" width="20.88671875" style="978" customWidth="1"/>
    <col min="13062" max="13062" width="13.5546875" style="978" customWidth="1"/>
    <col min="13063" max="13063" width="11.44140625" style="978" customWidth="1"/>
    <col min="13064" max="13064" width="12.5546875" style="978" customWidth="1"/>
    <col min="13065" max="13065" width="16.21875" style="978" customWidth="1"/>
    <col min="13066" max="13066" width="11.21875" style="978" customWidth="1"/>
    <col min="13067" max="13067" width="9.77734375" style="978" bestFit="1" customWidth="1"/>
    <col min="13068" max="13071" width="9.21875" style="978"/>
    <col min="13072" max="13072" width="24.5546875" style="978" customWidth="1"/>
    <col min="13073" max="13073" width="12.109375" style="978" customWidth="1"/>
    <col min="13074" max="13074" width="9.21875" style="978"/>
    <col min="13075" max="13075" width="11.44140625" style="978" customWidth="1"/>
    <col min="13076" max="13076" width="11.88671875" style="978" customWidth="1"/>
    <col min="13077" max="13313" width="9.21875" style="978"/>
    <col min="13314" max="13314" width="61.6640625" style="978" customWidth="1"/>
    <col min="13315" max="13315" width="10.88671875" style="978" customWidth="1"/>
    <col min="13316" max="13316" width="15.6640625" style="978" customWidth="1"/>
    <col min="13317" max="13317" width="20.88671875" style="978" customWidth="1"/>
    <col min="13318" max="13318" width="13.5546875" style="978" customWidth="1"/>
    <col min="13319" max="13319" width="11.44140625" style="978" customWidth="1"/>
    <col min="13320" max="13320" width="12.5546875" style="978" customWidth="1"/>
    <col min="13321" max="13321" width="16.21875" style="978" customWidth="1"/>
    <col min="13322" max="13322" width="11.21875" style="978" customWidth="1"/>
    <col min="13323" max="13323" width="9.77734375" style="978" bestFit="1" customWidth="1"/>
    <col min="13324" max="13327" width="9.21875" style="978"/>
    <col min="13328" max="13328" width="24.5546875" style="978" customWidth="1"/>
    <col min="13329" max="13329" width="12.109375" style="978" customWidth="1"/>
    <col min="13330" max="13330" width="9.21875" style="978"/>
    <col min="13331" max="13331" width="11.44140625" style="978" customWidth="1"/>
    <col min="13332" max="13332" width="11.88671875" style="978" customWidth="1"/>
    <col min="13333" max="13569" width="9.21875" style="978"/>
    <col min="13570" max="13570" width="61.6640625" style="978" customWidth="1"/>
    <col min="13571" max="13571" width="10.88671875" style="978" customWidth="1"/>
    <col min="13572" max="13572" width="15.6640625" style="978" customWidth="1"/>
    <col min="13573" max="13573" width="20.88671875" style="978" customWidth="1"/>
    <col min="13574" max="13574" width="13.5546875" style="978" customWidth="1"/>
    <col min="13575" max="13575" width="11.44140625" style="978" customWidth="1"/>
    <col min="13576" max="13576" width="12.5546875" style="978" customWidth="1"/>
    <col min="13577" max="13577" width="16.21875" style="978" customWidth="1"/>
    <col min="13578" max="13578" width="11.21875" style="978" customWidth="1"/>
    <col min="13579" max="13579" width="9.77734375" style="978" bestFit="1" customWidth="1"/>
    <col min="13580" max="13583" width="9.21875" style="978"/>
    <col min="13584" max="13584" width="24.5546875" style="978" customWidth="1"/>
    <col min="13585" max="13585" width="12.109375" style="978" customWidth="1"/>
    <col min="13586" max="13586" width="9.21875" style="978"/>
    <col min="13587" max="13587" width="11.44140625" style="978" customWidth="1"/>
    <col min="13588" max="13588" width="11.88671875" style="978" customWidth="1"/>
    <col min="13589" max="13825" width="9.21875" style="978"/>
    <col min="13826" max="13826" width="61.6640625" style="978" customWidth="1"/>
    <col min="13827" max="13827" width="10.88671875" style="978" customWidth="1"/>
    <col min="13828" max="13828" width="15.6640625" style="978" customWidth="1"/>
    <col min="13829" max="13829" width="20.88671875" style="978" customWidth="1"/>
    <col min="13830" max="13830" width="13.5546875" style="978" customWidth="1"/>
    <col min="13831" max="13831" width="11.44140625" style="978" customWidth="1"/>
    <col min="13832" max="13832" width="12.5546875" style="978" customWidth="1"/>
    <col min="13833" max="13833" width="16.21875" style="978" customWidth="1"/>
    <col min="13834" max="13834" width="11.21875" style="978" customWidth="1"/>
    <col min="13835" max="13835" width="9.77734375" style="978" bestFit="1" customWidth="1"/>
    <col min="13836" max="13839" width="9.21875" style="978"/>
    <col min="13840" max="13840" width="24.5546875" style="978" customWidth="1"/>
    <col min="13841" max="13841" width="12.109375" style="978" customWidth="1"/>
    <col min="13842" max="13842" width="9.21875" style="978"/>
    <col min="13843" max="13843" width="11.44140625" style="978" customWidth="1"/>
    <col min="13844" max="13844" width="11.88671875" style="978" customWidth="1"/>
    <col min="13845" max="14081" width="9.21875" style="978"/>
    <col min="14082" max="14082" width="61.6640625" style="978" customWidth="1"/>
    <col min="14083" max="14083" width="10.88671875" style="978" customWidth="1"/>
    <col min="14084" max="14084" width="15.6640625" style="978" customWidth="1"/>
    <col min="14085" max="14085" width="20.88671875" style="978" customWidth="1"/>
    <col min="14086" max="14086" width="13.5546875" style="978" customWidth="1"/>
    <col min="14087" max="14087" width="11.44140625" style="978" customWidth="1"/>
    <col min="14088" max="14088" width="12.5546875" style="978" customWidth="1"/>
    <col min="14089" max="14089" width="16.21875" style="978" customWidth="1"/>
    <col min="14090" max="14090" width="11.21875" style="978" customWidth="1"/>
    <col min="14091" max="14091" width="9.77734375" style="978" bestFit="1" customWidth="1"/>
    <col min="14092" max="14095" width="9.21875" style="978"/>
    <col min="14096" max="14096" width="24.5546875" style="978" customWidth="1"/>
    <col min="14097" max="14097" width="12.109375" style="978" customWidth="1"/>
    <col min="14098" max="14098" width="9.21875" style="978"/>
    <col min="14099" max="14099" width="11.44140625" style="978" customWidth="1"/>
    <col min="14100" max="14100" width="11.88671875" style="978" customWidth="1"/>
    <col min="14101" max="14337" width="9.21875" style="978"/>
    <col min="14338" max="14338" width="61.6640625" style="978" customWidth="1"/>
    <col min="14339" max="14339" width="10.88671875" style="978" customWidth="1"/>
    <col min="14340" max="14340" width="15.6640625" style="978" customWidth="1"/>
    <col min="14341" max="14341" width="20.88671875" style="978" customWidth="1"/>
    <col min="14342" max="14342" width="13.5546875" style="978" customWidth="1"/>
    <col min="14343" max="14343" width="11.44140625" style="978" customWidth="1"/>
    <col min="14344" max="14344" width="12.5546875" style="978" customWidth="1"/>
    <col min="14345" max="14345" width="16.21875" style="978" customWidth="1"/>
    <col min="14346" max="14346" width="11.21875" style="978" customWidth="1"/>
    <col min="14347" max="14347" width="9.77734375" style="978" bestFit="1" customWidth="1"/>
    <col min="14348" max="14351" width="9.21875" style="978"/>
    <col min="14352" max="14352" width="24.5546875" style="978" customWidth="1"/>
    <col min="14353" max="14353" width="12.109375" style="978" customWidth="1"/>
    <col min="14354" max="14354" width="9.21875" style="978"/>
    <col min="14355" max="14355" width="11.44140625" style="978" customWidth="1"/>
    <col min="14356" max="14356" width="11.88671875" style="978" customWidth="1"/>
    <col min="14357" max="14593" width="9.21875" style="978"/>
    <col min="14594" max="14594" width="61.6640625" style="978" customWidth="1"/>
    <col min="14595" max="14595" width="10.88671875" style="978" customWidth="1"/>
    <col min="14596" max="14596" width="15.6640625" style="978" customWidth="1"/>
    <col min="14597" max="14597" width="20.88671875" style="978" customWidth="1"/>
    <col min="14598" max="14598" width="13.5546875" style="978" customWidth="1"/>
    <col min="14599" max="14599" width="11.44140625" style="978" customWidth="1"/>
    <col min="14600" max="14600" width="12.5546875" style="978" customWidth="1"/>
    <col min="14601" max="14601" width="16.21875" style="978" customWidth="1"/>
    <col min="14602" max="14602" width="11.21875" style="978" customWidth="1"/>
    <col min="14603" max="14603" width="9.77734375" style="978" bestFit="1" customWidth="1"/>
    <col min="14604" max="14607" width="9.21875" style="978"/>
    <col min="14608" max="14608" width="24.5546875" style="978" customWidth="1"/>
    <col min="14609" max="14609" width="12.109375" style="978" customWidth="1"/>
    <col min="14610" max="14610" width="9.21875" style="978"/>
    <col min="14611" max="14611" width="11.44140625" style="978" customWidth="1"/>
    <col min="14612" max="14612" width="11.88671875" style="978" customWidth="1"/>
    <col min="14613" max="14849" width="9.21875" style="978"/>
    <col min="14850" max="14850" width="61.6640625" style="978" customWidth="1"/>
    <col min="14851" max="14851" width="10.88671875" style="978" customWidth="1"/>
    <col min="14852" max="14852" width="15.6640625" style="978" customWidth="1"/>
    <col min="14853" max="14853" width="20.88671875" style="978" customWidth="1"/>
    <col min="14854" max="14854" width="13.5546875" style="978" customWidth="1"/>
    <col min="14855" max="14855" width="11.44140625" style="978" customWidth="1"/>
    <col min="14856" max="14856" width="12.5546875" style="978" customWidth="1"/>
    <col min="14857" max="14857" width="16.21875" style="978" customWidth="1"/>
    <col min="14858" max="14858" width="11.21875" style="978" customWidth="1"/>
    <col min="14859" max="14859" width="9.77734375" style="978" bestFit="1" customWidth="1"/>
    <col min="14860" max="14863" width="9.21875" style="978"/>
    <col min="14864" max="14864" width="24.5546875" style="978" customWidth="1"/>
    <col min="14865" max="14865" width="12.109375" style="978" customWidth="1"/>
    <col min="14866" max="14866" width="9.21875" style="978"/>
    <col min="14867" max="14867" width="11.44140625" style="978" customWidth="1"/>
    <col min="14868" max="14868" width="11.88671875" style="978" customWidth="1"/>
    <col min="14869" max="15105" width="9.21875" style="978"/>
    <col min="15106" max="15106" width="61.6640625" style="978" customWidth="1"/>
    <col min="15107" max="15107" width="10.88671875" style="978" customWidth="1"/>
    <col min="15108" max="15108" width="15.6640625" style="978" customWidth="1"/>
    <col min="15109" max="15109" width="20.88671875" style="978" customWidth="1"/>
    <col min="15110" max="15110" width="13.5546875" style="978" customWidth="1"/>
    <col min="15111" max="15111" width="11.44140625" style="978" customWidth="1"/>
    <col min="15112" max="15112" width="12.5546875" style="978" customWidth="1"/>
    <col min="15113" max="15113" width="16.21875" style="978" customWidth="1"/>
    <col min="15114" max="15114" width="11.21875" style="978" customWidth="1"/>
    <col min="15115" max="15115" width="9.77734375" style="978" bestFit="1" customWidth="1"/>
    <col min="15116" max="15119" width="9.21875" style="978"/>
    <col min="15120" max="15120" width="24.5546875" style="978" customWidth="1"/>
    <col min="15121" max="15121" width="12.109375" style="978" customWidth="1"/>
    <col min="15122" max="15122" width="9.21875" style="978"/>
    <col min="15123" max="15123" width="11.44140625" style="978" customWidth="1"/>
    <col min="15124" max="15124" width="11.88671875" style="978" customWidth="1"/>
    <col min="15125" max="15361" width="9.21875" style="978"/>
    <col min="15362" max="15362" width="61.6640625" style="978" customWidth="1"/>
    <col min="15363" max="15363" width="10.88671875" style="978" customWidth="1"/>
    <col min="15364" max="15364" width="15.6640625" style="978" customWidth="1"/>
    <col min="15365" max="15365" width="20.88671875" style="978" customWidth="1"/>
    <col min="15366" max="15366" width="13.5546875" style="978" customWidth="1"/>
    <col min="15367" max="15367" width="11.44140625" style="978" customWidth="1"/>
    <col min="15368" max="15368" width="12.5546875" style="978" customWidth="1"/>
    <col min="15369" max="15369" width="16.21875" style="978" customWidth="1"/>
    <col min="15370" max="15370" width="11.21875" style="978" customWidth="1"/>
    <col min="15371" max="15371" width="9.77734375" style="978" bestFit="1" customWidth="1"/>
    <col min="15372" max="15375" width="9.21875" style="978"/>
    <col min="15376" max="15376" width="24.5546875" style="978" customWidth="1"/>
    <col min="15377" max="15377" width="12.109375" style="978" customWidth="1"/>
    <col min="15378" max="15378" width="9.21875" style="978"/>
    <col min="15379" max="15379" width="11.44140625" style="978" customWidth="1"/>
    <col min="15380" max="15380" width="11.88671875" style="978" customWidth="1"/>
    <col min="15381" max="15617" width="9.21875" style="978"/>
    <col min="15618" max="15618" width="61.6640625" style="978" customWidth="1"/>
    <col min="15619" max="15619" width="10.88671875" style="978" customWidth="1"/>
    <col min="15620" max="15620" width="15.6640625" style="978" customWidth="1"/>
    <col min="15621" max="15621" width="20.88671875" style="978" customWidth="1"/>
    <col min="15622" max="15622" width="13.5546875" style="978" customWidth="1"/>
    <col min="15623" max="15623" width="11.44140625" style="978" customWidth="1"/>
    <col min="15624" max="15624" width="12.5546875" style="978" customWidth="1"/>
    <col min="15625" max="15625" width="16.21875" style="978" customWidth="1"/>
    <col min="15626" max="15626" width="11.21875" style="978" customWidth="1"/>
    <col min="15627" max="15627" width="9.77734375" style="978" bestFit="1" customWidth="1"/>
    <col min="15628" max="15631" width="9.21875" style="978"/>
    <col min="15632" max="15632" width="24.5546875" style="978" customWidth="1"/>
    <col min="15633" max="15633" width="12.109375" style="978" customWidth="1"/>
    <col min="15634" max="15634" width="9.21875" style="978"/>
    <col min="15635" max="15635" width="11.44140625" style="978" customWidth="1"/>
    <col min="15636" max="15636" width="11.88671875" style="978" customWidth="1"/>
    <col min="15637" max="15873" width="9.21875" style="978"/>
    <col min="15874" max="15874" width="61.6640625" style="978" customWidth="1"/>
    <col min="15875" max="15875" width="10.88671875" style="978" customWidth="1"/>
    <col min="15876" max="15876" width="15.6640625" style="978" customWidth="1"/>
    <col min="15877" max="15877" width="20.88671875" style="978" customWidth="1"/>
    <col min="15878" max="15878" width="13.5546875" style="978" customWidth="1"/>
    <col min="15879" max="15879" width="11.44140625" style="978" customWidth="1"/>
    <col min="15880" max="15880" width="12.5546875" style="978" customWidth="1"/>
    <col min="15881" max="15881" width="16.21875" style="978" customWidth="1"/>
    <col min="15882" max="15882" width="11.21875" style="978" customWidth="1"/>
    <col min="15883" max="15883" width="9.77734375" style="978" bestFit="1" customWidth="1"/>
    <col min="15884" max="15887" width="9.21875" style="978"/>
    <col min="15888" max="15888" width="24.5546875" style="978" customWidth="1"/>
    <col min="15889" max="15889" width="12.109375" style="978" customWidth="1"/>
    <col min="15890" max="15890" width="9.21875" style="978"/>
    <col min="15891" max="15891" width="11.44140625" style="978" customWidth="1"/>
    <col min="15892" max="15892" width="11.88671875" style="978" customWidth="1"/>
    <col min="15893" max="16129" width="9.21875" style="978"/>
    <col min="16130" max="16130" width="61.6640625" style="978" customWidth="1"/>
    <col min="16131" max="16131" width="10.88671875" style="978" customWidth="1"/>
    <col min="16132" max="16132" width="15.6640625" style="978" customWidth="1"/>
    <col min="16133" max="16133" width="20.88671875" style="978" customWidth="1"/>
    <col min="16134" max="16134" width="13.5546875" style="978" customWidth="1"/>
    <col min="16135" max="16135" width="11.44140625" style="978" customWidth="1"/>
    <col min="16136" max="16136" width="12.5546875" style="978" customWidth="1"/>
    <col min="16137" max="16137" width="16.21875" style="978" customWidth="1"/>
    <col min="16138" max="16138" width="11.21875" style="978" customWidth="1"/>
    <col min="16139" max="16139" width="9.77734375" style="978" bestFit="1" customWidth="1"/>
    <col min="16140" max="16143" width="9.21875" style="978"/>
    <col min="16144" max="16144" width="24.5546875" style="978" customWidth="1"/>
    <col min="16145" max="16145" width="12.109375" style="978" customWidth="1"/>
    <col min="16146" max="16146" width="9.21875" style="978"/>
    <col min="16147" max="16147" width="11.44140625" style="978" customWidth="1"/>
    <col min="16148" max="16148" width="11.88671875" style="978" customWidth="1"/>
    <col min="16149" max="16384" width="9.21875" style="978"/>
  </cols>
  <sheetData>
    <row r="1" spans="1:6" ht="15.75" x14ac:dyDescent="0.25">
      <c r="E1" s="979"/>
    </row>
    <row r="2" spans="1:6" ht="15.75" x14ac:dyDescent="0.25">
      <c r="E2" s="979" t="s">
        <v>909</v>
      </c>
    </row>
    <row r="3" spans="1:6" x14ac:dyDescent="0.2">
      <c r="A3" s="1317" t="str">
        <f>[2]Capcost!K101</f>
        <v>DURGAPUR STEEL PLANT</v>
      </c>
      <c r="B3" s="1317"/>
      <c r="C3" s="1317"/>
      <c r="D3" s="1317"/>
      <c r="E3" s="1317"/>
      <c r="F3" s="1317"/>
    </row>
    <row r="4" spans="1:6" ht="15" customHeight="1" x14ac:dyDescent="0.25">
      <c r="A4" s="1318" t="s">
        <v>910</v>
      </c>
      <c r="B4" s="1318"/>
      <c r="C4" s="1318"/>
      <c r="D4" s="1318"/>
      <c r="E4" s="1318"/>
      <c r="F4" s="1318"/>
    </row>
    <row r="5" spans="1:6" ht="15" customHeight="1" x14ac:dyDescent="0.25">
      <c r="A5" s="1318" t="s">
        <v>434</v>
      </c>
      <c r="B5" s="1318"/>
      <c r="C5" s="1318"/>
      <c r="D5" s="1318"/>
      <c r="E5" s="1318"/>
      <c r="F5" s="1318"/>
    </row>
    <row r="6" spans="1:6" ht="15.75" x14ac:dyDescent="0.25">
      <c r="A6" s="981"/>
      <c r="B6" s="982"/>
    </row>
    <row r="7" spans="1:6" ht="15.75" x14ac:dyDescent="0.2">
      <c r="A7" s="983" t="s">
        <v>27</v>
      </c>
      <c r="B7" s="983" t="s">
        <v>124</v>
      </c>
      <c r="C7" s="983" t="s">
        <v>38</v>
      </c>
      <c r="D7" s="984"/>
      <c r="E7" s="984" t="s">
        <v>911</v>
      </c>
    </row>
    <row r="8" spans="1:6" ht="20.100000000000001" customHeight="1" x14ac:dyDescent="0.2">
      <c r="A8" s="985" t="s">
        <v>28</v>
      </c>
      <c r="B8" s="986" t="s">
        <v>435</v>
      </c>
      <c r="C8" s="987"/>
      <c r="D8" s="988"/>
      <c r="E8" s="988"/>
    </row>
    <row r="9" spans="1:6" ht="20.100000000000001" customHeight="1" x14ac:dyDescent="0.2">
      <c r="A9" s="989">
        <v>1</v>
      </c>
      <c r="B9" s="990" t="s">
        <v>912</v>
      </c>
      <c r="C9" s="991" t="s">
        <v>913</v>
      </c>
      <c r="D9" s="992"/>
      <c r="E9" s="992">
        <v>1204</v>
      </c>
    </row>
    <row r="10" spans="1:6" ht="20.100000000000001" customHeight="1" x14ac:dyDescent="0.2">
      <c r="A10" s="989">
        <f>A9+1</f>
        <v>2</v>
      </c>
      <c r="B10" s="990" t="s">
        <v>914</v>
      </c>
      <c r="C10" s="991" t="s">
        <v>505</v>
      </c>
      <c r="D10" s="992"/>
      <c r="E10" s="992">
        <v>350</v>
      </c>
    </row>
    <row r="11" spans="1:6" ht="20.100000000000001" customHeight="1" x14ac:dyDescent="0.2">
      <c r="A11" s="989">
        <f>A10+1</f>
        <v>3</v>
      </c>
      <c r="B11" s="990" t="s">
        <v>915</v>
      </c>
      <c r="C11" s="991" t="s">
        <v>916</v>
      </c>
      <c r="D11" s="992"/>
      <c r="E11" s="1148">
        <v>1050</v>
      </c>
      <c r="F11" s="1150" t="s">
        <v>1009</v>
      </c>
    </row>
    <row r="12" spans="1:6" ht="20.100000000000001" customHeight="1" x14ac:dyDescent="0.2">
      <c r="A12" s="989">
        <f>A11+1</f>
        <v>4</v>
      </c>
      <c r="B12" s="993" t="s">
        <v>917</v>
      </c>
      <c r="C12" s="994" t="s">
        <v>918</v>
      </c>
      <c r="D12" s="992"/>
      <c r="E12" s="992">
        <v>53576</v>
      </c>
    </row>
    <row r="13" spans="1:6" ht="20.100000000000001" customHeight="1" x14ac:dyDescent="0.2">
      <c r="A13" s="989">
        <f>A12+1</f>
        <v>5</v>
      </c>
      <c r="B13" s="990" t="s">
        <v>919</v>
      </c>
      <c r="C13" s="991" t="s">
        <v>918</v>
      </c>
      <c r="D13" s="992"/>
      <c r="E13" s="992">
        <v>80000</v>
      </c>
    </row>
    <row r="14" spans="1:6" ht="21.95" customHeight="1" x14ac:dyDescent="0.2">
      <c r="A14" s="984" t="s">
        <v>920</v>
      </c>
      <c r="B14" s="995" t="s">
        <v>921</v>
      </c>
      <c r="C14" s="996" t="s">
        <v>38</v>
      </c>
      <c r="D14" s="984"/>
      <c r="E14" s="997"/>
    </row>
    <row r="15" spans="1:6" ht="21.95" customHeight="1" x14ac:dyDescent="0.2">
      <c r="A15" s="989">
        <v>1</v>
      </c>
      <c r="B15" s="998" t="s">
        <v>922</v>
      </c>
      <c r="C15" s="994" t="s">
        <v>916</v>
      </c>
      <c r="D15" s="992"/>
      <c r="E15" s="999">
        <v>962</v>
      </c>
    </row>
    <row r="16" spans="1:6" ht="20.100000000000001" customHeight="1" x14ac:dyDescent="0.2">
      <c r="A16" s="991">
        <f>A15+1</f>
        <v>2</v>
      </c>
      <c r="B16" s="1000" t="s">
        <v>923</v>
      </c>
      <c r="C16" s="1001" t="s">
        <v>924</v>
      </c>
      <c r="D16" s="1002"/>
      <c r="E16" s="1003">
        <v>1.8</v>
      </c>
    </row>
    <row r="17" spans="1:10" ht="21" customHeight="1" x14ac:dyDescent="0.2">
      <c r="A17" s="991">
        <f>A16+1</f>
        <v>3</v>
      </c>
      <c r="B17" s="1004" t="s">
        <v>925</v>
      </c>
      <c r="C17" s="1001" t="s">
        <v>329</v>
      </c>
      <c r="D17" s="1005"/>
      <c r="E17" s="992">
        <v>2087</v>
      </c>
    </row>
    <row r="18" spans="1:10" ht="33.75" customHeight="1" x14ac:dyDescent="0.2">
      <c r="A18" s="991">
        <f t="shared" ref="A18:A24" si="0">A17+1</f>
        <v>4</v>
      </c>
      <c r="B18" s="1006" t="s">
        <v>430</v>
      </c>
      <c r="C18" s="1001" t="s">
        <v>329</v>
      </c>
      <c r="D18" s="1007"/>
      <c r="E18" s="1008">
        <f>SUM(M46:M47)</f>
        <v>43.200899999999997</v>
      </c>
    </row>
    <row r="19" spans="1:10" ht="20.100000000000001" customHeight="1" x14ac:dyDescent="0.2">
      <c r="A19" s="991">
        <f t="shared" si="0"/>
        <v>5</v>
      </c>
      <c r="B19" s="999" t="s">
        <v>440</v>
      </c>
      <c r="C19" s="1001" t="s">
        <v>329</v>
      </c>
      <c r="D19" s="1005"/>
      <c r="E19" s="992">
        <f>M50</f>
        <v>2130.2008999999998</v>
      </c>
    </row>
    <row r="20" spans="1:10" ht="20.100000000000001" customHeight="1" x14ac:dyDescent="0.2">
      <c r="A20" s="991">
        <f t="shared" si="0"/>
        <v>6</v>
      </c>
      <c r="B20" s="999" t="s">
        <v>441</v>
      </c>
      <c r="C20" s="1009" t="s">
        <v>330</v>
      </c>
      <c r="D20" s="1005"/>
      <c r="E20" s="992">
        <f>$E$10*E18</f>
        <v>15120.314999999999</v>
      </c>
      <c r="G20" s="1010"/>
    </row>
    <row r="21" spans="1:10" ht="20.100000000000001" customHeight="1" x14ac:dyDescent="0.2">
      <c r="A21" s="991">
        <f t="shared" si="0"/>
        <v>7</v>
      </c>
      <c r="B21" s="999" t="s">
        <v>926</v>
      </c>
      <c r="C21" s="1009" t="s">
        <v>330</v>
      </c>
      <c r="D21" s="1005"/>
      <c r="E21" s="1005">
        <f>E20*$D$66</f>
        <v>13003.470899999998</v>
      </c>
    </row>
    <row r="22" spans="1:10" ht="20.100000000000001" customHeight="1" x14ac:dyDescent="0.2">
      <c r="A22" s="991">
        <f t="shared" si="0"/>
        <v>8</v>
      </c>
      <c r="B22" s="999" t="s">
        <v>927</v>
      </c>
      <c r="C22" s="1001" t="s">
        <v>332</v>
      </c>
      <c r="D22" s="1005"/>
      <c r="E22" s="992">
        <v>467</v>
      </c>
      <c r="G22" s="1011"/>
      <c r="H22" s="1012"/>
      <c r="I22" s="1013"/>
      <c r="J22" s="1014"/>
    </row>
    <row r="23" spans="1:10" ht="36" customHeight="1" x14ac:dyDescent="0.2">
      <c r="A23" s="991">
        <f t="shared" si="0"/>
        <v>9</v>
      </c>
      <c r="B23" s="1006" t="s">
        <v>432</v>
      </c>
      <c r="C23" s="1001" t="s">
        <v>332</v>
      </c>
      <c r="D23" s="1007"/>
      <c r="E23" s="1008">
        <f>SUM(L46:L47)</f>
        <v>9.6669</v>
      </c>
      <c r="G23" s="1011"/>
      <c r="H23" s="1012"/>
      <c r="I23" s="1013"/>
      <c r="J23" s="1014"/>
    </row>
    <row r="24" spans="1:10" ht="20.100000000000001" customHeight="1" x14ac:dyDescent="0.2">
      <c r="A24" s="1015">
        <f t="shared" si="0"/>
        <v>10</v>
      </c>
      <c r="B24" s="1016" t="s">
        <v>444</v>
      </c>
      <c r="C24" s="1017" t="s">
        <v>332</v>
      </c>
      <c r="D24" s="1018"/>
      <c r="E24" s="1019">
        <f>E22-E23</f>
        <v>457.3331</v>
      </c>
      <c r="G24" s="1011"/>
      <c r="H24" s="1012"/>
      <c r="I24" s="1013"/>
      <c r="J24" s="1014"/>
    </row>
    <row r="25" spans="1:10" ht="15.75" x14ac:dyDescent="0.25">
      <c r="A25" s="1020" t="s">
        <v>30</v>
      </c>
      <c r="B25" s="1021" t="s">
        <v>446</v>
      </c>
      <c r="C25" s="980"/>
      <c r="D25" s="1010"/>
      <c r="E25" s="1010"/>
      <c r="F25" s="1010"/>
    </row>
    <row r="26" spans="1:10" ht="15.75" x14ac:dyDescent="0.25">
      <c r="A26" s="1022" t="s">
        <v>27</v>
      </c>
      <c r="B26" s="1023" t="s">
        <v>124</v>
      </c>
      <c r="C26" s="1023" t="s">
        <v>38</v>
      </c>
      <c r="D26" s="1024" t="s">
        <v>608</v>
      </c>
      <c r="E26" s="1024" t="s">
        <v>928</v>
      </c>
      <c r="F26" s="1025" t="s">
        <v>449</v>
      </c>
      <c r="G26" s="1026"/>
      <c r="H26" s="979"/>
      <c r="I26" s="981"/>
    </row>
    <row r="27" spans="1:10" ht="20.100000000000001" customHeight="1" x14ac:dyDescent="0.2">
      <c r="A27" s="1027">
        <v>1</v>
      </c>
      <c r="B27" s="1028" t="s">
        <v>929</v>
      </c>
      <c r="C27" s="1029" t="s">
        <v>442</v>
      </c>
      <c r="D27" s="1030">
        <f>+E21</f>
        <v>13003.470899999998</v>
      </c>
      <c r="E27" s="1151">
        <f>E84+3000*0</f>
        <v>8936</v>
      </c>
      <c r="F27" s="1031">
        <f>E27*D27/10^7</f>
        <v>11.619901596239998</v>
      </c>
      <c r="H27" s="1032"/>
    </row>
    <row r="28" spans="1:10" ht="20.100000000000001" customHeight="1" x14ac:dyDescent="0.2">
      <c r="A28" s="989">
        <f>A27+1</f>
        <v>2</v>
      </c>
      <c r="B28" s="1033" t="s">
        <v>930</v>
      </c>
      <c r="C28" s="1034" t="s">
        <v>442</v>
      </c>
      <c r="D28" s="1153">
        <f>((E17*467/1000)-(E19*453/1000))*350</f>
        <v>3376.7973050000192</v>
      </c>
      <c r="E28" s="1152">
        <f>D68</f>
        <v>28973</v>
      </c>
      <c r="F28" s="1035">
        <f>E28*D28/10^7</f>
        <v>9.7835948317765542</v>
      </c>
      <c r="H28" s="1032"/>
    </row>
    <row r="29" spans="1:10" ht="15.75" x14ac:dyDescent="0.25">
      <c r="A29" s="1036"/>
      <c r="B29" s="1037" t="s">
        <v>453</v>
      </c>
      <c r="C29" s="1036"/>
      <c r="D29" s="1038"/>
      <c r="E29" s="1039"/>
      <c r="F29" s="1040">
        <f>SUM(F27:F28)</f>
        <v>21.403496428016552</v>
      </c>
      <c r="H29" s="1032"/>
    </row>
    <row r="30" spans="1:10" ht="15.75" x14ac:dyDescent="0.25">
      <c r="A30" s="1041" t="s">
        <v>111</v>
      </c>
      <c r="B30" s="1042" t="s">
        <v>451</v>
      </c>
      <c r="C30" s="1043"/>
      <c r="D30" s="1044"/>
      <c r="E30" s="1044"/>
      <c r="F30" s="1045"/>
    </row>
    <row r="31" spans="1:10" ht="20.100000000000001" customHeight="1" x14ac:dyDescent="0.2">
      <c r="A31" s="1027">
        <v>1</v>
      </c>
      <c r="B31" s="1046" t="s">
        <v>931</v>
      </c>
      <c r="C31" s="1047" t="s">
        <v>476</v>
      </c>
      <c r="D31" s="1048">
        <f>2700*24*350*4150/10^6</f>
        <v>94122</v>
      </c>
      <c r="E31" s="1049">
        <f>D70</f>
        <v>1216</v>
      </c>
      <c r="F31" s="1031">
        <f>E31*D31/10^7</f>
        <v>11.445235200000001</v>
      </c>
    </row>
    <row r="32" spans="1:10" ht="20.100000000000001" customHeight="1" x14ac:dyDescent="0.2">
      <c r="A32" s="1050">
        <v>2</v>
      </c>
      <c r="B32" s="1051" t="s">
        <v>932</v>
      </c>
      <c r="C32" s="1052"/>
      <c r="D32" s="1018"/>
      <c r="E32" s="1018"/>
      <c r="F32" s="1154" t="e">
        <f>#REF!*0.025</f>
        <v>#REF!</v>
      </c>
      <c r="H32" s="1053"/>
    </row>
    <row r="33" spans="1:22" ht="21.95" customHeight="1" x14ac:dyDescent="0.25">
      <c r="A33" s="1054"/>
      <c r="B33" s="1055" t="s">
        <v>933</v>
      </c>
      <c r="C33" s="1052"/>
      <c r="D33" s="1056"/>
      <c r="E33" s="1056"/>
      <c r="F33" s="1055" t="e">
        <f>SUM(F31:F32)</f>
        <v>#REF!</v>
      </c>
      <c r="H33" s="1057"/>
    </row>
    <row r="34" spans="1:22" ht="21.95" customHeight="1" x14ac:dyDescent="0.25">
      <c r="A34" s="1054" t="s">
        <v>113</v>
      </c>
      <c r="B34" s="1058" t="s">
        <v>934</v>
      </c>
      <c r="C34" s="1052" t="s">
        <v>155</v>
      </c>
      <c r="D34" s="1056"/>
      <c r="E34" s="1059"/>
      <c r="F34" s="1136" t="e">
        <f>(F29-F33)*#REF!</f>
        <v>#REF!</v>
      </c>
      <c r="H34" s="1057"/>
    </row>
    <row r="36" spans="1:22" x14ac:dyDescent="0.2">
      <c r="B36" s="1133" t="s">
        <v>987</v>
      </c>
      <c r="F36" s="1060"/>
    </row>
    <row r="37" spans="1:22" ht="15.75" x14ac:dyDescent="0.25">
      <c r="A37" s="1061"/>
      <c r="B37" s="1062"/>
      <c r="C37" s="1010"/>
      <c r="D37" s="1010"/>
      <c r="E37" s="1010"/>
      <c r="F37" s="1060"/>
    </row>
    <row r="39" spans="1:22" ht="15.75" x14ac:dyDescent="0.25">
      <c r="B39" s="1063" t="s">
        <v>455</v>
      </c>
      <c r="C39" s="1064"/>
      <c r="D39" s="1319"/>
      <c r="E39" s="1319"/>
      <c r="F39" s="1320"/>
      <c r="G39" s="1319" t="s">
        <v>911</v>
      </c>
      <c r="H39" s="1319"/>
      <c r="I39" s="1320"/>
    </row>
    <row r="40" spans="1:22" ht="15" x14ac:dyDescent="0.2">
      <c r="B40" s="1065"/>
      <c r="C40" s="1065"/>
      <c r="D40" s="1066"/>
      <c r="E40" s="1067"/>
      <c r="F40" s="1067"/>
      <c r="G40" s="1066" t="s">
        <v>346</v>
      </c>
      <c r="H40" s="1067" t="s">
        <v>333</v>
      </c>
      <c r="I40" s="1067" t="s">
        <v>347</v>
      </c>
      <c r="P40" s="1137" t="s">
        <v>935</v>
      </c>
    </row>
    <row r="41" spans="1:22" ht="15.75" x14ac:dyDescent="0.25">
      <c r="B41" s="1066" t="s">
        <v>348</v>
      </c>
      <c r="C41" s="1067" t="s">
        <v>329</v>
      </c>
      <c r="D41" s="1068"/>
      <c r="E41" s="1069"/>
      <c r="F41" s="1065"/>
      <c r="G41" s="1068">
        <f>E17</f>
        <v>2087</v>
      </c>
      <c r="H41" s="1069">
        <f>E19</f>
        <v>2130.2008999999998</v>
      </c>
      <c r="I41" s="1065">
        <f>H41-G41</f>
        <v>43.20089999999982</v>
      </c>
      <c r="J41" s="1070"/>
      <c r="P41" s="1138" t="s">
        <v>936</v>
      </c>
      <c r="Q41" s="1139">
        <v>0.02</v>
      </c>
    </row>
    <row r="42" spans="1:22" ht="15.75" x14ac:dyDescent="0.25">
      <c r="B42" s="1066" t="s">
        <v>381</v>
      </c>
      <c r="C42" s="1067" t="s">
        <v>332</v>
      </c>
      <c r="D42" s="1068"/>
      <c r="E42" s="1069"/>
      <c r="F42" s="1065"/>
      <c r="G42" s="1068">
        <f>E22</f>
        <v>467</v>
      </c>
      <c r="H42" s="1069">
        <f>L50</f>
        <v>457.3331</v>
      </c>
      <c r="I42" s="1065">
        <f>H42-G42</f>
        <v>-9.6668999999999983</v>
      </c>
      <c r="P42" s="1138" t="s">
        <v>937</v>
      </c>
      <c r="Q42" s="1140">
        <v>3.3000000000000002E-2</v>
      </c>
    </row>
    <row r="43" spans="1:22" ht="15" x14ac:dyDescent="0.2">
      <c r="B43" s="1066" t="s">
        <v>383</v>
      </c>
      <c r="C43" s="1067" t="s">
        <v>384</v>
      </c>
      <c r="D43" s="1068"/>
      <c r="E43" s="1071"/>
      <c r="F43" s="1071"/>
      <c r="G43" s="1068">
        <f>E15</f>
        <v>962</v>
      </c>
      <c r="H43" s="1071">
        <v>1100</v>
      </c>
      <c r="I43" s="1071">
        <f>+H43-G43</f>
        <v>138</v>
      </c>
    </row>
    <row r="44" spans="1:22" ht="15" x14ac:dyDescent="0.2">
      <c r="B44" s="1072"/>
      <c r="D44" s="1010"/>
      <c r="F44" s="1073"/>
      <c r="H44" s="1311"/>
      <c r="I44" s="1311"/>
      <c r="J44" s="1311"/>
      <c r="K44" s="1311" t="s">
        <v>911</v>
      </c>
      <c r="L44" s="1311"/>
      <c r="M44" s="1311"/>
    </row>
    <row r="45" spans="1:22" ht="75" x14ac:dyDescent="0.2">
      <c r="B45" s="1074" t="s">
        <v>456</v>
      </c>
      <c r="C45" s="1075" t="s">
        <v>457</v>
      </c>
      <c r="D45" s="1075" t="s">
        <v>458</v>
      </c>
      <c r="F45" s="1073"/>
      <c r="K45" s="978" t="s">
        <v>459</v>
      </c>
      <c r="L45" s="978" t="s">
        <v>381</v>
      </c>
      <c r="M45" s="978" t="s">
        <v>348</v>
      </c>
      <c r="P45" s="980" t="s">
        <v>938</v>
      </c>
      <c r="Q45" s="978" t="s">
        <v>939</v>
      </c>
      <c r="S45" s="1141" t="s">
        <v>940</v>
      </c>
      <c r="T45" s="1141" t="s">
        <v>941</v>
      </c>
    </row>
    <row r="46" spans="1:22" ht="15" x14ac:dyDescent="0.2">
      <c r="B46" s="1074" t="s">
        <v>460</v>
      </c>
      <c r="C46" s="1076">
        <f>2%*0+1.5%</f>
        <v>1.4999999999999999E-2</v>
      </c>
      <c r="D46" s="1076">
        <f>2%*0+1.5%</f>
        <v>1.4999999999999999E-2</v>
      </c>
      <c r="E46" s="1077"/>
      <c r="F46" s="1073"/>
      <c r="I46" s="1078"/>
      <c r="J46" s="1078"/>
      <c r="K46" s="978">
        <f>1000-E15</f>
        <v>38</v>
      </c>
      <c r="L46" s="1149">
        <f>G42*K46*D47/100</f>
        <v>2.6619000000000002</v>
      </c>
      <c r="M46" s="1149">
        <f>G41*C47*K46/100</f>
        <v>11.895899999999999</v>
      </c>
      <c r="P46" s="980">
        <v>962</v>
      </c>
      <c r="Q46" s="980">
        <v>1050</v>
      </c>
      <c r="R46" s="980"/>
      <c r="S46" s="980">
        <f>(Q46-P46)*2/100</f>
        <v>1.76</v>
      </c>
      <c r="T46" s="980">
        <f>(Q46-P46)*3.3/100</f>
        <v>2.9039999999999999</v>
      </c>
    </row>
    <row r="47" spans="1:22" ht="15" x14ac:dyDescent="0.2">
      <c r="B47" s="1074" t="s">
        <v>461</v>
      </c>
      <c r="C47" s="1076">
        <v>1.4999999999999999E-2</v>
      </c>
      <c r="D47" s="1076">
        <v>1.4999999999999999E-2</v>
      </c>
      <c r="F47" s="1073"/>
      <c r="I47" s="1078"/>
      <c r="J47" s="1078"/>
      <c r="K47" s="978">
        <f>H43-1000</f>
        <v>100</v>
      </c>
      <c r="L47" s="1078">
        <f>G42*K47*D47/100</f>
        <v>7.0049999999999999</v>
      </c>
      <c r="M47" s="1078">
        <f>G41*K47*C47/100</f>
        <v>31.305</v>
      </c>
    </row>
    <row r="48" spans="1:22" ht="15.75" x14ac:dyDescent="0.2">
      <c r="B48" s="1074" t="s">
        <v>463</v>
      </c>
      <c r="C48" s="1076">
        <v>1.0500000000000001E-2</v>
      </c>
      <c r="D48" s="1076">
        <v>8.5000000000000006E-3</v>
      </c>
      <c r="F48" s="1073"/>
      <c r="I48" s="1078"/>
      <c r="J48" s="1078"/>
      <c r="L48" s="1078">
        <f>G42*K48*D48/100</f>
        <v>0</v>
      </c>
      <c r="M48" s="1078">
        <f>G41*K48*C48/100</f>
        <v>0</v>
      </c>
      <c r="P48" s="1142" t="s">
        <v>942</v>
      </c>
      <c r="Q48" s="1142" t="s">
        <v>35</v>
      </c>
      <c r="R48" s="1143" t="s">
        <v>943</v>
      </c>
      <c r="S48" s="1144">
        <f>T46</f>
        <v>2.9039999999999999</v>
      </c>
      <c r="T48" s="1142" t="s">
        <v>944</v>
      </c>
      <c r="U48" s="1142"/>
      <c r="V48" s="1142"/>
    </row>
    <row r="49" spans="1:22" ht="15.75" x14ac:dyDescent="0.25">
      <c r="B49" s="1074" t="s">
        <v>336</v>
      </c>
      <c r="C49" s="1076">
        <f>AVERAGE(C46:C48)</f>
        <v>1.35E-2</v>
      </c>
      <c r="D49" s="1076">
        <f>AVERAGE(D46:D48)</f>
        <v>1.2833333333333334E-2</v>
      </c>
      <c r="E49" s="1079"/>
      <c r="F49" s="1080"/>
      <c r="G49" s="1081"/>
      <c r="I49" s="1078"/>
      <c r="J49" s="1078"/>
      <c r="L49" s="1078"/>
      <c r="M49" s="1078"/>
      <c r="P49" s="1142" t="s">
        <v>945</v>
      </c>
      <c r="Q49" s="1142" t="s">
        <v>946</v>
      </c>
      <c r="R49" s="1143" t="s">
        <v>943</v>
      </c>
      <c r="S49" s="1145">
        <f>467-(467*2.904)/100</f>
        <v>453.43831999999998</v>
      </c>
      <c r="T49" s="1146" t="s">
        <v>947</v>
      </c>
      <c r="U49" s="1142"/>
      <c r="V49" s="1142"/>
    </row>
    <row r="50" spans="1:22" ht="15.75" x14ac:dyDescent="0.25">
      <c r="B50" s="1082"/>
      <c r="C50" s="1083"/>
      <c r="D50" s="1083"/>
      <c r="J50" s="1081" t="s">
        <v>465</v>
      </c>
      <c r="L50" s="1078">
        <f>G42-SUM(L46:L49)</f>
        <v>457.3331</v>
      </c>
      <c r="M50" s="1078">
        <f>G41+SUM(M46:M49)</f>
        <v>2130.2008999999998</v>
      </c>
      <c r="P50" s="1142" t="s">
        <v>948</v>
      </c>
      <c r="Q50" s="1142" t="s">
        <v>946</v>
      </c>
      <c r="R50" s="1143" t="s">
        <v>943</v>
      </c>
      <c r="S50" s="1145">
        <f>467-453</f>
        <v>14</v>
      </c>
      <c r="T50" s="1142"/>
      <c r="U50" s="1142"/>
      <c r="V50" s="1142"/>
    </row>
    <row r="51" spans="1:22" ht="15.75" x14ac:dyDescent="0.2">
      <c r="A51" s="1084" t="s">
        <v>949</v>
      </c>
      <c r="B51" s="1085"/>
      <c r="C51" s="1086"/>
      <c r="D51" s="1085"/>
      <c r="E51" s="1085"/>
    </row>
    <row r="52" spans="1:22" ht="15" x14ac:dyDescent="0.2">
      <c r="A52" s="1087"/>
      <c r="B52" s="1088" t="s">
        <v>950</v>
      </c>
      <c r="C52" s="1089"/>
      <c r="D52" s="1090"/>
      <c r="E52" s="1091"/>
      <c r="F52" s="1092"/>
      <c r="G52" s="1092"/>
      <c r="H52" s="1092"/>
    </row>
    <row r="53" spans="1:22" ht="45" x14ac:dyDescent="0.2">
      <c r="A53" s="1087"/>
      <c r="B53" s="1088"/>
      <c r="C53" s="1089" t="s">
        <v>951</v>
      </c>
      <c r="D53" s="1089" t="s">
        <v>952</v>
      </c>
      <c r="E53" s="1089" t="s">
        <v>953</v>
      </c>
      <c r="F53" s="1089" t="s">
        <v>466</v>
      </c>
      <c r="G53" s="1093" t="s">
        <v>954</v>
      </c>
      <c r="H53" s="1093" t="s">
        <v>955</v>
      </c>
      <c r="P53" s="1142" t="s">
        <v>942</v>
      </c>
      <c r="Q53" s="1142" t="s">
        <v>35</v>
      </c>
      <c r="R53" s="1143" t="s">
        <v>943</v>
      </c>
      <c r="S53" s="1147">
        <v>1.76</v>
      </c>
      <c r="T53" s="1142" t="s">
        <v>956</v>
      </c>
      <c r="U53" s="1142"/>
      <c r="V53" s="1142"/>
    </row>
    <row r="54" spans="1:22" ht="30.75" x14ac:dyDescent="0.2">
      <c r="A54" s="1087"/>
      <c r="B54" s="1088" t="s">
        <v>957</v>
      </c>
      <c r="C54" s="1094">
        <v>200</v>
      </c>
      <c r="D54" s="1095" t="s">
        <v>958</v>
      </c>
      <c r="E54" s="1091">
        <f>200*3/100</f>
        <v>6</v>
      </c>
      <c r="F54" s="1096">
        <v>2087</v>
      </c>
      <c r="G54" s="1097">
        <f>2087*(1-E54/100)</f>
        <v>1961.78</v>
      </c>
      <c r="H54" s="1068">
        <f>G54-F54</f>
        <v>-125.22000000000003</v>
      </c>
      <c r="P54" s="1142" t="s">
        <v>959</v>
      </c>
      <c r="Q54" s="1142"/>
      <c r="R54" s="1143" t="s">
        <v>943</v>
      </c>
      <c r="S54" s="1145">
        <f>2087+2087*1.8/100</f>
        <v>2124.5659999999998</v>
      </c>
      <c r="T54" s="1146" t="s">
        <v>947</v>
      </c>
      <c r="U54" s="1142"/>
      <c r="V54" s="1142"/>
    </row>
    <row r="55" spans="1:22" ht="30.75" x14ac:dyDescent="0.2">
      <c r="A55" s="1087"/>
      <c r="B55" s="1088" t="s">
        <v>960</v>
      </c>
      <c r="C55" s="1094">
        <v>200</v>
      </c>
      <c r="D55" s="1095" t="s">
        <v>961</v>
      </c>
      <c r="E55" s="1091">
        <f>200*3/100</f>
        <v>6</v>
      </c>
      <c r="F55" s="1092">
        <v>467</v>
      </c>
      <c r="G55" s="1097">
        <f>467*(1+E55/100)</f>
        <v>495.02000000000004</v>
      </c>
      <c r="H55" s="1068">
        <f>G55-F55</f>
        <v>28.020000000000039</v>
      </c>
      <c r="P55" s="1142" t="s">
        <v>962</v>
      </c>
      <c r="Q55" s="1142" t="s">
        <v>16</v>
      </c>
      <c r="R55" s="1143" t="s">
        <v>943</v>
      </c>
      <c r="S55" s="1145">
        <f>S54-2087</f>
        <v>37.565999999999804</v>
      </c>
      <c r="T55" s="1142"/>
      <c r="U55" s="1142"/>
      <c r="V55" s="1142"/>
    </row>
    <row r="56" spans="1:22" ht="15" x14ac:dyDescent="0.2">
      <c r="A56" s="1087"/>
      <c r="B56" s="1098"/>
      <c r="C56" s="1099"/>
      <c r="D56" s="1086"/>
      <c r="E56" s="1085"/>
    </row>
    <row r="57" spans="1:22" ht="15" x14ac:dyDescent="0.2">
      <c r="A57" s="1087"/>
      <c r="B57" s="1085"/>
      <c r="C57" s="1100"/>
      <c r="D57" s="1086"/>
      <c r="E57" s="1085"/>
    </row>
    <row r="58" spans="1:22" ht="15" x14ac:dyDescent="0.2">
      <c r="A58" s="1087"/>
      <c r="B58" s="1101"/>
      <c r="C58" s="1102"/>
      <c r="D58" s="1101"/>
      <c r="E58" s="1085"/>
    </row>
    <row r="62" spans="1:22" x14ac:dyDescent="0.2">
      <c r="D62" s="1103"/>
      <c r="E62" s="1103"/>
    </row>
    <row r="63" spans="1:22" x14ac:dyDescent="0.2">
      <c r="D63" s="1103"/>
      <c r="E63" s="1103"/>
    </row>
    <row r="64" spans="1:22" x14ac:dyDescent="0.2">
      <c r="D64" s="1103"/>
      <c r="E64" s="1103"/>
    </row>
    <row r="65" spans="1:8" ht="63" x14ac:dyDescent="0.2">
      <c r="A65" s="887" t="s">
        <v>140</v>
      </c>
      <c r="B65" s="887" t="s">
        <v>3</v>
      </c>
      <c r="C65" s="887" t="s">
        <v>38</v>
      </c>
      <c r="D65" s="1104" t="s">
        <v>963</v>
      </c>
      <c r="E65" s="1104" t="s">
        <v>964</v>
      </c>
      <c r="H65" s="1104" t="s">
        <v>965</v>
      </c>
    </row>
    <row r="66" spans="1:8" ht="15" x14ac:dyDescent="0.2">
      <c r="A66" s="696">
        <v>1</v>
      </c>
      <c r="B66" s="1105" t="s">
        <v>966</v>
      </c>
      <c r="C66" s="733" t="s">
        <v>35</v>
      </c>
      <c r="D66" s="1106">
        <f>8600%/100</f>
        <v>0.86</v>
      </c>
      <c r="E66" s="1107"/>
      <c r="H66" s="1108">
        <f>8600%/100</f>
        <v>0.86</v>
      </c>
    </row>
    <row r="67" spans="1:8" ht="15" x14ac:dyDescent="0.2">
      <c r="A67" s="696">
        <v>2</v>
      </c>
      <c r="B67" s="718" t="s">
        <v>967</v>
      </c>
      <c r="C67" s="733" t="s">
        <v>356</v>
      </c>
      <c r="D67" s="1156">
        <v>25789</v>
      </c>
      <c r="E67" s="1110">
        <f>F92</f>
        <v>20506.166666666668</v>
      </c>
      <c r="H67" s="1109">
        <v>16902</v>
      </c>
    </row>
    <row r="68" spans="1:8" ht="15" x14ac:dyDescent="0.2">
      <c r="A68" s="696">
        <v>3</v>
      </c>
      <c r="B68" s="718" t="s">
        <v>968</v>
      </c>
      <c r="C68" s="733" t="s">
        <v>356</v>
      </c>
      <c r="D68" s="1158">
        <v>28973</v>
      </c>
      <c r="E68" s="1110">
        <f>F90</f>
        <v>22227.933333333334</v>
      </c>
      <c r="H68" s="1109">
        <v>16970</v>
      </c>
    </row>
    <row r="69" spans="1:8" ht="18" x14ac:dyDescent="0.2">
      <c r="A69" s="696">
        <v>4</v>
      </c>
      <c r="B69" s="718" t="s">
        <v>969</v>
      </c>
      <c r="C69" s="733" t="s">
        <v>970</v>
      </c>
      <c r="D69" s="1109">
        <v>1216</v>
      </c>
      <c r="E69" s="1111"/>
      <c r="H69" s="1109">
        <v>1132</v>
      </c>
    </row>
    <row r="70" spans="1:8" ht="18" x14ac:dyDescent="0.2">
      <c r="A70" s="696">
        <v>5</v>
      </c>
      <c r="B70" s="718" t="s">
        <v>971</v>
      </c>
      <c r="C70" s="733" t="s">
        <v>972</v>
      </c>
      <c r="D70" s="1109">
        <v>1216</v>
      </c>
      <c r="E70" s="1112"/>
      <c r="H70" s="1109">
        <v>1132</v>
      </c>
    </row>
    <row r="71" spans="1:8" ht="18" x14ac:dyDescent="0.2">
      <c r="A71" s="696">
        <v>6</v>
      </c>
      <c r="B71" s="957" t="s">
        <v>973</v>
      </c>
      <c r="C71" s="734" t="s">
        <v>974</v>
      </c>
      <c r="D71" s="1109">
        <v>23759</v>
      </c>
      <c r="E71" s="1312" t="s">
        <v>975</v>
      </c>
      <c r="H71" s="1109">
        <v>19036</v>
      </c>
    </row>
    <row r="72" spans="1:8" ht="15" x14ac:dyDescent="0.2">
      <c r="A72" s="696">
        <v>7</v>
      </c>
      <c r="B72" s="957" t="s">
        <v>414</v>
      </c>
      <c r="C72" s="734" t="s">
        <v>976</v>
      </c>
      <c r="D72" s="1109">
        <v>6238</v>
      </c>
      <c r="E72" s="1313"/>
      <c r="H72" s="1109">
        <v>6206</v>
      </c>
    </row>
    <row r="73" spans="1:8" ht="15" x14ac:dyDescent="0.2">
      <c r="A73" s="696">
        <v>8</v>
      </c>
      <c r="B73" s="957" t="s">
        <v>416</v>
      </c>
      <c r="C73" s="734" t="s">
        <v>977</v>
      </c>
      <c r="D73" s="1109">
        <v>20742.330000000002</v>
      </c>
      <c r="E73" s="1313"/>
      <c r="H73" s="1109">
        <v>15974</v>
      </c>
    </row>
    <row r="74" spans="1:8" ht="15" x14ac:dyDescent="0.2">
      <c r="A74" s="696">
        <v>9</v>
      </c>
      <c r="B74" s="957" t="s">
        <v>419</v>
      </c>
      <c r="C74" s="734" t="s">
        <v>977</v>
      </c>
      <c r="D74" s="1109">
        <v>4144</v>
      </c>
      <c r="E74" s="1313"/>
      <c r="H74" s="1109">
        <v>3833</v>
      </c>
    </row>
    <row r="75" spans="1:8" ht="15" x14ac:dyDescent="0.2">
      <c r="A75" s="696">
        <v>10</v>
      </c>
      <c r="B75" s="1113" t="s">
        <v>422</v>
      </c>
      <c r="C75" s="734" t="s">
        <v>978</v>
      </c>
      <c r="D75" s="1109">
        <v>1452</v>
      </c>
      <c r="E75" s="1314"/>
      <c r="H75" s="1109">
        <v>1203</v>
      </c>
    </row>
    <row r="76" spans="1:8" x14ac:dyDescent="0.2">
      <c r="D76" s="1103"/>
      <c r="E76" s="1103"/>
    </row>
    <row r="77" spans="1:8" x14ac:dyDescent="0.2">
      <c r="D77" s="1103"/>
      <c r="E77" s="1103"/>
    </row>
    <row r="78" spans="1:8" ht="15.75" x14ac:dyDescent="0.25">
      <c r="A78" s="679"/>
      <c r="B78" s="1114" t="s">
        <v>979</v>
      </c>
      <c r="C78" s="1115" t="s">
        <v>38</v>
      </c>
      <c r="D78" s="1116" t="s">
        <v>141</v>
      </c>
      <c r="E78" s="1117"/>
    </row>
    <row r="79" spans="1:8" ht="15" x14ac:dyDescent="0.2">
      <c r="A79" s="679"/>
      <c r="B79" s="1118" t="s">
        <v>334</v>
      </c>
      <c r="C79" s="1119" t="s">
        <v>356</v>
      </c>
      <c r="D79" s="1109">
        <v>25096</v>
      </c>
      <c r="E79" s="1120"/>
      <c r="H79" s="1109">
        <v>23965</v>
      </c>
    </row>
    <row r="80" spans="1:8" ht="15" x14ac:dyDescent="0.2">
      <c r="A80" s="679"/>
      <c r="B80" s="1118" t="s">
        <v>350</v>
      </c>
      <c r="C80" s="1119" t="s">
        <v>356</v>
      </c>
      <c r="D80" s="1109">
        <v>30370</v>
      </c>
      <c r="E80" s="1120"/>
      <c r="H80" s="1109">
        <v>28867.155754877786</v>
      </c>
    </row>
    <row r="81" spans="1:8" ht="15" x14ac:dyDescent="0.2">
      <c r="A81" s="679"/>
      <c r="B81" s="1118" t="s">
        <v>980</v>
      </c>
      <c r="C81" s="1119" t="s">
        <v>356</v>
      </c>
      <c r="D81" s="1109">
        <v>48709</v>
      </c>
      <c r="E81" s="1155">
        <f>AVERAGE(D79:D81)</f>
        <v>34725</v>
      </c>
      <c r="H81" s="1109">
        <v>28000</v>
      </c>
    </row>
    <row r="82" spans="1:8" ht="15" x14ac:dyDescent="0.2">
      <c r="A82" s="679"/>
      <c r="B82" s="1118" t="s">
        <v>981</v>
      </c>
      <c r="C82" s="1119" t="s">
        <v>356</v>
      </c>
      <c r="D82" s="1109">
        <v>58463</v>
      </c>
      <c r="E82" s="1117"/>
      <c r="H82" s="1109">
        <v>33600</v>
      </c>
    </row>
    <row r="84" spans="1:8" ht="15" x14ac:dyDescent="0.2">
      <c r="B84" s="1121" t="s">
        <v>982</v>
      </c>
      <c r="E84" s="978">
        <f>E81-D67</f>
        <v>8936</v>
      </c>
    </row>
    <row r="88" spans="1:8" ht="24" thickBot="1" x14ac:dyDescent="0.25">
      <c r="A88" s="1122"/>
      <c r="B88" s="1315" t="s">
        <v>983</v>
      </c>
      <c r="C88" s="1315"/>
      <c r="D88" s="1315"/>
      <c r="E88" s="1316"/>
    </row>
    <row r="89" spans="1:8" ht="24" thickBot="1" x14ac:dyDescent="0.25">
      <c r="A89" s="1123"/>
      <c r="B89" s="1124"/>
      <c r="C89" s="1125" t="s">
        <v>334</v>
      </c>
      <c r="D89" s="1125" t="s">
        <v>350</v>
      </c>
      <c r="E89" s="1126" t="s">
        <v>980</v>
      </c>
    </row>
    <row r="90" spans="1:8" ht="24" thickBot="1" x14ac:dyDescent="0.25">
      <c r="A90" s="1123"/>
      <c r="B90" s="1124" t="s">
        <v>984</v>
      </c>
      <c r="C90" s="1127">
        <v>21204.799999999999</v>
      </c>
      <c r="D90" s="1127">
        <v>16505.5</v>
      </c>
      <c r="E90" s="1128">
        <v>28973.5</v>
      </c>
      <c r="F90" s="1157">
        <f>AVERAGE(C90:E90)</f>
        <v>22227.933333333334</v>
      </c>
    </row>
    <row r="91" spans="1:8" ht="24" thickBot="1" x14ac:dyDescent="0.25">
      <c r="A91" s="1123"/>
      <c r="B91" s="1124" t="s">
        <v>985</v>
      </c>
      <c r="C91" s="1127">
        <v>21972.9</v>
      </c>
      <c r="D91" s="1127">
        <v>17363</v>
      </c>
      <c r="E91" s="1128">
        <v>30422.5</v>
      </c>
    </row>
    <row r="92" spans="1:8" ht="23.25" x14ac:dyDescent="0.2">
      <c r="A92" s="1129"/>
      <c r="B92" s="1130" t="s">
        <v>986</v>
      </c>
      <c r="C92" s="1131">
        <v>19427.2</v>
      </c>
      <c r="D92" s="1131">
        <v>16301.9</v>
      </c>
      <c r="E92" s="1132">
        <v>25789.4</v>
      </c>
      <c r="F92" s="1157">
        <f>AVERAGE(C92:E92)</f>
        <v>20506.166666666668</v>
      </c>
    </row>
  </sheetData>
  <mergeCells count="9">
    <mergeCell ref="K44:M44"/>
    <mergeCell ref="E71:E75"/>
    <mergeCell ref="B88:E88"/>
    <mergeCell ref="A3:F3"/>
    <mergeCell ref="A4:F4"/>
    <mergeCell ref="A5:F5"/>
    <mergeCell ref="D39:F39"/>
    <mergeCell ref="G39:I39"/>
    <mergeCell ref="H44:J44"/>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5:BL3684"/>
  <sheetViews>
    <sheetView showZeros="0" zoomScale="90" zoomScaleNormal="90" workbookViewId="0">
      <selection activeCell="BG13" sqref="BG13"/>
    </sheetView>
  </sheetViews>
  <sheetFormatPr defaultRowHeight="15" x14ac:dyDescent="0.2"/>
  <cols>
    <col min="1" max="1" width="8.88671875" style="679"/>
    <col min="2" max="2" width="14.6640625" style="679" customWidth="1"/>
    <col min="3" max="3" width="10" style="679" bestFit="1" customWidth="1"/>
    <col min="4" max="7" width="8.88671875" style="679"/>
    <col min="8" max="8" width="10" style="679" customWidth="1"/>
    <col min="9" max="10" width="10.21875" style="679" customWidth="1"/>
    <col min="11" max="12" width="12" style="679" customWidth="1"/>
    <col min="13" max="13" width="8.6640625" style="679" customWidth="1"/>
    <col min="14" max="14" width="30.44140625" style="679" customWidth="1"/>
    <col min="15" max="15" width="9.6640625" style="679" customWidth="1"/>
    <col min="16" max="19" width="8.77734375" style="679" customWidth="1"/>
    <col min="20" max="36" width="10.33203125" style="679" customWidth="1"/>
    <col min="37" max="37" width="8.88671875" style="679"/>
    <col min="38" max="38" width="12.33203125" style="679" customWidth="1"/>
    <col min="39" max="39" width="13.109375" style="679" customWidth="1"/>
    <col min="40" max="40" width="9.109375" style="679" customWidth="1"/>
    <col min="41" max="257" width="8.88671875" style="679"/>
    <col min="258" max="258" width="14.6640625" style="679" customWidth="1"/>
    <col min="259" max="259" width="10" style="679" bestFit="1" customWidth="1"/>
    <col min="260" max="263" width="8.88671875" style="679"/>
    <col min="264" max="264" width="10" style="679" customWidth="1"/>
    <col min="265" max="266" width="10.21875" style="679" customWidth="1"/>
    <col min="267" max="268" width="12" style="679" customWidth="1"/>
    <col min="269" max="269" width="8.6640625" style="679" customWidth="1"/>
    <col min="270" max="270" width="30.44140625" style="679" customWidth="1"/>
    <col min="271" max="271" width="9.6640625" style="679" customWidth="1"/>
    <col min="272" max="275" width="8.77734375" style="679" customWidth="1"/>
    <col min="276" max="292" width="10.33203125" style="679" customWidth="1"/>
    <col min="293" max="293" width="8.88671875" style="679"/>
    <col min="294" max="294" width="12.33203125" style="679" customWidth="1"/>
    <col min="295" max="295" width="13.109375" style="679" customWidth="1"/>
    <col min="296" max="296" width="9.109375" style="679" customWidth="1"/>
    <col min="297" max="513" width="8.88671875" style="679"/>
    <col min="514" max="514" width="14.6640625" style="679" customWidth="1"/>
    <col min="515" max="515" width="10" style="679" bestFit="1" customWidth="1"/>
    <col min="516" max="519" width="8.88671875" style="679"/>
    <col min="520" max="520" width="10" style="679" customWidth="1"/>
    <col min="521" max="522" width="10.21875" style="679" customWidth="1"/>
    <col min="523" max="524" width="12" style="679" customWidth="1"/>
    <col min="525" max="525" width="8.6640625" style="679" customWidth="1"/>
    <col min="526" max="526" width="30.44140625" style="679" customWidth="1"/>
    <col min="527" max="527" width="9.6640625" style="679" customWidth="1"/>
    <col min="528" max="531" width="8.77734375" style="679" customWidth="1"/>
    <col min="532" max="548" width="10.33203125" style="679" customWidth="1"/>
    <col min="549" max="549" width="8.88671875" style="679"/>
    <col min="550" max="550" width="12.33203125" style="679" customWidth="1"/>
    <col min="551" max="551" width="13.109375" style="679" customWidth="1"/>
    <col min="552" max="552" width="9.109375" style="679" customWidth="1"/>
    <col min="553" max="769" width="8.88671875" style="679"/>
    <col min="770" max="770" width="14.6640625" style="679" customWidth="1"/>
    <col min="771" max="771" width="10" style="679" bestFit="1" customWidth="1"/>
    <col min="772" max="775" width="8.88671875" style="679"/>
    <col min="776" max="776" width="10" style="679" customWidth="1"/>
    <col min="777" max="778" width="10.21875" style="679" customWidth="1"/>
    <col min="779" max="780" width="12" style="679" customWidth="1"/>
    <col min="781" max="781" width="8.6640625" style="679" customWidth="1"/>
    <col min="782" max="782" width="30.44140625" style="679" customWidth="1"/>
    <col min="783" max="783" width="9.6640625" style="679" customWidth="1"/>
    <col min="784" max="787" width="8.77734375" style="679" customWidth="1"/>
    <col min="788" max="804" width="10.33203125" style="679" customWidth="1"/>
    <col min="805" max="805" width="8.88671875" style="679"/>
    <col min="806" max="806" width="12.33203125" style="679" customWidth="1"/>
    <col min="807" max="807" width="13.109375" style="679" customWidth="1"/>
    <col min="808" max="808" width="9.109375" style="679" customWidth="1"/>
    <col min="809" max="1025" width="8.88671875" style="679"/>
    <col min="1026" max="1026" width="14.6640625" style="679" customWidth="1"/>
    <col min="1027" max="1027" width="10" style="679" bestFit="1" customWidth="1"/>
    <col min="1028" max="1031" width="8.88671875" style="679"/>
    <col min="1032" max="1032" width="10" style="679" customWidth="1"/>
    <col min="1033" max="1034" width="10.21875" style="679" customWidth="1"/>
    <col min="1035" max="1036" width="12" style="679" customWidth="1"/>
    <col min="1037" max="1037" width="8.6640625" style="679" customWidth="1"/>
    <col min="1038" max="1038" width="30.44140625" style="679" customWidth="1"/>
    <col min="1039" max="1039" width="9.6640625" style="679" customWidth="1"/>
    <col min="1040" max="1043" width="8.77734375" style="679" customWidth="1"/>
    <col min="1044" max="1060" width="10.33203125" style="679" customWidth="1"/>
    <col min="1061" max="1061" width="8.88671875" style="679"/>
    <col min="1062" max="1062" width="12.33203125" style="679" customWidth="1"/>
    <col min="1063" max="1063" width="13.109375" style="679" customWidth="1"/>
    <col min="1064" max="1064" width="9.109375" style="679" customWidth="1"/>
    <col min="1065" max="1281" width="8.88671875" style="679"/>
    <col min="1282" max="1282" width="14.6640625" style="679" customWidth="1"/>
    <col min="1283" max="1283" width="10" style="679" bestFit="1" customWidth="1"/>
    <col min="1284" max="1287" width="8.88671875" style="679"/>
    <col min="1288" max="1288" width="10" style="679" customWidth="1"/>
    <col min="1289" max="1290" width="10.21875" style="679" customWidth="1"/>
    <col min="1291" max="1292" width="12" style="679" customWidth="1"/>
    <col min="1293" max="1293" width="8.6640625" style="679" customWidth="1"/>
    <col min="1294" max="1294" width="30.44140625" style="679" customWidth="1"/>
    <col min="1295" max="1295" width="9.6640625" style="679" customWidth="1"/>
    <col min="1296" max="1299" width="8.77734375" style="679" customWidth="1"/>
    <col min="1300" max="1316" width="10.33203125" style="679" customWidth="1"/>
    <col min="1317" max="1317" width="8.88671875" style="679"/>
    <col min="1318" max="1318" width="12.33203125" style="679" customWidth="1"/>
    <col min="1319" max="1319" width="13.109375" style="679" customWidth="1"/>
    <col min="1320" max="1320" width="9.109375" style="679" customWidth="1"/>
    <col min="1321" max="1537" width="8.88671875" style="679"/>
    <col min="1538" max="1538" width="14.6640625" style="679" customWidth="1"/>
    <col min="1539" max="1539" width="10" style="679" bestFit="1" customWidth="1"/>
    <col min="1540" max="1543" width="8.88671875" style="679"/>
    <col min="1544" max="1544" width="10" style="679" customWidth="1"/>
    <col min="1545" max="1546" width="10.21875" style="679" customWidth="1"/>
    <col min="1547" max="1548" width="12" style="679" customWidth="1"/>
    <col min="1549" max="1549" width="8.6640625" style="679" customWidth="1"/>
    <col min="1550" max="1550" width="30.44140625" style="679" customWidth="1"/>
    <col min="1551" max="1551" width="9.6640625" style="679" customWidth="1"/>
    <col min="1552" max="1555" width="8.77734375" style="679" customWidth="1"/>
    <col min="1556" max="1572" width="10.33203125" style="679" customWidth="1"/>
    <col min="1573" max="1573" width="8.88671875" style="679"/>
    <col min="1574" max="1574" width="12.33203125" style="679" customWidth="1"/>
    <col min="1575" max="1575" width="13.109375" style="679" customWidth="1"/>
    <col min="1576" max="1576" width="9.109375" style="679" customWidth="1"/>
    <col min="1577" max="1793" width="8.88671875" style="679"/>
    <col min="1794" max="1794" width="14.6640625" style="679" customWidth="1"/>
    <col min="1795" max="1795" width="10" style="679" bestFit="1" customWidth="1"/>
    <col min="1796" max="1799" width="8.88671875" style="679"/>
    <col min="1800" max="1800" width="10" style="679" customWidth="1"/>
    <col min="1801" max="1802" width="10.21875" style="679" customWidth="1"/>
    <col min="1803" max="1804" width="12" style="679" customWidth="1"/>
    <col min="1805" max="1805" width="8.6640625" style="679" customWidth="1"/>
    <col min="1806" max="1806" width="30.44140625" style="679" customWidth="1"/>
    <col min="1807" max="1807" width="9.6640625" style="679" customWidth="1"/>
    <col min="1808" max="1811" width="8.77734375" style="679" customWidth="1"/>
    <col min="1812" max="1828" width="10.33203125" style="679" customWidth="1"/>
    <col min="1829" max="1829" width="8.88671875" style="679"/>
    <col min="1830" max="1830" width="12.33203125" style="679" customWidth="1"/>
    <col min="1831" max="1831" width="13.109375" style="679" customWidth="1"/>
    <col min="1832" max="1832" width="9.109375" style="679" customWidth="1"/>
    <col min="1833" max="2049" width="8.88671875" style="679"/>
    <col min="2050" max="2050" width="14.6640625" style="679" customWidth="1"/>
    <col min="2051" max="2051" width="10" style="679" bestFit="1" customWidth="1"/>
    <col min="2052" max="2055" width="8.88671875" style="679"/>
    <col min="2056" max="2056" width="10" style="679" customWidth="1"/>
    <col min="2057" max="2058" width="10.21875" style="679" customWidth="1"/>
    <col min="2059" max="2060" width="12" style="679" customWidth="1"/>
    <col min="2061" max="2061" width="8.6640625" style="679" customWidth="1"/>
    <col min="2062" max="2062" width="30.44140625" style="679" customWidth="1"/>
    <col min="2063" max="2063" width="9.6640625" style="679" customWidth="1"/>
    <col min="2064" max="2067" width="8.77734375" style="679" customWidth="1"/>
    <col min="2068" max="2084" width="10.33203125" style="679" customWidth="1"/>
    <col min="2085" max="2085" width="8.88671875" style="679"/>
    <col min="2086" max="2086" width="12.33203125" style="679" customWidth="1"/>
    <col min="2087" max="2087" width="13.109375" style="679" customWidth="1"/>
    <col min="2088" max="2088" width="9.109375" style="679" customWidth="1"/>
    <col min="2089" max="2305" width="8.88671875" style="679"/>
    <col min="2306" max="2306" width="14.6640625" style="679" customWidth="1"/>
    <col min="2307" max="2307" width="10" style="679" bestFit="1" customWidth="1"/>
    <col min="2308" max="2311" width="8.88671875" style="679"/>
    <col min="2312" max="2312" width="10" style="679" customWidth="1"/>
    <col min="2313" max="2314" width="10.21875" style="679" customWidth="1"/>
    <col min="2315" max="2316" width="12" style="679" customWidth="1"/>
    <col min="2317" max="2317" width="8.6640625" style="679" customWidth="1"/>
    <col min="2318" max="2318" width="30.44140625" style="679" customWidth="1"/>
    <col min="2319" max="2319" width="9.6640625" style="679" customWidth="1"/>
    <col min="2320" max="2323" width="8.77734375" style="679" customWidth="1"/>
    <col min="2324" max="2340" width="10.33203125" style="679" customWidth="1"/>
    <col min="2341" max="2341" width="8.88671875" style="679"/>
    <col min="2342" max="2342" width="12.33203125" style="679" customWidth="1"/>
    <col min="2343" max="2343" width="13.109375" style="679" customWidth="1"/>
    <col min="2344" max="2344" width="9.109375" style="679" customWidth="1"/>
    <col min="2345" max="2561" width="8.88671875" style="679"/>
    <col min="2562" max="2562" width="14.6640625" style="679" customWidth="1"/>
    <col min="2563" max="2563" width="10" style="679" bestFit="1" customWidth="1"/>
    <col min="2564" max="2567" width="8.88671875" style="679"/>
    <col min="2568" max="2568" width="10" style="679" customWidth="1"/>
    <col min="2569" max="2570" width="10.21875" style="679" customWidth="1"/>
    <col min="2571" max="2572" width="12" style="679" customWidth="1"/>
    <col min="2573" max="2573" width="8.6640625" style="679" customWidth="1"/>
    <col min="2574" max="2574" width="30.44140625" style="679" customWidth="1"/>
    <col min="2575" max="2575" width="9.6640625" style="679" customWidth="1"/>
    <col min="2576" max="2579" width="8.77734375" style="679" customWidth="1"/>
    <col min="2580" max="2596" width="10.33203125" style="679" customWidth="1"/>
    <col min="2597" max="2597" width="8.88671875" style="679"/>
    <col min="2598" max="2598" width="12.33203125" style="679" customWidth="1"/>
    <col min="2599" max="2599" width="13.109375" style="679" customWidth="1"/>
    <col min="2600" max="2600" width="9.109375" style="679" customWidth="1"/>
    <col min="2601" max="2817" width="8.88671875" style="679"/>
    <col min="2818" max="2818" width="14.6640625" style="679" customWidth="1"/>
    <col min="2819" max="2819" width="10" style="679" bestFit="1" customWidth="1"/>
    <col min="2820" max="2823" width="8.88671875" style="679"/>
    <col min="2824" max="2824" width="10" style="679" customWidth="1"/>
    <col min="2825" max="2826" width="10.21875" style="679" customWidth="1"/>
    <col min="2827" max="2828" width="12" style="679" customWidth="1"/>
    <col min="2829" max="2829" width="8.6640625" style="679" customWidth="1"/>
    <col min="2830" max="2830" width="30.44140625" style="679" customWidth="1"/>
    <col min="2831" max="2831" width="9.6640625" style="679" customWidth="1"/>
    <col min="2832" max="2835" width="8.77734375" style="679" customWidth="1"/>
    <col min="2836" max="2852" width="10.33203125" style="679" customWidth="1"/>
    <col min="2853" max="2853" width="8.88671875" style="679"/>
    <col min="2854" max="2854" width="12.33203125" style="679" customWidth="1"/>
    <col min="2855" max="2855" width="13.109375" style="679" customWidth="1"/>
    <col min="2856" max="2856" width="9.109375" style="679" customWidth="1"/>
    <col min="2857" max="3073" width="8.88671875" style="679"/>
    <col min="3074" max="3074" width="14.6640625" style="679" customWidth="1"/>
    <col min="3075" max="3075" width="10" style="679" bestFit="1" customWidth="1"/>
    <col min="3076" max="3079" width="8.88671875" style="679"/>
    <col min="3080" max="3080" width="10" style="679" customWidth="1"/>
    <col min="3081" max="3082" width="10.21875" style="679" customWidth="1"/>
    <col min="3083" max="3084" width="12" style="679" customWidth="1"/>
    <col min="3085" max="3085" width="8.6640625" style="679" customWidth="1"/>
    <col min="3086" max="3086" width="30.44140625" style="679" customWidth="1"/>
    <col min="3087" max="3087" width="9.6640625" style="679" customWidth="1"/>
    <col min="3088" max="3091" width="8.77734375" style="679" customWidth="1"/>
    <col min="3092" max="3108" width="10.33203125" style="679" customWidth="1"/>
    <col min="3109" max="3109" width="8.88671875" style="679"/>
    <col min="3110" max="3110" width="12.33203125" style="679" customWidth="1"/>
    <col min="3111" max="3111" width="13.109375" style="679" customWidth="1"/>
    <col min="3112" max="3112" width="9.109375" style="679" customWidth="1"/>
    <col min="3113" max="3329" width="8.88671875" style="679"/>
    <col min="3330" max="3330" width="14.6640625" style="679" customWidth="1"/>
    <col min="3331" max="3331" width="10" style="679" bestFit="1" customWidth="1"/>
    <col min="3332" max="3335" width="8.88671875" style="679"/>
    <col min="3336" max="3336" width="10" style="679" customWidth="1"/>
    <col min="3337" max="3338" width="10.21875" style="679" customWidth="1"/>
    <col min="3339" max="3340" width="12" style="679" customWidth="1"/>
    <col min="3341" max="3341" width="8.6640625" style="679" customWidth="1"/>
    <col min="3342" max="3342" width="30.44140625" style="679" customWidth="1"/>
    <col min="3343" max="3343" width="9.6640625" style="679" customWidth="1"/>
    <col min="3344" max="3347" width="8.77734375" style="679" customWidth="1"/>
    <col min="3348" max="3364" width="10.33203125" style="679" customWidth="1"/>
    <col min="3365" max="3365" width="8.88671875" style="679"/>
    <col min="3366" max="3366" width="12.33203125" style="679" customWidth="1"/>
    <col min="3367" max="3367" width="13.109375" style="679" customWidth="1"/>
    <col min="3368" max="3368" width="9.109375" style="679" customWidth="1"/>
    <col min="3369" max="3585" width="8.88671875" style="679"/>
    <col min="3586" max="3586" width="14.6640625" style="679" customWidth="1"/>
    <col min="3587" max="3587" width="10" style="679" bestFit="1" customWidth="1"/>
    <col min="3588" max="3591" width="8.88671875" style="679"/>
    <col min="3592" max="3592" width="10" style="679" customWidth="1"/>
    <col min="3593" max="3594" width="10.21875" style="679" customWidth="1"/>
    <col min="3595" max="3596" width="12" style="679" customWidth="1"/>
    <col min="3597" max="3597" width="8.6640625" style="679" customWidth="1"/>
    <col min="3598" max="3598" width="30.44140625" style="679" customWidth="1"/>
    <col min="3599" max="3599" width="9.6640625" style="679" customWidth="1"/>
    <col min="3600" max="3603" width="8.77734375" style="679" customWidth="1"/>
    <col min="3604" max="3620" width="10.33203125" style="679" customWidth="1"/>
    <col min="3621" max="3621" width="8.88671875" style="679"/>
    <col min="3622" max="3622" width="12.33203125" style="679" customWidth="1"/>
    <col min="3623" max="3623" width="13.109375" style="679" customWidth="1"/>
    <col min="3624" max="3624" width="9.109375" style="679" customWidth="1"/>
    <col min="3625" max="3841" width="8.88671875" style="679"/>
    <col min="3842" max="3842" width="14.6640625" style="679" customWidth="1"/>
    <col min="3843" max="3843" width="10" style="679" bestFit="1" customWidth="1"/>
    <col min="3844" max="3847" width="8.88671875" style="679"/>
    <col min="3848" max="3848" width="10" style="679" customWidth="1"/>
    <col min="3849" max="3850" width="10.21875" style="679" customWidth="1"/>
    <col min="3851" max="3852" width="12" style="679" customWidth="1"/>
    <col min="3853" max="3853" width="8.6640625" style="679" customWidth="1"/>
    <col min="3854" max="3854" width="30.44140625" style="679" customWidth="1"/>
    <col min="3855" max="3855" width="9.6640625" style="679" customWidth="1"/>
    <col min="3856" max="3859" width="8.77734375" style="679" customWidth="1"/>
    <col min="3860" max="3876" width="10.33203125" style="679" customWidth="1"/>
    <col min="3877" max="3877" width="8.88671875" style="679"/>
    <col min="3878" max="3878" width="12.33203125" style="679" customWidth="1"/>
    <col min="3879" max="3879" width="13.109375" style="679" customWidth="1"/>
    <col min="3880" max="3880" width="9.109375" style="679" customWidth="1"/>
    <col min="3881" max="4097" width="8.88671875" style="679"/>
    <col min="4098" max="4098" width="14.6640625" style="679" customWidth="1"/>
    <col min="4099" max="4099" width="10" style="679" bestFit="1" customWidth="1"/>
    <col min="4100" max="4103" width="8.88671875" style="679"/>
    <col min="4104" max="4104" width="10" style="679" customWidth="1"/>
    <col min="4105" max="4106" width="10.21875" style="679" customWidth="1"/>
    <col min="4107" max="4108" width="12" style="679" customWidth="1"/>
    <col min="4109" max="4109" width="8.6640625" style="679" customWidth="1"/>
    <col min="4110" max="4110" width="30.44140625" style="679" customWidth="1"/>
    <col min="4111" max="4111" width="9.6640625" style="679" customWidth="1"/>
    <col min="4112" max="4115" width="8.77734375" style="679" customWidth="1"/>
    <col min="4116" max="4132" width="10.33203125" style="679" customWidth="1"/>
    <col min="4133" max="4133" width="8.88671875" style="679"/>
    <col min="4134" max="4134" width="12.33203125" style="679" customWidth="1"/>
    <col min="4135" max="4135" width="13.109375" style="679" customWidth="1"/>
    <col min="4136" max="4136" width="9.109375" style="679" customWidth="1"/>
    <col min="4137" max="4353" width="8.88671875" style="679"/>
    <col min="4354" max="4354" width="14.6640625" style="679" customWidth="1"/>
    <col min="4355" max="4355" width="10" style="679" bestFit="1" customWidth="1"/>
    <col min="4356" max="4359" width="8.88671875" style="679"/>
    <col min="4360" max="4360" width="10" style="679" customWidth="1"/>
    <col min="4361" max="4362" width="10.21875" style="679" customWidth="1"/>
    <col min="4363" max="4364" width="12" style="679" customWidth="1"/>
    <col min="4365" max="4365" width="8.6640625" style="679" customWidth="1"/>
    <col min="4366" max="4366" width="30.44140625" style="679" customWidth="1"/>
    <col min="4367" max="4367" width="9.6640625" style="679" customWidth="1"/>
    <col min="4368" max="4371" width="8.77734375" style="679" customWidth="1"/>
    <col min="4372" max="4388" width="10.33203125" style="679" customWidth="1"/>
    <col min="4389" max="4389" width="8.88671875" style="679"/>
    <col min="4390" max="4390" width="12.33203125" style="679" customWidth="1"/>
    <col min="4391" max="4391" width="13.109375" style="679" customWidth="1"/>
    <col min="4392" max="4392" width="9.109375" style="679" customWidth="1"/>
    <col min="4393" max="4609" width="8.88671875" style="679"/>
    <col min="4610" max="4610" width="14.6640625" style="679" customWidth="1"/>
    <col min="4611" max="4611" width="10" style="679" bestFit="1" customWidth="1"/>
    <col min="4612" max="4615" width="8.88671875" style="679"/>
    <col min="4616" max="4616" width="10" style="679" customWidth="1"/>
    <col min="4617" max="4618" width="10.21875" style="679" customWidth="1"/>
    <col min="4619" max="4620" width="12" style="679" customWidth="1"/>
    <col min="4621" max="4621" width="8.6640625" style="679" customWidth="1"/>
    <col min="4622" max="4622" width="30.44140625" style="679" customWidth="1"/>
    <col min="4623" max="4623" width="9.6640625" style="679" customWidth="1"/>
    <col min="4624" max="4627" width="8.77734375" style="679" customWidth="1"/>
    <col min="4628" max="4644" width="10.33203125" style="679" customWidth="1"/>
    <col min="4645" max="4645" width="8.88671875" style="679"/>
    <col min="4646" max="4646" width="12.33203125" style="679" customWidth="1"/>
    <col min="4647" max="4647" width="13.109375" style="679" customWidth="1"/>
    <col min="4648" max="4648" width="9.109375" style="679" customWidth="1"/>
    <col min="4649" max="4865" width="8.88671875" style="679"/>
    <col min="4866" max="4866" width="14.6640625" style="679" customWidth="1"/>
    <col min="4867" max="4867" width="10" style="679" bestFit="1" customWidth="1"/>
    <col min="4868" max="4871" width="8.88671875" style="679"/>
    <col min="4872" max="4872" width="10" style="679" customWidth="1"/>
    <col min="4873" max="4874" width="10.21875" style="679" customWidth="1"/>
    <col min="4875" max="4876" width="12" style="679" customWidth="1"/>
    <col min="4877" max="4877" width="8.6640625" style="679" customWidth="1"/>
    <col min="4878" max="4878" width="30.44140625" style="679" customWidth="1"/>
    <col min="4879" max="4879" width="9.6640625" style="679" customWidth="1"/>
    <col min="4880" max="4883" width="8.77734375" style="679" customWidth="1"/>
    <col min="4884" max="4900" width="10.33203125" style="679" customWidth="1"/>
    <col min="4901" max="4901" width="8.88671875" style="679"/>
    <col min="4902" max="4902" width="12.33203125" style="679" customWidth="1"/>
    <col min="4903" max="4903" width="13.109375" style="679" customWidth="1"/>
    <col min="4904" max="4904" width="9.109375" style="679" customWidth="1"/>
    <col min="4905" max="5121" width="8.88671875" style="679"/>
    <col min="5122" max="5122" width="14.6640625" style="679" customWidth="1"/>
    <col min="5123" max="5123" width="10" style="679" bestFit="1" customWidth="1"/>
    <col min="5124" max="5127" width="8.88671875" style="679"/>
    <col min="5128" max="5128" width="10" style="679" customWidth="1"/>
    <col min="5129" max="5130" width="10.21875" style="679" customWidth="1"/>
    <col min="5131" max="5132" width="12" style="679" customWidth="1"/>
    <col min="5133" max="5133" width="8.6640625" style="679" customWidth="1"/>
    <col min="5134" max="5134" width="30.44140625" style="679" customWidth="1"/>
    <col min="5135" max="5135" width="9.6640625" style="679" customWidth="1"/>
    <col min="5136" max="5139" width="8.77734375" style="679" customWidth="1"/>
    <col min="5140" max="5156" width="10.33203125" style="679" customWidth="1"/>
    <col min="5157" max="5157" width="8.88671875" style="679"/>
    <col min="5158" max="5158" width="12.33203125" style="679" customWidth="1"/>
    <col min="5159" max="5159" width="13.109375" style="679" customWidth="1"/>
    <col min="5160" max="5160" width="9.109375" style="679" customWidth="1"/>
    <col min="5161" max="5377" width="8.88671875" style="679"/>
    <col min="5378" max="5378" width="14.6640625" style="679" customWidth="1"/>
    <col min="5379" max="5379" width="10" style="679" bestFit="1" customWidth="1"/>
    <col min="5380" max="5383" width="8.88671875" style="679"/>
    <col min="5384" max="5384" width="10" style="679" customWidth="1"/>
    <col min="5385" max="5386" width="10.21875" style="679" customWidth="1"/>
    <col min="5387" max="5388" width="12" style="679" customWidth="1"/>
    <col min="5389" max="5389" width="8.6640625" style="679" customWidth="1"/>
    <col min="5390" max="5390" width="30.44140625" style="679" customWidth="1"/>
    <col min="5391" max="5391" width="9.6640625" style="679" customWidth="1"/>
    <col min="5392" max="5395" width="8.77734375" style="679" customWidth="1"/>
    <col min="5396" max="5412" width="10.33203125" style="679" customWidth="1"/>
    <col min="5413" max="5413" width="8.88671875" style="679"/>
    <col min="5414" max="5414" width="12.33203125" style="679" customWidth="1"/>
    <col min="5415" max="5415" width="13.109375" style="679" customWidth="1"/>
    <col min="5416" max="5416" width="9.109375" style="679" customWidth="1"/>
    <col min="5417" max="5633" width="8.88671875" style="679"/>
    <col min="5634" max="5634" width="14.6640625" style="679" customWidth="1"/>
    <col min="5635" max="5635" width="10" style="679" bestFit="1" customWidth="1"/>
    <col min="5636" max="5639" width="8.88671875" style="679"/>
    <col min="5640" max="5640" width="10" style="679" customWidth="1"/>
    <col min="5641" max="5642" width="10.21875" style="679" customWidth="1"/>
    <col min="5643" max="5644" width="12" style="679" customWidth="1"/>
    <col min="5645" max="5645" width="8.6640625" style="679" customWidth="1"/>
    <col min="5646" max="5646" width="30.44140625" style="679" customWidth="1"/>
    <col min="5647" max="5647" width="9.6640625" style="679" customWidth="1"/>
    <col min="5648" max="5651" width="8.77734375" style="679" customWidth="1"/>
    <col min="5652" max="5668" width="10.33203125" style="679" customWidth="1"/>
    <col min="5669" max="5669" width="8.88671875" style="679"/>
    <col min="5670" max="5670" width="12.33203125" style="679" customWidth="1"/>
    <col min="5671" max="5671" width="13.109375" style="679" customWidth="1"/>
    <col min="5672" max="5672" width="9.109375" style="679" customWidth="1"/>
    <col min="5673" max="5889" width="8.88671875" style="679"/>
    <col min="5890" max="5890" width="14.6640625" style="679" customWidth="1"/>
    <col min="5891" max="5891" width="10" style="679" bestFit="1" customWidth="1"/>
    <col min="5892" max="5895" width="8.88671875" style="679"/>
    <col min="5896" max="5896" width="10" style="679" customWidth="1"/>
    <col min="5897" max="5898" width="10.21875" style="679" customWidth="1"/>
    <col min="5899" max="5900" width="12" style="679" customWidth="1"/>
    <col min="5901" max="5901" width="8.6640625" style="679" customWidth="1"/>
    <col min="5902" max="5902" width="30.44140625" style="679" customWidth="1"/>
    <col min="5903" max="5903" width="9.6640625" style="679" customWidth="1"/>
    <col min="5904" max="5907" width="8.77734375" style="679" customWidth="1"/>
    <col min="5908" max="5924" width="10.33203125" style="679" customWidth="1"/>
    <col min="5925" max="5925" width="8.88671875" style="679"/>
    <col min="5926" max="5926" width="12.33203125" style="679" customWidth="1"/>
    <col min="5927" max="5927" width="13.109375" style="679" customWidth="1"/>
    <col min="5928" max="5928" width="9.109375" style="679" customWidth="1"/>
    <col min="5929" max="6145" width="8.88671875" style="679"/>
    <col min="6146" max="6146" width="14.6640625" style="679" customWidth="1"/>
    <col min="6147" max="6147" width="10" style="679" bestFit="1" customWidth="1"/>
    <col min="6148" max="6151" width="8.88671875" style="679"/>
    <col min="6152" max="6152" width="10" style="679" customWidth="1"/>
    <col min="6153" max="6154" width="10.21875" style="679" customWidth="1"/>
    <col min="6155" max="6156" width="12" style="679" customWidth="1"/>
    <col min="6157" max="6157" width="8.6640625" style="679" customWidth="1"/>
    <col min="6158" max="6158" width="30.44140625" style="679" customWidth="1"/>
    <col min="6159" max="6159" width="9.6640625" style="679" customWidth="1"/>
    <col min="6160" max="6163" width="8.77734375" style="679" customWidth="1"/>
    <col min="6164" max="6180" width="10.33203125" style="679" customWidth="1"/>
    <col min="6181" max="6181" width="8.88671875" style="679"/>
    <col min="6182" max="6182" width="12.33203125" style="679" customWidth="1"/>
    <col min="6183" max="6183" width="13.109375" style="679" customWidth="1"/>
    <col min="6184" max="6184" width="9.109375" style="679" customWidth="1"/>
    <col min="6185" max="6401" width="8.88671875" style="679"/>
    <col min="6402" max="6402" width="14.6640625" style="679" customWidth="1"/>
    <col min="6403" max="6403" width="10" style="679" bestFit="1" customWidth="1"/>
    <col min="6404" max="6407" width="8.88671875" style="679"/>
    <col min="6408" max="6408" width="10" style="679" customWidth="1"/>
    <col min="6409" max="6410" width="10.21875" style="679" customWidth="1"/>
    <col min="6411" max="6412" width="12" style="679" customWidth="1"/>
    <col min="6413" max="6413" width="8.6640625" style="679" customWidth="1"/>
    <col min="6414" max="6414" width="30.44140625" style="679" customWidth="1"/>
    <col min="6415" max="6415" width="9.6640625" style="679" customWidth="1"/>
    <col min="6416" max="6419" width="8.77734375" style="679" customWidth="1"/>
    <col min="6420" max="6436" width="10.33203125" style="679" customWidth="1"/>
    <col min="6437" max="6437" width="8.88671875" style="679"/>
    <col min="6438" max="6438" width="12.33203125" style="679" customWidth="1"/>
    <col min="6439" max="6439" width="13.109375" style="679" customWidth="1"/>
    <col min="6440" max="6440" width="9.109375" style="679" customWidth="1"/>
    <col min="6441" max="6657" width="8.88671875" style="679"/>
    <col min="6658" max="6658" width="14.6640625" style="679" customWidth="1"/>
    <col min="6659" max="6659" width="10" style="679" bestFit="1" customWidth="1"/>
    <col min="6660" max="6663" width="8.88671875" style="679"/>
    <col min="6664" max="6664" width="10" style="679" customWidth="1"/>
    <col min="6665" max="6666" width="10.21875" style="679" customWidth="1"/>
    <col min="6667" max="6668" width="12" style="679" customWidth="1"/>
    <col min="6669" max="6669" width="8.6640625" style="679" customWidth="1"/>
    <col min="6670" max="6670" width="30.44140625" style="679" customWidth="1"/>
    <col min="6671" max="6671" width="9.6640625" style="679" customWidth="1"/>
    <col min="6672" max="6675" width="8.77734375" style="679" customWidth="1"/>
    <col min="6676" max="6692" width="10.33203125" style="679" customWidth="1"/>
    <col min="6693" max="6693" width="8.88671875" style="679"/>
    <col min="6694" max="6694" width="12.33203125" style="679" customWidth="1"/>
    <col min="6695" max="6695" width="13.109375" style="679" customWidth="1"/>
    <col min="6696" max="6696" width="9.109375" style="679" customWidth="1"/>
    <col min="6697" max="6913" width="8.88671875" style="679"/>
    <col min="6914" max="6914" width="14.6640625" style="679" customWidth="1"/>
    <col min="6915" max="6915" width="10" style="679" bestFit="1" customWidth="1"/>
    <col min="6916" max="6919" width="8.88671875" style="679"/>
    <col min="6920" max="6920" width="10" style="679" customWidth="1"/>
    <col min="6921" max="6922" width="10.21875" style="679" customWidth="1"/>
    <col min="6923" max="6924" width="12" style="679" customWidth="1"/>
    <col min="6925" max="6925" width="8.6640625" style="679" customWidth="1"/>
    <col min="6926" max="6926" width="30.44140625" style="679" customWidth="1"/>
    <col min="6927" max="6927" width="9.6640625" style="679" customWidth="1"/>
    <col min="6928" max="6931" width="8.77734375" style="679" customWidth="1"/>
    <col min="6932" max="6948" width="10.33203125" style="679" customWidth="1"/>
    <col min="6949" max="6949" width="8.88671875" style="679"/>
    <col min="6950" max="6950" width="12.33203125" style="679" customWidth="1"/>
    <col min="6951" max="6951" width="13.109375" style="679" customWidth="1"/>
    <col min="6952" max="6952" width="9.109375" style="679" customWidth="1"/>
    <col min="6953" max="7169" width="8.88671875" style="679"/>
    <col min="7170" max="7170" width="14.6640625" style="679" customWidth="1"/>
    <col min="7171" max="7171" width="10" style="679" bestFit="1" customWidth="1"/>
    <col min="7172" max="7175" width="8.88671875" style="679"/>
    <col min="7176" max="7176" width="10" style="679" customWidth="1"/>
    <col min="7177" max="7178" width="10.21875" style="679" customWidth="1"/>
    <col min="7179" max="7180" width="12" style="679" customWidth="1"/>
    <col min="7181" max="7181" width="8.6640625" style="679" customWidth="1"/>
    <col min="7182" max="7182" width="30.44140625" style="679" customWidth="1"/>
    <col min="7183" max="7183" width="9.6640625" style="679" customWidth="1"/>
    <col min="7184" max="7187" width="8.77734375" style="679" customWidth="1"/>
    <col min="7188" max="7204" width="10.33203125" style="679" customWidth="1"/>
    <col min="7205" max="7205" width="8.88671875" style="679"/>
    <col min="7206" max="7206" width="12.33203125" style="679" customWidth="1"/>
    <col min="7207" max="7207" width="13.109375" style="679" customWidth="1"/>
    <col min="7208" max="7208" width="9.109375" style="679" customWidth="1"/>
    <col min="7209" max="7425" width="8.88671875" style="679"/>
    <col min="7426" max="7426" width="14.6640625" style="679" customWidth="1"/>
    <col min="7427" max="7427" width="10" style="679" bestFit="1" customWidth="1"/>
    <col min="7428" max="7431" width="8.88671875" style="679"/>
    <col min="7432" max="7432" width="10" style="679" customWidth="1"/>
    <col min="7433" max="7434" width="10.21875" style="679" customWidth="1"/>
    <col min="7435" max="7436" width="12" style="679" customWidth="1"/>
    <col min="7437" max="7437" width="8.6640625" style="679" customWidth="1"/>
    <col min="7438" max="7438" width="30.44140625" style="679" customWidth="1"/>
    <col min="7439" max="7439" width="9.6640625" style="679" customWidth="1"/>
    <col min="7440" max="7443" width="8.77734375" style="679" customWidth="1"/>
    <col min="7444" max="7460" width="10.33203125" style="679" customWidth="1"/>
    <col min="7461" max="7461" width="8.88671875" style="679"/>
    <col min="7462" max="7462" width="12.33203125" style="679" customWidth="1"/>
    <col min="7463" max="7463" width="13.109375" style="679" customWidth="1"/>
    <col min="7464" max="7464" width="9.109375" style="679" customWidth="1"/>
    <col min="7465" max="7681" width="8.88671875" style="679"/>
    <col min="7682" max="7682" width="14.6640625" style="679" customWidth="1"/>
    <col min="7683" max="7683" width="10" style="679" bestFit="1" customWidth="1"/>
    <col min="7684" max="7687" width="8.88671875" style="679"/>
    <col min="7688" max="7688" width="10" style="679" customWidth="1"/>
    <col min="7689" max="7690" width="10.21875" style="679" customWidth="1"/>
    <col min="7691" max="7692" width="12" style="679" customWidth="1"/>
    <col min="7693" max="7693" width="8.6640625" style="679" customWidth="1"/>
    <col min="7694" max="7694" width="30.44140625" style="679" customWidth="1"/>
    <col min="7695" max="7695" width="9.6640625" style="679" customWidth="1"/>
    <col min="7696" max="7699" width="8.77734375" style="679" customWidth="1"/>
    <col min="7700" max="7716" width="10.33203125" style="679" customWidth="1"/>
    <col min="7717" max="7717" width="8.88671875" style="679"/>
    <col min="7718" max="7718" width="12.33203125" style="679" customWidth="1"/>
    <col min="7719" max="7719" width="13.109375" style="679" customWidth="1"/>
    <col min="7720" max="7720" width="9.109375" style="679" customWidth="1"/>
    <col min="7721" max="7937" width="8.88671875" style="679"/>
    <col min="7938" max="7938" width="14.6640625" style="679" customWidth="1"/>
    <col min="7939" max="7939" width="10" style="679" bestFit="1" customWidth="1"/>
    <col min="7940" max="7943" width="8.88671875" style="679"/>
    <col min="7944" max="7944" width="10" style="679" customWidth="1"/>
    <col min="7945" max="7946" width="10.21875" style="679" customWidth="1"/>
    <col min="7947" max="7948" width="12" style="679" customWidth="1"/>
    <col min="7949" max="7949" width="8.6640625" style="679" customWidth="1"/>
    <col min="7950" max="7950" width="30.44140625" style="679" customWidth="1"/>
    <col min="7951" max="7951" width="9.6640625" style="679" customWidth="1"/>
    <col min="7952" max="7955" width="8.77734375" style="679" customWidth="1"/>
    <col min="7956" max="7972" width="10.33203125" style="679" customWidth="1"/>
    <col min="7973" max="7973" width="8.88671875" style="679"/>
    <col min="7974" max="7974" width="12.33203125" style="679" customWidth="1"/>
    <col min="7975" max="7975" width="13.109375" style="679" customWidth="1"/>
    <col min="7976" max="7976" width="9.109375" style="679" customWidth="1"/>
    <col min="7977" max="8193" width="8.88671875" style="679"/>
    <col min="8194" max="8194" width="14.6640625" style="679" customWidth="1"/>
    <col min="8195" max="8195" width="10" style="679" bestFit="1" customWidth="1"/>
    <col min="8196" max="8199" width="8.88671875" style="679"/>
    <col min="8200" max="8200" width="10" style="679" customWidth="1"/>
    <col min="8201" max="8202" width="10.21875" style="679" customWidth="1"/>
    <col min="8203" max="8204" width="12" style="679" customWidth="1"/>
    <col min="8205" max="8205" width="8.6640625" style="679" customWidth="1"/>
    <col min="8206" max="8206" width="30.44140625" style="679" customWidth="1"/>
    <col min="8207" max="8207" width="9.6640625" style="679" customWidth="1"/>
    <col min="8208" max="8211" width="8.77734375" style="679" customWidth="1"/>
    <col min="8212" max="8228" width="10.33203125" style="679" customWidth="1"/>
    <col min="8229" max="8229" width="8.88671875" style="679"/>
    <col min="8230" max="8230" width="12.33203125" style="679" customWidth="1"/>
    <col min="8231" max="8231" width="13.109375" style="679" customWidth="1"/>
    <col min="8232" max="8232" width="9.109375" style="679" customWidth="1"/>
    <col min="8233" max="8449" width="8.88671875" style="679"/>
    <col min="8450" max="8450" width="14.6640625" style="679" customWidth="1"/>
    <col min="8451" max="8451" width="10" style="679" bestFit="1" customWidth="1"/>
    <col min="8452" max="8455" width="8.88671875" style="679"/>
    <col min="8456" max="8456" width="10" style="679" customWidth="1"/>
    <col min="8457" max="8458" width="10.21875" style="679" customWidth="1"/>
    <col min="8459" max="8460" width="12" style="679" customWidth="1"/>
    <col min="8461" max="8461" width="8.6640625" style="679" customWidth="1"/>
    <col min="8462" max="8462" width="30.44140625" style="679" customWidth="1"/>
    <col min="8463" max="8463" width="9.6640625" style="679" customWidth="1"/>
    <col min="8464" max="8467" width="8.77734375" style="679" customWidth="1"/>
    <col min="8468" max="8484" width="10.33203125" style="679" customWidth="1"/>
    <col min="8485" max="8485" width="8.88671875" style="679"/>
    <col min="8486" max="8486" width="12.33203125" style="679" customWidth="1"/>
    <col min="8487" max="8487" width="13.109375" style="679" customWidth="1"/>
    <col min="8488" max="8488" width="9.109375" style="679" customWidth="1"/>
    <col min="8489" max="8705" width="8.88671875" style="679"/>
    <col min="8706" max="8706" width="14.6640625" style="679" customWidth="1"/>
    <col min="8707" max="8707" width="10" style="679" bestFit="1" customWidth="1"/>
    <col min="8708" max="8711" width="8.88671875" style="679"/>
    <col min="8712" max="8712" width="10" style="679" customWidth="1"/>
    <col min="8713" max="8714" width="10.21875" style="679" customWidth="1"/>
    <col min="8715" max="8716" width="12" style="679" customWidth="1"/>
    <col min="8717" max="8717" width="8.6640625" style="679" customWidth="1"/>
    <col min="8718" max="8718" width="30.44140625" style="679" customWidth="1"/>
    <col min="8719" max="8719" width="9.6640625" style="679" customWidth="1"/>
    <col min="8720" max="8723" width="8.77734375" style="679" customWidth="1"/>
    <col min="8724" max="8740" width="10.33203125" style="679" customWidth="1"/>
    <col min="8741" max="8741" width="8.88671875" style="679"/>
    <col min="8742" max="8742" width="12.33203125" style="679" customWidth="1"/>
    <col min="8743" max="8743" width="13.109375" style="679" customWidth="1"/>
    <col min="8744" max="8744" width="9.109375" style="679" customWidth="1"/>
    <col min="8745" max="8961" width="8.88671875" style="679"/>
    <col min="8962" max="8962" width="14.6640625" style="679" customWidth="1"/>
    <col min="8963" max="8963" width="10" style="679" bestFit="1" customWidth="1"/>
    <col min="8964" max="8967" width="8.88671875" style="679"/>
    <col min="8968" max="8968" width="10" style="679" customWidth="1"/>
    <col min="8969" max="8970" width="10.21875" style="679" customWidth="1"/>
    <col min="8971" max="8972" width="12" style="679" customWidth="1"/>
    <col min="8973" max="8973" width="8.6640625" style="679" customWidth="1"/>
    <col min="8974" max="8974" width="30.44140625" style="679" customWidth="1"/>
    <col min="8975" max="8975" width="9.6640625" style="679" customWidth="1"/>
    <col min="8976" max="8979" width="8.77734375" style="679" customWidth="1"/>
    <col min="8980" max="8996" width="10.33203125" style="679" customWidth="1"/>
    <col min="8997" max="8997" width="8.88671875" style="679"/>
    <col min="8998" max="8998" width="12.33203125" style="679" customWidth="1"/>
    <col min="8999" max="8999" width="13.109375" style="679" customWidth="1"/>
    <col min="9000" max="9000" width="9.109375" style="679" customWidth="1"/>
    <col min="9001" max="9217" width="8.88671875" style="679"/>
    <col min="9218" max="9218" width="14.6640625" style="679" customWidth="1"/>
    <col min="9219" max="9219" width="10" style="679" bestFit="1" customWidth="1"/>
    <col min="9220" max="9223" width="8.88671875" style="679"/>
    <col min="9224" max="9224" width="10" style="679" customWidth="1"/>
    <col min="9225" max="9226" width="10.21875" style="679" customWidth="1"/>
    <col min="9227" max="9228" width="12" style="679" customWidth="1"/>
    <col min="9229" max="9229" width="8.6640625" style="679" customWidth="1"/>
    <col min="9230" max="9230" width="30.44140625" style="679" customWidth="1"/>
    <col min="9231" max="9231" width="9.6640625" style="679" customWidth="1"/>
    <col min="9232" max="9235" width="8.77734375" style="679" customWidth="1"/>
    <col min="9236" max="9252" width="10.33203125" style="679" customWidth="1"/>
    <col min="9253" max="9253" width="8.88671875" style="679"/>
    <col min="9254" max="9254" width="12.33203125" style="679" customWidth="1"/>
    <col min="9255" max="9255" width="13.109375" style="679" customWidth="1"/>
    <col min="9256" max="9256" width="9.109375" style="679" customWidth="1"/>
    <col min="9257" max="9473" width="8.88671875" style="679"/>
    <col min="9474" max="9474" width="14.6640625" style="679" customWidth="1"/>
    <col min="9475" max="9475" width="10" style="679" bestFit="1" customWidth="1"/>
    <col min="9476" max="9479" width="8.88671875" style="679"/>
    <col min="9480" max="9480" width="10" style="679" customWidth="1"/>
    <col min="9481" max="9482" width="10.21875" style="679" customWidth="1"/>
    <col min="9483" max="9484" width="12" style="679" customWidth="1"/>
    <col min="9485" max="9485" width="8.6640625" style="679" customWidth="1"/>
    <col min="9486" max="9486" width="30.44140625" style="679" customWidth="1"/>
    <col min="9487" max="9487" width="9.6640625" style="679" customWidth="1"/>
    <col min="9488" max="9491" width="8.77734375" style="679" customWidth="1"/>
    <col min="9492" max="9508" width="10.33203125" style="679" customWidth="1"/>
    <col min="9509" max="9509" width="8.88671875" style="679"/>
    <col min="9510" max="9510" width="12.33203125" style="679" customWidth="1"/>
    <col min="9511" max="9511" width="13.109375" style="679" customWidth="1"/>
    <col min="9512" max="9512" width="9.109375" style="679" customWidth="1"/>
    <col min="9513" max="9729" width="8.88671875" style="679"/>
    <col min="9730" max="9730" width="14.6640625" style="679" customWidth="1"/>
    <col min="9731" max="9731" width="10" style="679" bestFit="1" customWidth="1"/>
    <col min="9732" max="9735" width="8.88671875" style="679"/>
    <col min="9736" max="9736" width="10" style="679" customWidth="1"/>
    <col min="9737" max="9738" width="10.21875" style="679" customWidth="1"/>
    <col min="9739" max="9740" width="12" style="679" customWidth="1"/>
    <col min="9741" max="9741" width="8.6640625" style="679" customWidth="1"/>
    <col min="9742" max="9742" width="30.44140625" style="679" customWidth="1"/>
    <col min="9743" max="9743" width="9.6640625" style="679" customWidth="1"/>
    <col min="9744" max="9747" width="8.77734375" style="679" customWidth="1"/>
    <col min="9748" max="9764" width="10.33203125" style="679" customWidth="1"/>
    <col min="9765" max="9765" width="8.88671875" style="679"/>
    <col min="9766" max="9766" width="12.33203125" style="679" customWidth="1"/>
    <col min="9767" max="9767" width="13.109375" style="679" customWidth="1"/>
    <col min="9768" max="9768" width="9.109375" style="679" customWidth="1"/>
    <col min="9769" max="9985" width="8.88671875" style="679"/>
    <col min="9986" max="9986" width="14.6640625" style="679" customWidth="1"/>
    <col min="9987" max="9987" width="10" style="679" bestFit="1" customWidth="1"/>
    <col min="9988" max="9991" width="8.88671875" style="679"/>
    <col min="9992" max="9992" width="10" style="679" customWidth="1"/>
    <col min="9993" max="9994" width="10.21875" style="679" customWidth="1"/>
    <col min="9995" max="9996" width="12" style="679" customWidth="1"/>
    <col min="9997" max="9997" width="8.6640625" style="679" customWidth="1"/>
    <col min="9998" max="9998" width="30.44140625" style="679" customWidth="1"/>
    <col min="9999" max="9999" width="9.6640625" style="679" customWidth="1"/>
    <col min="10000" max="10003" width="8.77734375" style="679" customWidth="1"/>
    <col min="10004" max="10020" width="10.33203125" style="679" customWidth="1"/>
    <col min="10021" max="10021" width="8.88671875" style="679"/>
    <col min="10022" max="10022" width="12.33203125" style="679" customWidth="1"/>
    <col min="10023" max="10023" width="13.109375" style="679" customWidth="1"/>
    <col min="10024" max="10024" width="9.109375" style="679" customWidth="1"/>
    <col min="10025" max="10241" width="8.88671875" style="679"/>
    <col min="10242" max="10242" width="14.6640625" style="679" customWidth="1"/>
    <col min="10243" max="10243" width="10" style="679" bestFit="1" customWidth="1"/>
    <col min="10244" max="10247" width="8.88671875" style="679"/>
    <col min="10248" max="10248" width="10" style="679" customWidth="1"/>
    <col min="10249" max="10250" width="10.21875" style="679" customWidth="1"/>
    <col min="10251" max="10252" width="12" style="679" customWidth="1"/>
    <col min="10253" max="10253" width="8.6640625" style="679" customWidth="1"/>
    <col min="10254" max="10254" width="30.44140625" style="679" customWidth="1"/>
    <col min="10255" max="10255" width="9.6640625" style="679" customWidth="1"/>
    <col min="10256" max="10259" width="8.77734375" style="679" customWidth="1"/>
    <col min="10260" max="10276" width="10.33203125" style="679" customWidth="1"/>
    <col min="10277" max="10277" width="8.88671875" style="679"/>
    <col min="10278" max="10278" width="12.33203125" style="679" customWidth="1"/>
    <col min="10279" max="10279" width="13.109375" style="679" customWidth="1"/>
    <col min="10280" max="10280" width="9.109375" style="679" customWidth="1"/>
    <col min="10281" max="10497" width="8.88671875" style="679"/>
    <col min="10498" max="10498" width="14.6640625" style="679" customWidth="1"/>
    <col min="10499" max="10499" width="10" style="679" bestFit="1" customWidth="1"/>
    <col min="10500" max="10503" width="8.88671875" style="679"/>
    <col min="10504" max="10504" width="10" style="679" customWidth="1"/>
    <col min="10505" max="10506" width="10.21875" style="679" customWidth="1"/>
    <col min="10507" max="10508" width="12" style="679" customWidth="1"/>
    <col min="10509" max="10509" width="8.6640625" style="679" customWidth="1"/>
    <col min="10510" max="10510" width="30.44140625" style="679" customWidth="1"/>
    <col min="10511" max="10511" width="9.6640625" style="679" customWidth="1"/>
    <col min="10512" max="10515" width="8.77734375" style="679" customWidth="1"/>
    <col min="10516" max="10532" width="10.33203125" style="679" customWidth="1"/>
    <col min="10533" max="10533" width="8.88671875" style="679"/>
    <col min="10534" max="10534" width="12.33203125" style="679" customWidth="1"/>
    <col min="10535" max="10535" width="13.109375" style="679" customWidth="1"/>
    <col min="10536" max="10536" width="9.109375" style="679" customWidth="1"/>
    <col min="10537" max="10753" width="8.88671875" style="679"/>
    <col min="10754" max="10754" width="14.6640625" style="679" customWidth="1"/>
    <col min="10755" max="10755" width="10" style="679" bestFit="1" customWidth="1"/>
    <col min="10756" max="10759" width="8.88671875" style="679"/>
    <col min="10760" max="10760" width="10" style="679" customWidth="1"/>
    <col min="10761" max="10762" width="10.21875" style="679" customWidth="1"/>
    <col min="10763" max="10764" width="12" style="679" customWidth="1"/>
    <col min="10765" max="10765" width="8.6640625" style="679" customWidth="1"/>
    <col min="10766" max="10766" width="30.44140625" style="679" customWidth="1"/>
    <col min="10767" max="10767" width="9.6640625" style="679" customWidth="1"/>
    <col min="10768" max="10771" width="8.77734375" style="679" customWidth="1"/>
    <col min="10772" max="10788" width="10.33203125" style="679" customWidth="1"/>
    <col min="10789" max="10789" width="8.88671875" style="679"/>
    <col min="10790" max="10790" width="12.33203125" style="679" customWidth="1"/>
    <col min="10791" max="10791" width="13.109375" style="679" customWidth="1"/>
    <col min="10792" max="10792" width="9.109375" style="679" customWidth="1"/>
    <col min="10793" max="11009" width="8.88671875" style="679"/>
    <col min="11010" max="11010" width="14.6640625" style="679" customWidth="1"/>
    <col min="11011" max="11011" width="10" style="679" bestFit="1" customWidth="1"/>
    <col min="11012" max="11015" width="8.88671875" style="679"/>
    <col min="11016" max="11016" width="10" style="679" customWidth="1"/>
    <col min="11017" max="11018" width="10.21875" style="679" customWidth="1"/>
    <col min="11019" max="11020" width="12" style="679" customWidth="1"/>
    <col min="11021" max="11021" width="8.6640625" style="679" customWidth="1"/>
    <col min="11022" max="11022" width="30.44140625" style="679" customWidth="1"/>
    <col min="11023" max="11023" width="9.6640625" style="679" customWidth="1"/>
    <col min="11024" max="11027" width="8.77734375" style="679" customWidth="1"/>
    <col min="11028" max="11044" width="10.33203125" style="679" customWidth="1"/>
    <col min="11045" max="11045" width="8.88671875" style="679"/>
    <col min="11046" max="11046" width="12.33203125" style="679" customWidth="1"/>
    <col min="11047" max="11047" width="13.109375" style="679" customWidth="1"/>
    <col min="11048" max="11048" width="9.109375" style="679" customWidth="1"/>
    <col min="11049" max="11265" width="8.88671875" style="679"/>
    <col min="11266" max="11266" width="14.6640625" style="679" customWidth="1"/>
    <col min="11267" max="11267" width="10" style="679" bestFit="1" customWidth="1"/>
    <col min="11268" max="11271" width="8.88671875" style="679"/>
    <col min="11272" max="11272" width="10" style="679" customWidth="1"/>
    <col min="11273" max="11274" width="10.21875" style="679" customWidth="1"/>
    <col min="11275" max="11276" width="12" style="679" customWidth="1"/>
    <col min="11277" max="11277" width="8.6640625" style="679" customWidth="1"/>
    <col min="11278" max="11278" width="30.44140625" style="679" customWidth="1"/>
    <col min="11279" max="11279" width="9.6640625" style="679" customWidth="1"/>
    <col min="11280" max="11283" width="8.77734375" style="679" customWidth="1"/>
    <col min="11284" max="11300" width="10.33203125" style="679" customWidth="1"/>
    <col min="11301" max="11301" width="8.88671875" style="679"/>
    <col min="11302" max="11302" width="12.33203125" style="679" customWidth="1"/>
    <col min="11303" max="11303" width="13.109375" style="679" customWidth="1"/>
    <col min="11304" max="11304" width="9.109375" style="679" customWidth="1"/>
    <col min="11305" max="11521" width="8.88671875" style="679"/>
    <col min="11522" max="11522" width="14.6640625" style="679" customWidth="1"/>
    <col min="11523" max="11523" width="10" style="679" bestFit="1" customWidth="1"/>
    <col min="11524" max="11527" width="8.88671875" style="679"/>
    <col min="11528" max="11528" width="10" style="679" customWidth="1"/>
    <col min="11529" max="11530" width="10.21875" style="679" customWidth="1"/>
    <col min="11531" max="11532" width="12" style="679" customWidth="1"/>
    <col min="11533" max="11533" width="8.6640625" style="679" customWidth="1"/>
    <col min="11534" max="11534" width="30.44140625" style="679" customWidth="1"/>
    <col min="11535" max="11535" width="9.6640625" style="679" customWidth="1"/>
    <col min="11536" max="11539" width="8.77734375" style="679" customWidth="1"/>
    <col min="11540" max="11556" width="10.33203125" style="679" customWidth="1"/>
    <col min="11557" max="11557" width="8.88671875" style="679"/>
    <col min="11558" max="11558" width="12.33203125" style="679" customWidth="1"/>
    <col min="11559" max="11559" width="13.109375" style="679" customWidth="1"/>
    <col min="11560" max="11560" width="9.109375" style="679" customWidth="1"/>
    <col min="11561" max="11777" width="8.88671875" style="679"/>
    <col min="11778" max="11778" width="14.6640625" style="679" customWidth="1"/>
    <col min="11779" max="11779" width="10" style="679" bestFit="1" customWidth="1"/>
    <col min="11780" max="11783" width="8.88671875" style="679"/>
    <col min="11784" max="11784" width="10" style="679" customWidth="1"/>
    <col min="11785" max="11786" width="10.21875" style="679" customWidth="1"/>
    <col min="11787" max="11788" width="12" style="679" customWidth="1"/>
    <col min="11789" max="11789" width="8.6640625" style="679" customWidth="1"/>
    <col min="11790" max="11790" width="30.44140625" style="679" customWidth="1"/>
    <col min="11791" max="11791" width="9.6640625" style="679" customWidth="1"/>
    <col min="11792" max="11795" width="8.77734375" style="679" customWidth="1"/>
    <col min="11796" max="11812" width="10.33203125" style="679" customWidth="1"/>
    <col min="11813" max="11813" width="8.88671875" style="679"/>
    <col min="11814" max="11814" width="12.33203125" style="679" customWidth="1"/>
    <col min="11815" max="11815" width="13.109375" style="679" customWidth="1"/>
    <col min="11816" max="11816" width="9.109375" style="679" customWidth="1"/>
    <col min="11817" max="12033" width="8.88671875" style="679"/>
    <col min="12034" max="12034" width="14.6640625" style="679" customWidth="1"/>
    <col min="12035" max="12035" width="10" style="679" bestFit="1" customWidth="1"/>
    <col min="12036" max="12039" width="8.88671875" style="679"/>
    <col min="12040" max="12040" width="10" style="679" customWidth="1"/>
    <col min="12041" max="12042" width="10.21875" style="679" customWidth="1"/>
    <col min="12043" max="12044" width="12" style="679" customWidth="1"/>
    <col min="12045" max="12045" width="8.6640625" style="679" customWidth="1"/>
    <col min="12046" max="12046" width="30.44140625" style="679" customWidth="1"/>
    <col min="12047" max="12047" width="9.6640625" style="679" customWidth="1"/>
    <col min="12048" max="12051" width="8.77734375" style="679" customWidth="1"/>
    <col min="12052" max="12068" width="10.33203125" style="679" customWidth="1"/>
    <col min="12069" max="12069" width="8.88671875" style="679"/>
    <col min="12070" max="12070" width="12.33203125" style="679" customWidth="1"/>
    <col min="12071" max="12071" width="13.109375" style="679" customWidth="1"/>
    <col min="12072" max="12072" width="9.109375" style="679" customWidth="1"/>
    <col min="12073" max="12289" width="8.88671875" style="679"/>
    <col min="12290" max="12290" width="14.6640625" style="679" customWidth="1"/>
    <col min="12291" max="12291" width="10" style="679" bestFit="1" customWidth="1"/>
    <col min="12292" max="12295" width="8.88671875" style="679"/>
    <col min="12296" max="12296" width="10" style="679" customWidth="1"/>
    <col min="12297" max="12298" width="10.21875" style="679" customWidth="1"/>
    <col min="12299" max="12300" width="12" style="679" customWidth="1"/>
    <col min="12301" max="12301" width="8.6640625" style="679" customWidth="1"/>
    <col min="12302" max="12302" width="30.44140625" style="679" customWidth="1"/>
    <col min="12303" max="12303" width="9.6640625" style="679" customWidth="1"/>
    <col min="12304" max="12307" width="8.77734375" style="679" customWidth="1"/>
    <col min="12308" max="12324" width="10.33203125" style="679" customWidth="1"/>
    <col min="12325" max="12325" width="8.88671875" style="679"/>
    <col min="12326" max="12326" width="12.33203125" style="679" customWidth="1"/>
    <col min="12327" max="12327" width="13.109375" style="679" customWidth="1"/>
    <col min="12328" max="12328" width="9.109375" style="679" customWidth="1"/>
    <col min="12329" max="12545" width="8.88671875" style="679"/>
    <col min="12546" max="12546" width="14.6640625" style="679" customWidth="1"/>
    <col min="12547" max="12547" width="10" style="679" bestFit="1" customWidth="1"/>
    <col min="12548" max="12551" width="8.88671875" style="679"/>
    <col min="12552" max="12552" width="10" style="679" customWidth="1"/>
    <col min="12553" max="12554" width="10.21875" style="679" customWidth="1"/>
    <col min="12555" max="12556" width="12" style="679" customWidth="1"/>
    <col min="12557" max="12557" width="8.6640625" style="679" customWidth="1"/>
    <col min="12558" max="12558" width="30.44140625" style="679" customWidth="1"/>
    <col min="12559" max="12559" width="9.6640625" style="679" customWidth="1"/>
    <col min="12560" max="12563" width="8.77734375" style="679" customWidth="1"/>
    <col min="12564" max="12580" width="10.33203125" style="679" customWidth="1"/>
    <col min="12581" max="12581" width="8.88671875" style="679"/>
    <col min="12582" max="12582" width="12.33203125" style="679" customWidth="1"/>
    <col min="12583" max="12583" width="13.109375" style="679" customWidth="1"/>
    <col min="12584" max="12584" width="9.109375" style="679" customWidth="1"/>
    <col min="12585" max="12801" width="8.88671875" style="679"/>
    <col min="12802" max="12802" width="14.6640625" style="679" customWidth="1"/>
    <col min="12803" max="12803" width="10" style="679" bestFit="1" customWidth="1"/>
    <col min="12804" max="12807" width="8.88671875" style="679"/>
    <col min="12808" max="12808" width="10" style="679" customWidth="1"/>
    <col min="12809" max="12810" width="10.21875" style="679" customWidth="1"/>
    <col min="12811" max="12812" width="12" style="679" customWidth="1"/>
    <col min="12813" max="12813" width="8.6640625" style="679" customWidth="1"/>
    <col min="12814" max="12814" width="30.44140625" style="679" customWidth="1"/>
    <col min="12815" max="12815" width="9.6640625" style="679" customWidth="1"/>
    <col min="12816" max="12819" width="8.77734375" style="679" customWidth="1"/>
    <col min="12820" max="12836" width="10.33203125" style="679" customWidth="1"/>
    <col min="12837" max="12837" width="8.88671875" style="679"/>
    <col min="12838" max="12838" width="12.33203125" style="679" customWidth="1"/>
    <col min="12839" max="12839" width="13.109375" style="679" customWidth="1"/>
    <col min="12840" max="12840" width="9.109375" style="679" customWidth="1"/>
    <col min="12841" max="13057" width="8.88671875" style="679"/>
    <col min="13058" max="13058" width="14.6640625" style="679" customWidth="1"/>
    <col min="13059" max="13059" width="10" style="679" bestFit="1" customWidth="1"/>
    <col min="13060" max="13063" width="8.88671875" style="679"/>
    <col min="13064" max="13064" width="10" style="679" customWidth="1"/>
    <col min="13065" max="13066" width="10.21875" style="679" customWidth="1"/>
    <col min="13067" max="13068" width="12" style="679" customWidth="1"/>
    <col min="13069" max="13069" width="8.6640625" style="679" customWidth="1"/>
    <col min="13070" max="13070" width="30.44140625" style="679" customWidth="1"/>
    <col min="13071" max="13071" width="9.6640625" style="679" customWidth="1"/>
    <col min="13072" max="13075" width="8.77734375" style="679" customWidth="1"/>
    <col min="13076" max="13092" width="10.33203125" style="679" customWidth="1"/>
    <col min="13093" max="13093" width="8.88671875" style="679"/>
    <col min="13094" max="13094" width="12.33203125" style="679" customWidth="1"/>
    <col min="13095" max="13095" width="13.109375" style="679" customWidth="1"/>
    <col min="13096" max="13096" width="9.109375" style="679" customWidth="1"/>
    <col min="13097" max="13313" width="8.88671875" style="679"/>
    <col min="13314" max="13314" width="14.6640625" style="679" customWidth="1"/>
    <col min="13315" max="13315" width="10" style="679" bestFit="1" customWidth="1"/>
    <col min="13316" max="13319" width="8.88671875" style="679"/>
    <col min="13320" max="13320" width="10" style="679" customWidth="1"/>
    <col min="13321" max="13322" width="10.21875" style="679" customWidth="1"/>
    <col min="13323" max="13324" width="12" style="679" customWidth="1"/>
    <col min="13325" max="13325" width="8.6640625" style="679" customWidth="1"/>
    <col min="13326" max="13326" width="30.44140625" style="679" customWidth="1"/>
    <col min="13327" max="13327" width="9.6640625" style="679" customWidth="1"/>
    <col min="13328" max="13331" width="8.77734375" style="679" customWidth="1"/>
    <col min="13332" max="13348" width="10.33203125" style="679" customWidth="1"/>
    <col min="13349" max="13349" width="8.88671875" style="679"/>
    <col min="13350" max="13350" width="12.33203125" style="679" customWidth="1"/>
    <col min="13351" max="13351" width="13.109375" style="679" customWidth="1"/>
    <col min="13352" max="13352" width="9.109375" style="679" customWidth="1"/>
    <col min="13353" max="13569" width="8.88671875" style="679"/>
    <col min="13570" max="13570" width="14.6640625" style="679" customWidth="1"/>
    <col min="13571" max="13571" width="10" style="679" bestFit="1" customWidth="1"/>
    <col min="13572" max="13575" width="8.88671875" style="679"/>
    <col min="13576" max="13576" width="10" style="679" customWidth="1"/>
    <col min="13577" max="13578" width="10.21875" style="679" customWidth="1"/>
    <col min="13579" max="13580" width="12" style="679" customWidth="1"/>
    <col min="13581" max="13581" width="8.6640625" style="679" customWidth="1"/>
    <col min="13582" max="13582" width="30.44140625" style="679" customWidth="1"/>
    <col min="13583" max="13583" width="9.6640625" style="679" customWidth="1"/>
    <col min="13584" max="13587" width="8.77734375" style="679" customWidth="1"/>
    <col min="13588" max="13604" width="10.33203125" style="679" customWidth="1"/>
    <col min="13605" max="13605" width="8.88671875" style="679"/>
    <col min="13606" max="13606" width="12.33203125" style="679" customWidth="1"/>
    <col min="13607" max="13607" width="13.109375" style="679" customWidth="1"/>
    <col min="13608" max="13608" width="9.109375" style="679" customWidth="1"/>
    <col min="13609" max="13825" width="8.88671875" style="679"/>
    <col min="13826" max="13826" width="14.6640625" style="679" customWidth="1"/>
    <col min="13827" max="13827" width="10" style="679" bestFit="1" customWidth="1"/>
    <col min="13828" max="13831" width="8.88671875" style="679"/>
    <col min="13832" max="13832" width="10" style="679" customWidth="1"/>
    <col min="13833" max="13834" width="10.21875" style="679" customWidth="1"/>
    <col min="13835" max="13836" width="12" style="679" customWidth="1"/>
    <col min="13837" max="13837" width="8.6640625" style="679" customWidth="1"/>
    <col min="13838" max="13838" width="30.44140625" style="679" customWidth="1"/>
    <col min="13839" max="13839" width="9.6640625" style="679" customWidth="1"/>
    <col min="13840" max="13843" width="8.77734375" style="679" customWidth="1"/>
    <col min="13844" max="13860" width="10.33203125" style="679" customWidth="1"/>
    <col min="13861" max="13861" width="8.88671875" style="679"/>
    <col min="13862" max="13862" width="12.33203125" style="679" customWidth="1"/>
    <col min="13863" max="13863" width="13.109375" style="679" customWidth="1"/>
    <col min="13864" max="13864" width="9.109375" style="679" customWidth="1"/>
    <col min="13865" max="14081" width="8.88671875" style="679"/>
    <col min="14082" max="14082" width="14.6640625" style="679" customWidth="1"/>
    <col min="14083" max="14083" width="10" style="679" bestFit="1" customWidth="1"/>
    <col min="14084" max="14087" width="8.88671875" style="679"/>
    <col min="14088" max="14088" width="10" style="679" customWidth="1"/>
    <col min="14089" max="14090" width="10.21875" style="679" customWidth="1"/>
    <col min="14091" max="14092" width="12" style="679" customWidth="1"/>
    <col min="14093" max="14093" width="8.6640625" style="679" customWidth="1"/>
    <col min="14094" max="14094" width="30.44140625" style="679" customWidth="1"/>
    <col min="14095" max="14095" width="9.6640625" style="679" customWidth="1"/>
    <col min="14096" max="14099" width="8.77734375" style="679" customWidth="1"/>
    <col min="14100" max="14116" width="10.33203125" style="679" customWidth="1"/>
    <col min="14117" max="14117" width="8.88671875" style="679"/>
    <col min="14118" max="14118" width="12.33203125" style="679" customWidth="1"/>
    <col min="14119" max="14119" width="13.109375" style="679" customWidth="1"/>
    <col min="14120" max="14120" width="9.109375" style="679" customWidth="1"/>
    <col min="14121" max="14337" width="8.88671875" style="679"/>
    <col min="14338" max="14338" width="14.6640625" style="679" customWidth="1"/>
    <col min="14339" max="14339" width="10" style="679" bestFit="1" customWidth="1"/>
    <col min="14340" max="14343" width="8.88671875" style="679"/>
    <col min="14344" max="14344" width="10" style="679" customWidth="1"/>
    <col min="14345" max="14346" width="10.21875" style="679" customWidth="1"/>
    <col min="14347" max="14348" width="12" style="679" customWidth="1"/>
    <col min="14349" max="14349" width="8.6640625" style="679" customWidth="1"/>
    <col min="14350" max="14350" width="30.44140625" style="679" customWidth="1"/>
    <col min="14351" max="14351" width="9.6640625" style="679" customWidth="1"/>
    <col min="14352" max="14355" width="8.77734375" style="679" customWidth="1"/>
    <col min="14356" max="14372" width="10.33203125" style="679" customWidth="1"/>
    <col min="14373" max="14373" width="8.88671875" style="679"/>
    <col min="14374" max="14374" width="12.33203125" style="679" customWidth="1"/>
    <col min="14375" max="14375" width="13.109375" style="679" customWidth="1"/>
    <col min="14376" max="14376" width="9.109375" style="679" customWidth="1"/>
    <col min="14377" max="14593" width="8.88671875" style="679"/>
    <col min="14594" max="14594" width="14.6640625" style="679" customWidth="1"/>
    <col min="14595" max="14595" width="10" style="679" bestFit="1" customWidth="1"/>
    <col min="14596" max="14599" width="8.88671875" style="679"/>
    <col min="14600" max="14600" width="10" style="679" customWidth="1"/>
    <col min="14601" max="14602" width="10.21875" style="679" customWidth="1"/>
    <col min="14603" max="14604" width="12" style="679" customWidth="1"/>
    <col min="14605" max="14605" width="8.6640625" style="679" customWidth="1"/>
    <col min="14606" max="14606" width="30.44140625" style="679" customWidth="1"/>
    <col min="14607" max="14607" width="9.6640625" style="679" customWidth="1"/>
    <col min="14608" max="14611" width="8.77734375" style="679" customWidth="1"/>
    <col min="14612" max="14628" width="10.33203125" style="679" customWidth="1"/>
    <col min="14629" max="14629" width="8.88671875" style="679"/>
    <col min="14630" max="14630" width="12.33203125" style="679" customWidth="1"/>
    <col min="14631" max="14631" width="13.109375" style="679" customWidth="1"/>
    <col min="14632" max="14632" width="9.109375" style="679" customWidth="1"/>
    <col min="14633" max="14849" width="8.88671875" style="679"/>
    <col min="14850" max="14850" width="14.6640625" style="679" customWidth="1"/>
    <col min="14851" max="14851" width="10" style="679" bestFit="1" customWidth="1"/>
    <col min="14852" max="14855" width="8.88671875" style="679"/>
    <col min="14856" max="14856" width="10" style="679" customWidth="1"/>
    <col min="14857" max="14858" width="10.21875" style="679" customWidth="1"/>
    <col min="14859" max="14860" width="12" style="679" customWidth="1"/>
    <col min="14861" max="14861" width="8.6640625" style="679" customWidth="1"/>
    <col min="14862" max="14862" width="30.44140625" style="679" customWidth="1"/>
    <col min="14863" max="14863" width="9.6640625" style="679" customWidth="1"/>
    <col min="14864" max="14867" width="8.77734375" style="679" customWidth="1"/>
    <col min="14868" max="14884" width="10.33203125" style="679" customWidth="1"/>
    <col min="14885" max="14885" width="8.88671875" style="679"/>
    <col min="14886" max="14886" width="12.33203125" style="679" customWidth="1"/>
    <col min="14887" max="14887" width="13.109375" style="679" customWidth="1"/>
    <col min="14888" max="14888" width="9.109375" style="679" customWidth="1"/>
    <col min="14889" max="15105" width="8.88671875" style="679"/>
    <col min="15106" max="15106" width="14.6640625" style="679" customWidth="1"/>
    <col min="15107" max="15107" width="10" style="679" bestFit="1" customWidth="1"/>
    <col min="15108" max="15111" width="8.88671875" style="679"/>
    <col min="15112" max="15112" width="10" style="679" customWidth="1"/>
    <col min="15113" max="15114" width="10.21875" style="679" customWidth="1"/>
    <col min="15115" max="15116" width="12" style="679" customWidth="1"/>
    <col min="15117" max="15117" width="8.6640625" style="679" customWidth="1"/>
    <col min="15118" max="15118" width="30.44140625" style="679" customWidth="1"/>
    <col min="15119" max="15119" width="9.6640625" style="679" customWidth="1"/>
    <col min="15120" max="15123" width="8.77734375" style="679" customWidth="1"/>
    <col min="15124" max="15140" width="10.33203125" style="679" customWidth="1"/>
    <col min="15141" max="15141" width="8.88671875" style="679"/>
    <col min="15142" max="15142" width="12.33203125" style="679" customWidth="1"/>
    <col min="15143" max="15143" width="13.109375" style="679" customWidth="1"/>
    <col min="15144" max="15144" width="9.109375" style="679" customWidth="1"/>
    <col min="15145" max="15361" width="8.88671875" style="679"/>
    <col min="15362" max="15362" width="14.6640625" style="679" customWidth="1"/>
    <col min="15363" max="15363" width="10" style="679" bestFit="1" customWidth="1"/>
    <col min="15364" max="15367" width="8.88671875" style="679"/>
    <col min="15368" max="15368" width="10" style="679" customWidth="1"/>
    <col min="15369" max="15370" width="10.21875" style="679" customWidth="1"/>
    <col min="15371" max="15372" width="12" style="679" customWidth="1"/>
    <col min="15373" max="15373" width="8.6640625" style="679" customWidth="1"/>
    <col min="15374" max="15374" width="30.44140625" style="679" customWidth="1"/>
    <col min="15375" max="15375" width="9.6640625" style="679" customWidth="1"/>
    <col min="15376" max="15379" width="8.77734375" style="679" customWidth="1"/>
    <col min="15380" max="15396" width="10.33203125" style="679" customWidth="1"/>
    <col min="15397" max="15397" width="8.88671875" style="679"/>
    <col min="15398" max="15398" width="12.33203125" style="679" customWidth="1"/>
    <col min="15399" max="15399" width="13.109375" style="679" customWidth="1"/>
    <col min="15400" max="15400" width="9.109375" style="679" customWidth="1"/>
    <col min="15401" max="15617" width="8.88671875" style="679"/>
    <col min="15618" max="15618" width="14.6640625" style="679" customWidth="1"/>
    <col min="15619" max="15619" width="10" style="679" bestFit="1" customWidth="1"/>
    <col min="15620" max="15623" width="8.88671875" style="679"/>
    <col min="15624" max="15624" width="10" style="679" customWidth="1"/>
    <col min="15625" max="15626" width="10.21875" style="679" customWidth="1"/>
    <col min="15627" max="15628" width="12" style="679" customWidth="1"/>
    <col min="15629" max="15629" width="8.6640625" style="679" customWidth="1"/>
    <col min="15630" max="15630" width="30.44140625" style="679" customWidth="1"/>
    <col min="15631" max="15631" width="9.6640625" style="679" customWidth="1"/>
    <col min="15632" max="15635" width="8.77734375" style="679" customWidth="1"/>
    <col min="15636" max="15652" width="10.33203125" style="679" customWidth="1"/>
    <col min="15653" max="15653" width="8.88671875" style="679"/>
    <col min="15654" max="15654" width="12.33203125" style="679" customWidth="1"/>
    <col min="15655" max="15655" width="13.109375" style="679" customWidth="1"/>
    <col min="15656" max="15656" width="9.109375" style="679" customWidth="1"/>
    <col min="15657" max="15873" width="8.88671875" style="679"/>
    <col min="15874" max="15874" width="14.6640625" style="679" customWidth="1"/>
    <col min="15875" max="15875" width="10" style="679" bestFit="1" customWidth="1"/>
    <col min="15876" max="15879" width="8.88671875" style="679"/>
    <col min="15880" max="15880" width="10" style="679" customWidth="1"/>
    <col min="15881" max="15882" width="10.21875" style="679" customWidth="1"/>
    <col min="15883" max="15884" width="12" style="679" customWidth="1"/>
    <col min="15885" max="15885" width="8.6640625" style="679" customWidth="1"/>
    <col min="15886" max="15886" width="30.44140625" style="679" customWidth="1"/>
    <col min="15887" max="15887" width="9.6640625" style="679" customWidth="1"/>
    <col min="15888" max="15891" width="8.77734375" style="679" customWidth="1"/>
    <col min="15892" max="15908" width="10.33203125" style="679" customWidth="1"/>
    <col min="15909" max="15909" width="8.88671875" style="679"/>
    <col min="15910" max="15910" width="12.33203125" style="679" customWidth="1"/>
    <col min="15911" max="15911" width="13.109375" style="679" customWidth="1"/>
    <col min="15912" max="15912" width="9.109375" style="679" customWidth="1"/>
    <col min="15913" max="16129" width="8.88671875" style="679"/>
    <col min="16130" max="16130" width="14.6640625" style="679" customWidth="1"/>
    <col min="16131" max="16131" width="10" style="679" bestFit="1" customWidth="1"/>
    <col min="16132" max="16135" width="8.88671875" style="679"/>
    <col min="16136" max="16136" width="10" style="679" customWidth="1"/>
    <col min="16137" max="16138" width="10.21875" style="679" customWidth="1"/>
    <col min="16139" max="16140" width="12" style="679" customWidth="1"/>
    <col min="16141" max="16141" width="8.6640625" style="679" customWidth="1"/>
    <col min="16142" max="16142" width="30.44140625" style="679" customWidth="1"/>
    <col min="16143" max="16143" width="9.6640625" style="679" customWidth="1"/>
    <col min="16144" max="16147" width="8.77734375" style="679" customWidth="1"/>
    <col min="16148" max="16164" width="10.33203125" style="679" customWidth="1"/>
    <col min="16165" max="16165" width="8.88671875" style="679"/>
    <col min="16166" max="16166" width="12.33203125" style="679" customWidth="1"/>
    <col min="16167" max="16167" width="13.109375" style="679" customWidth="1"/>
    <col min="16168" max="16168" width="9.109375" style="679" customWidth="1"/>
    <col min="16169" max="16384" width="8.88671875" style="679"/>
  </cols>
  <sheetData>
    <row r="5" spans="1:64" ht="20.100000000000001" customHeight="1" x14ac:dyDescent="0.25">
      <c r="B5" s="680" t="s">
        <v>565</v>
      </c>
      <c r="N5" s="681" t="s">
        <v>589</v>
      </c>
      <c r="Y5" s="680" t="s">
        <v>566</v>
      </c>
      <c r="AI5" s="681" t="s">
        <v>567</v>
      </c>
    </row>
    <row r="6" spans="1:64" ht="20.100000000000001" customHeight="1" x14ac:dyDescent="0.25">
      <c r="B6" s="682" t="s">
        <v>6</v>
      </c>
      <c r="C6" s="682" t="s">
        <v>7</v>
      </c>
      <c r="D6" s="679" t="s">
        <v>41</v>
      </c>
      <c r="E6" s="679" t="s">
        <v>42</v>
      </c>
      <c r="F6" s="682" t="s">
        <v>5</v>
      </c>
      <c r="G6" s="679" t="s">
        <v>8</v>
      </c>
      <c r="H6" s="1321" t="s">
        <v>43</v>
      </c>
      <c r="I6" s="1321"/>
      <c r="J6" s="682" t="s">
        <v>239</v>
      </c>
      <c r="K6" s="682" t="s">
        <v>568</v>
      </c>
      <c r="L6" s="682"/>
      <c r="N6" s="681" t="e">
        <f>#REF!</f>
        <v>#REF!</v>
      </c>
      <c r="AI6" s="681" t="e">
        <f>#REF!</f>
        <v>#REF!</v>
      </c>
      <c r="AN6" s="683"/>
      <c r="AO6" s="20"/>
    </row>
    <row r="7" spans="1:64" ht="20.100000000000001" customHeight="1" x14ac:dyDescent="0.2">
      <c r="C7" s="682" t="s">
        <v>9</v>
      </c>
      <c r="D7" s="679" t="s">
        <v>44</v>
      </c>
      <c r="E7" s="679" t="s">
        <v>45</v>
      </c>
      <c r="F7" s="684" t="s">
        <v>201</v>
      </c>
      <c r="G7" s="679" t="s">
        <v>569</v>
      </c>
      <c r="H7" s="682" t="s">
        <v>39</v>
      </c>
      <c r="I7" s="682" t="s">
        <v>10</v>
      </c>
      <c r="J7" s="682"/>
      <c r="K7" s="682" t="s">
        <v>570</v>
      </c>
      <c r="L7" s="682"/>
      <c r="O7" s="685"/>
      <c r="P7" s="685"/>
      <c r="Q7" s="685"/>
      <c r="R7" s="686"/>
      <c r="S7" s="685"/>
      <c r="T7" s="685"/>
      <c r="U7" s="685"/>
      <c r="V7" s="685"/>
      <c r="W7" s="685"/>
      <c r="X7" s="685"/>
      <c r="Y7" s="685"/>
      <c r="Z7" s="685"/>
      <c r="AA7" s="685"/>
      <c r="AB7" s="685"/>
      <c r="AC7" s="685"/>
    </row>
    <row r="8" spans="1:64" ht="20.100000000000001" customHeight="1" x14ac:dyDescent="0.25">
      <c r="B8" s="687" t="s">
        <v>2</v>
      </c>
      <c r="C8" s="687" t="s">
        <v>2</v>
      </c>
      <c r="D8" s="687" t="s">
        <v>2</v>
      </c>
      <c r="E8" s="687" t="s">
        <v>2</v>
      </c>
      <c r="F8" s="687" t="s">
        <v>2</v>
      </c>
      <c r="G8" s="687" t="s">
        <v>2</v>
      </c>
      <c r="H8" s="687" t="s">
        <v>2</v>
      </c>
      <c r="I8" s="687" t="s">
        <v>2</v>
      </c>
      <c r="J8" s="687"/>
      <c r="K8" s="687"/>
      <c r="L8" s="687"/>
      <c r="N8" s="740" t="s">
        <v>49</v>
      </c>
      <c r="O8" s="685"/>
      <c r="P8" s="685"/>
      <c r="Q8" s="685"/>
      <c r="R8" s="689"/>
      <c r="S8" s="685"/>
      <c r="T8" s="685"/>
      <c r="U8" s="685"/>
      <c r="V8" s="685"/>
      <c r="W8" s="685"/>
      <c r="X8" s="685"/>
      <c r="Y8" s="685"/>
      <c r="AA8" s="685"/>
      <c r="AB8" s="685"/>
      <c r="AC8" s="685"/>
      <c r="AJ8" s="688" t="s">
        <v>571</v>
      </c>
      <c r="AO8" s="677"/>
      <c r="AP8" s="677"/>
      <c r="AQ8" s="677"/>
      <c r="AR8" s="677"/>
      <c r="AS8" s="677"/>
      <c r="AT8" s="677"/>
      <c r="AU8" s="677"/>
      <c r="AV8" s="677"/>
      <c r="AW8" s="677"/>
    </row>
    <row r="9" spans="1:64" ht="20.100000000000001" customHeight="1" x14ac:dyDescent="0.2">
      <c r="A9" s="690"/>
      <c r="N9" s="691" t="s">
        <v>50</v>
      </c>
      <c r="O9" s="692" t="s">
        <v>51</v>
      </c>
      <c r="P9" s="692" t="s">
        <v>52</v>
      </c>
      <c r="Q9" s="692" t="s">
        <v>53</v>
      </c>
      <c r="R9" s="692" t="s">
        <v>54</v>
      </c>
      <c r="S9" s="692" t="s">
        <v>55</v>
      </c>
      <c r="T9" s="692" t="s">
        <v>56</v>
      </c>
      <c r="U9" s="692" t="s">
        <v>57</v>
      </c>
      <c r="V9" s="692" t="s">
        <v>58</v>
      </c>
      <c r="W9" s="692" t="s">
        <v>59</v>
      </c>
      <c r="X9" s="692" t="s">
        <v>60</v>
      </c>
      <c r="Y9" s="692" t="s">
        <v>61</v>
      </c>
      <c r="Z9" s="692" t="s">
        <v>62</v>
      </c>
      <c r="AA9" s="692" t="s">
        <v>63</v>
      </c>
      <c r="AB9" s="692" t="s">
        <v>64</v>
      </c>
      <c r="AC9" s="692" t="s">
        <v>65</v>
      </c>
      <c r="AD9" s="692" t="s">
        <v>66</v>
      </c>
      <c r="AE9" s="692" t="s">
        <v>67</v>
      </c>
      <c r="AF9" s="692" t="s">
        <v>68</v>
      </c>
      <c r="AG9" s="692" t="s">
        <v>69</v>
      </c>
      <c r="AH9" s="692" t="s">
        <v>70</v>
      </c>
      <c r="AI9" s="692" t="s">
        <v>71</v>
      </c>
      <c r="AJ9" s="692" t="s">
        <v>72</v>
      </c>
      <c r="AK9" s="692" t="s">
        <v>157</v>
      </c>
      <c r="AM9" s="737" t="s">
        <v>572</v>
      </c>
    </row>
    <row r="10" spans="1:64" ht="20.100000000000001" customHeight="1" x14ac:dyDescent="0.2">
      <c r="B10" s="682" t="s">
        <v>587</v>
      </c>
      <c r="C10" s="679" t="e">
        <f>#REF!</f>
        <v>#REF!</v>
      </c>
      <c r="D10" s="679">
        <f>'[3]capcost(GST)'!BK10</f>
        <v>0</v>
      </c>
      <c r="E10" s="679" t="e">
        <f>#REF!</f>
        <v>#REF!</v>
      </c>
      <c r="F10" s="679" t="e">
        <f>#REF!</f>
        <v>#REF!</v>
      </c>
      <c r="G10" s="679" t="e">
        <f>C10+F10</f>
        <v>#REF!</v>
      </c>
      <c r="H10" s="679">
        <f>D10</f>
        <v>0</v>
      </c>
      <c r="I10" s="679" t="e">
        <f>E10+F10</f>
        <v>#REF!</v>
      </c>
      <c r="N10" s="694" t="s">
        <v>74</v>
      </c>
      <c r="O10" s="692"/>
      <c r="P10" s="36">
        <v>0.8</v>
      </c>
      <c r="Q10" s="36">
        <f>100%</f>
        <v>1</v>
      </c>
      <c r="R10" s="36">
        <f>100%</f>
        <v>1</v>
      </c>
      <c r="S10" s="36">
        <v>1</v>
      </c>
      <c r="T10" s="36">
        <v>1</v>
      </c>
      <c r="U10" s="36">
        <v>1</v>
      </c>
      <c r="V10" s="36">
        <v>1</v>
      </c>
      <c r="W10" s="36">
        <v>1</v>
      </c>
      <c r="X10" s="36">
        <v>1</v>
      </c>
      <c r="Y10" s="36">
        <v>1</v>
      </c>
      <c r="Z10" s="36">
        <v>1</v>
      </c>
      <c r="AA10" s="36">
        <v>1</v>
      </c>
      <c r="AB10" s="36">
        <v>1</v>
      </c>
      <c r="AC10" s="36">
        <v>1</v>
      </c>
      <c r="AD10" s="36">
        <v>1</v>
      </c>
      <c r="AE10" s="36">
        <v>1</v>
      </c>
      <c r="AF10" s="36">
        <v>1</v>
      </c>
      <c r="AG10" s="36">
        <v>1</v>
      </c>
      <c r="AH10" s="36">
        <v>1</v>
      </c>
      <c r="AI10" s="36">
        <v>1</v>
      </c>
      <c r="AJ10" s="36">
        <v>1</v>
      </c>
      <c r="AK10" s="36">
        <v>0</v>
      </c>
      <c r="AN10" s="695">
        <v>0.15</v>
      </c>
    </row>
    <row r="11" spans="1:64" ht="20.100000000000001" customHeight="1" x14ac:dyDescent="0.2">
      <c r="B11" s="682" t="s">
        <v>584</v>
      </c>
      <c r="C11" s="679" t="e">
        <f>#REF!</f>
        <v>#REF!</v>
      </c>
      <c r="D11" s="679">
        <f>'[3]capcost(GST)'!BK11</f>
        <v>0</v>
      </c>
      <c r="E11" s="679" t="e">
        <f>#REF!</f>
        <v>#REF!</v>
      </c>
      <c r="F11" s="679" t="e">
        <f>#REF!</f>
        <v>#REF!</v>
      </c>
      <c r="G11" s="679" t="e">
        <f t="shared" ref="G11:G14" si="0">C11+F11</f>
        <v>#REF!</v>
      </c>
      <c r="H11" s="679">
        <f>D11</f>
        <v>0</v>
      </c>
      <c r="I11" s="679" t="e">
        <f>E11+F11</f>
        <v>#REF!</v>
      </c>
      <c r="N11" s="685" t="s">
        <v>573</v>
      </c>
      <c r="O11" s="685">
        <v>0</v>
      </c>
      <c r="P11" s="685" t="e">
        <f>$D$17*P10*9/12</f>
        <v>#REF!</v>
      </c>
      <c r="Q11" s="685" t="e">
        <f>+$D$17*Q10</f>
        <v>#REF!</v>
      </c>
      <c r="R11" s="685" t="e">
        <f>+$D$17*R10</f>
        <v>#REF!</v>
      </c>
      <c r="S11" s="685" t="e">
        <f t="shared" ref="S11:AI11" si="1">+$D$17*S10</f>
        <v>#REF!</v>
      </c>
      <c r="T11" s="685" t="e">
        <f t="shared" si="1"/>
        <v>#REF!</v>
      </c>
      <c r="U11" s="685" t="e">
        <f t="shared" si="1"/>
        <v>#REF!</v>
      </c>
      <c r="V11" s="685" t="e">
        <f t="shared" si="1"/>
        <v>#REF!</v>
      </c>
      <c r="W11" s="685" t="e">
        <f t="shared" si="1"/>
        <v>#REF!</v>
      </c>
      <c r="X11" s="685" t="e">
        <f t="shared" si="1"/>
        <v>#REF!</v>
      </c>
      <c r="Y11" s="685" t="e">
        <f t="shared" si="1"/>
        <v>#REF!</v>
      </c>
      <c r="Z11" s="685" t="e">
        <f t="shared" si="1"/>
        <v>#REF!</v>
      </c>
      <c r="AA11" s="685" t="e">
        <f t="shared" si="1"/>
        <v>#REF!</v>
      </c>
      <c r="AB11" s="685" t="e">
        <f t="shared" si="1"/>
        <v>#REF!</v>
      </c>
      <c r="AC11" s="685" t="e">
        <f t="shared" si="1"/>
        <v>#REF!</v>
      </c>
      <c r="AD11" s="685" t="e">
        <f t="shared" si="1"/>
        <v>#REF!</v>
      </c>
      <c r="AE11" s="685" t="e">
        <f t="shared" si="1"/>
        <v>#REF!</v>
      </c>
      <c r="AF11" s="685" t="e">
        <f t="shared" si="1"/>
        <v>#REF!</v>
      </c>
      <c r="AG11" s="685" t="e">
        <f t="shared" si="1"/>
        <v>#REF!</v>
      </c>
      <c r="AH11" s="685" t="e">
        <f t="shared" si="1"/>
        <v>#REF!</v>
      </c>
      <c r="AI11" s="685" t="e">
        <f t="shared" si="1"/>
        <v>#REF!</v>
      </c>
      <c r="AJ11" s="685" t="e">
        <f>+$D$17*AJ10*9/12</f>
        <v>#REF!</v>
      </c>
      <c r="AK11" s="685" t="e">
        <f>+$D$17*AK10</f>
        <v>#REF!</v>
      </c>
      <c r="AM11" s="679" t="s">
        <v>574</v>
      </c>
      <c r="AN11" s="696">
        <v>1</v>
      </c>
      <c r="AO11" s="697">
        <v>2</v>
      </c>
      <c r="AP11" s="697">
        <v>3</v>
      </c>
      <c r="AQ11" s="697">
        <v>4</v>
      </c>
      <c r="AR11" s="697">
        <v>5</v>
      </c>
      <c r="AS11" s="697">
        <v>6</v>
      </c>
      <c r="AT11" s="697">
        <v>7</v>
      </c>
      <c r="AU11" s="697">
        <v>8</v>
      </c>
      <c r="AV11" s="697">
        <v>9</v>
      </c>
      <c r="AW11" s="697">
        <v>10</v>
      </c>
      <c r="AX11" s="697">
        <v>11</v>
      </c>
      <c r="AY11" s="697">
        <v>12</v>
      </c>
      <c r="AZ11" s="697">
        <v>13</v>
      </c>
      <c r="BA11" s="697">
        <v>14</v>
      </c>
      <c r="BB11" s="697">
        <v>15</v>
      </c>
      <c r="BC11" s="697">
        <v>16</v>
      </c>
      <c r="BD11" s="697">
        <v>17</v>
      </c>
      <c r="BE11" s="697">
        <v>18</v>
      </c>
      <c r="BF11" s="697">
        <v>19</v>
      </c>
      <c r="BG11" s="697">
        <v>20</v>
      </c>
      <c r="BH11" s="697">
        <v>21</v>
      </c>
      <c r="BI11" s="698">
        <v>22</v>
      </c>
      <c r="BJ11" s="698">
        <v>23</v>
      </c>
    </row>
    <row r="12" spans="1:64" ht="20.100000000000001" customHeight="1" x14ac:dyDescent="0.2">
      <c r="B12" s="682" t="s">
        <v>585</v>
      </c>
      <c r="C12" s="679" t="e">
        <f>#REF!</f>
        <v>#REF!</v>
      </c>
      <c r="D12" s="679">
        <f>'[3]capcost(GST)'!BK12</f>
        <v>0</v>
      </c>
      <c r="E12" s="679" t="e">
        <f>#REF!</f>
        <v>#REF!</v>
      </c>
      <c r="F12" s="679" t="e">
        <f>#REF!</f>
        <v>#REF!</v>
      </c>
      <c r="G12" s="679" t="e">
        <f t="shared" si="0"/>
        <v>#REF!</v>
      </c>
      <c r="H12" s="679">
        <f>D12</f>
        <v>0</v>
      </c>
      <c r="I12" s="679" t="e">
        <f>E12+F12</f>
        <v>#REF!</v>
      </c>
      <c r="N12" s="685" t="s">
        <v>152</v>
      </c>
      <c r="O12" s="685">
        <f>+O32</f>
        <v>0</v>
      </c>
      <c r="P12" s="685">
        <f>+P32</f>
        <v>0</v>
      </c>
      <c r="Q12" s="685">
        <f>+Q32</f>
        <v>0</v>
      </c>
      <c r="R12" s="685" t="e">
        <f t="shared" ref="R12:AK12" si="2">+R32</f>
        <v>#REF!</v>
      </c>
      <c r="S12" s="685" t="e">
        <f t="shared" si="2"/>
        <v>#REF!</v>
      </c>
      <c r="T12" s="685" t="e">
        <f t="shared" si="2"/>
        <v>#REF!</v>
      </c>
      <c r="U12" s="685" t="e">
        <f t="shared" si="2"/>
        <v>#REF!</v>
      </c>
      <c r="V12" s="685" t="e">
        <f t="shared" si="2"/>
        <v>#REF!</v>
      </c>
      <c r="W12" s="685" t="e">
        <f t="shared" si="2"/>
        <v>#REF!</v>
      </c>
      <c r="X12" s="685" t="e">
        <f t="shared" si="2"/>
        <v>#REF!</v>
      </c>
      <c r="Y12" s="685" t="e">
        <f t="shared" si="2"/>
        <v>#REF!</v>
      </c>
      <c r="Z12" s="685" t="e">
        <f t="shared" si="2"/>
        <v>#REF!</v>
      </c>
      <c r="AA12" s="685" t="e">
        <f t="shared" si="2"/>
        <v>#REF!</v>
      </c>
      <c r="AB12" s="685" t="e">
        <f t="shared" si="2"/>
        <v>#REF!</v>
      </c>
      <c r="AC12" s="685">
        <f t="shared" si="2"/>
        <v>0</v>
      </c>
      <c r="AD12" s="685">
        <f t="shared" si="2"/>
        <v>0</v>
      </c>
      <c r="AE12" s="685">
        <f t="shared" si="2"/>
        <v>0</v>
      </c>
      <c r="AF12" s="685">
        <f t="shared" si="2"/>
        <v>0</v>
      </c>
      <c r="AG12" s="685">
        <f t="shared" si="2"/>
        <v>0</v>
      </c>
      <c r="AH12" s="685">
        <f t="shared" si="2"/>
        <v>0</v>
      </c>
      <c r="AI12" s="685">
        <f t="shared" si="2"/>
        <v>0</v>
      </c>
      <c r="AJ12" s="685">
        <f t="shared" si="2"/>
        <v>0</v>
      </c>
      <c r="AK12" s="685">
        <f t="shared" si="2"/>
        <v>0</v>
      </c>
      <c r="AM12" s="679" t="s">
        <v>575</v>
      </c>
      <c r="AN12" s="679" t="e">
        <f>+K15</f>
        <v>#REF!</v>
      </c>
      <c r="AO12" s="679" t="e">
        <f>+AN14</f>
        <v>#REF!</v>
      </c>
      <c r="AP12" s="679" t="e">
        <f t="shared" ref="AP12:BG12" si="3">+AO14</f>
        <v>#REF!</v>
      </c>
      <c r="AQ12" s="679" t="e">
        <f t="shared" si="3"/>
        <v>#REF!</v>
      </c>
      <c r="AR12" s="679" t="e">
        <f t="shared" si="3"/>
        <v>#REF!</v>
      </c>
      <c r="AS12" s="679" t="e">
        <f t="shared" si="3"/>
        <v>#REF!</v>
      </c>
      <c r="AT12" s="679" t="e">
        <f t="shared" si="3"/>
        <v>#REF!</v>
      </c>
      <c r="AU12" s="679" t="e">
        <f t="shared" si="3"/>
        <v>#REF!</v>
      </c>
      <c r="AV12" s="679" t="e">
        <f t="shared" si="3"/>
        <v>#REF!</v>
      </c>
      <c r="AW12" s="679" t="e">
        <f t="shared" si="3"/>
        <v>#REF!</v>
      </c>
      <c r="AX12" s="679" t="e">
        <f t="shared" si="3"/>
        <v>#REF!</v>
      </c>
      <c r="AY12" s="679" t="e">
        <f t="shared" si="3"/>
        <v>#REF!</v>
      </c>
      <c r="AZ12" s="679" t="e">
        <f t="shared" si="3"/>
        <v>#REF!</v>
      </c>
      <c r="BA12" s="679" t="e">
        <f t="shared" si="3"/>
        <v>#REF!</v>
      </c>
      <c r="BB12" s="679" t="e">
        <f t="shared" si="3"/>
        <v>#REF!</v>
      </c>
      <c r="BC12" s="679" t="e">
        <f t="shared" si="3"/>
        <v>#REF!</v>
      </c>
      <c r="BD12" s="679" t="e">
        <f t="shared" si="3"/>
        <v>#REF!</v>
      </c>
      <c r="BE12" s="679" t="e">
        <f t="shared" si="3"/>
        <v>#REF!</v>
      </c>
      <c r="BF12" s="679" t="e">
        <f t="shared" si="3"/>
        <v>#REF!</v>
      </c>
      <c r="BG12" s="699" t="e">
        <f t="shared" si="3"/>
        <v>#REF!</v>
      </c>
      <c r="BH12" s="679" t="e">
        <f>+BG14</f>
        <v>#REF!</v>
      </c>
      <c r="BI12" s="679" t="e">
        <f>+BH14</f>
        <v>#REF!</v>
      </c>
      <c r="BJ12" s="679" t="e">
        <f>+BI14</f>
        <v>#REF!</v>
      </c>
      <c r="BL12" s="679" t="s">
        <v>576</v>
      </c>
    </row>
    <row r="13" spans="1:64" ht="20.100000000000001" customHeight="1" x14ac:dyDescent="0.2">
      <c r="B13" s="679" t="s">
        <v>586</v>
      </c>
      <c r="C13" s="679" t="e">
        <f>#REF!</f>
        <v>#REF!</v>
      </c>
      <c r="E13" s="679" t="e">
        <f>#REF!</f>
        <v>#REF!</v>
      </c>
      <c r="F13" s="679" t="e">
        <f>#REF!</f>
        <v>#REF!</v>
      </c>
      <c r="G13" s="679" t="e">
        <f t="shared" si="0"/>
        <v>#REF!</v>
      </c>
      <c r="I13" s="679" t="e">
        <f>E13+F13</f>
        <v>#REF!</v>
      </c>
      <c r="N13" s="685" t="s">
        <v>130</v>
      </c>
      <c r="O13" s="685">
        <v>0</v>
      </c>
      <c r="P13" s="685" t="e">
        <f>AN13</f>
        <v>#REF!</v>
      </c>
      <c r="Q13" s="685" t="e">
        <f t="shared" ref="Q13:AJ13" si="4">AO13</f>
        <v>#REF!</v>
      </c>
      <c r="R13" s="685" t="e">
        <f t="shared" si="4"/>
        <v>#REF!</v>
      </c>
      <c r="S13" s="685" t="e">
        <f t="shared" si="4"/>
        <v>#REF!</v>
      </c>
      <c r="T13" s="685" t="e">
        <f t="shared" si="4"/>
        <v>#REF!</v>
      </c>
      <c r="U13" s="685" t="e">
        <f t="shared" si="4"/>
        <v>#REF!</v>
      </c>
      <c r="V13" s="685" t="e">
        <f t="shared" si="4"/>
        <v>#REF!</v>
      </c>
      <c r="W13" s="685" t="e">
        <f t="shared" si="4"/>
        <v>#REF!</v>
      </c>
      <c r="X13" s="685" t="e">
        <f t="shared" si="4"/>
        <v>#REF!</v>
      </c>
      <c r="Y13" s="685" t="e">
        <f t="shared" si="4"/>
        <v>#REF!</v>
      </c>
      <c r="Z13" s="685" t="e">
        <f t="shared" si="4"/>
        <v>#REF!</v>
      </c>
      <c r="AA13" s="685" t="e">
        <f t="shared" si="4"/>
        <v>#REF!</v>
      </c>
      <c r="AB13" s="685" t="e">
        <f t="shared" si="4"/>
        <v>#REF!</v>
      </c>
      <c r="AC13" s="685" t="e">
        <f t="shared" si="4"/>
        <v>#REF!</v>
      </c>
      <c r="AD13" s="685" t="e">
        <f t="shared" si="4"/>
        <v>#REF!</v>
      </c>
      <c r="AE13" s="685" t="e">
        <f t="shared" si="4"/>
        <v>#REF!</v>
      </c>
      <c r="AF13" s="685" t="e">
        <f t="shared" si="4"/>
        <v>#REF!</v>
      </c>
      <c r="AG13" s="685" t="e">
        <f t="shared" si="4"/>
        <v>#REF!</v>
      </c>
      <c r="AH13" s="685" t="e">
        <f t="shared" si="4"/>
        <v>#REF!</v>
      </c>
      <c r="AI13" s="685" t="e">
        <f t="shared" si="4"/>
        <v>#REF!</v>
      </c>
      <c r="AJ13" s="685">
        <f t="shared" si="4"/>
        <v>0</v>
      </c>
      <c r="AL13" s="685" t="e">
        <f>SUM(O13:AK13)</f>
        <v>#REF!</v>
      </c>
      <c r="AM13" s="679" t="s">
        <v>578</v>
      </c>
      <c r="AN13" s="699" t="e">
        <f>+AN12*AN10*9/12</f>
        <v>#REF!</v>
      </c>
      <c r="AO13" s="699" t="e">
        <f>+AO12*$AN$10</f>
        <v>#REF!</v>
      </c>
      <c r="AP13" s="699" t="e">
        <f t="shared" ref="AP13:BE13" si="5">+AP12*$AN$10</f>
        <v>#REF!</v>
      </c>
      <c r="AQ13" s="699" t="e">
        <f t="shared" si="5"/>
        <v>#REF!</v>
      </c>
      <c r="AR13" s="699" t="e">
        <f t="shared" si="5"/>
        <v>#REF!</v>
      </c>
      <c r="AS13" s="699" t="e">
        <f t="shared" si="5"/>
        <v>#REF!</v>
      </c>
      <c r="AT13" s="699" t="e">
        <f t="shared" si="5"/>
        <v>#REF!</v>
      </c>
      <c r="AU13" s="699" t="e">
        <f t="shared" si="5"/>
        <v>#REF!</v>
      </c>
      <c r="AV13" s="699" t="e">
        <f t="shared" si="5"/>
        <v>#REF!</v>
      </c>
      <c r="AW13" s="699" t="e">
        <f t="shared" si="5"/>
        <v>#REF!</v>
      </c>
      <c r="AX13" s="699" t="e">
        <f t="shared" si="5"/>
        <v>#REF!</v>
      </c>
      <c r="AY13" s="699" t="e">
        <f t="shared" si="5"/>
        <v>#REF!</v>
      </c>
      <c r="AZ13" s="699" t="e">
        <f t="shared" si="5"/>
        <v>#REF!</v>
      </c>
      <c r="BA13" s="699" t="e">
        <f t="shared" si="5"/>
        <v>#REF!</v>
      </c>
      <c r="BB13" s="699" t="e">
        <f t="shared" si="5"/>
        <v>#REF!</v>
      </c>
      <c r="BC13" s="699" t="e">
        <f t="shared" si="5"/>
        <v>#REF!</v>
      </c>
      <c r="BD13" s="699" t="e">
        <f t="shared" si="5"/>
        <v>#REF!</v>
      </c>
      <c r="BE13" s="699" t="e">
        <f t="shared" si="5"/>
        <v>#REF!</v>
      </c>
      <c r="BF13" s="738" t="e">
        <f>AN12*0.95-SUM(AN13:BE13)</f>
        <v>#REF!</v>
      </c>
      <c r="BG13" s="679" t="e">
        <f>AN12*0.95-SUM(AN13:BF13)</f>
        <v>#REF!</v>
      </c>
      <c r="BH13" s="699"/>
      <c r="BI13" s="699"/>
      <c r="BK13" s="736" t="e">
        <f>SUM(AN13:BJ13)</f>
        <v>#REF!</v>
      </c>
      <c r="BL13" s="679" t="e">
        <f>+K15*0.95</f>
        <v>#REF!</v>
      </c>
    </row>
    <row r="14" spans="1:64" ht="20.100000000000001" customHeight="1" x14ac:dyDescent="0.2">
      <c r="B14" s="700" t="s">
        <v>577</v>
      </c>
      <c r="C14" s="679" t="e">
        <f>#REF!</f>
        <v>#REF!</v>
      </c>
      <c r="D14" s="679">
        <f>'[3]capcost(GST)'!BK14</f>
        <v>0</v>
      </c>
      <c r="E14" s="679" t="e">
        <f>#REF!</f>
        <v>#REF!</v>
      </c>
      <c r="F14" s="679" t="e">
        <f>#REF!</f>
        <v>#REF!</v>
      </c>
      <c r="G14" s="679" t="e">
        <f t="shared" si="0"/>
        <v>#REF!</v>
      </c>
      <c r="H14" s="679">
        <f>D14</f>
        <v>0</v>
      </c>
      <c r="I14" s="679" t="e">
        <f>E14+F14</f>
        <v>#REF!</v>
      </c>
      <c r="J14" s="701"/>
      <c r="K14" s="701"/>
      <c r="N14" s="685" t="s">
        <v>80</v>
      </c>
      <c r="O14" s="685">
        <v>0</v>
      </c>
      <c r="P14" s="685" t="e">
        <f t="shared" ref="P14:AI14" si="6">+P11-P12-P13</f>
        <v>#REF!</v>
      </c>
      <c r="Q14" s="685" t="e">
        <f t="shared" si="6"/>
        <v>#REF!</v>
      </c>
      <c r="R14" s="685" t="e">
        <f t="shared" si="6"/>
        <v>#REF!</v>
      </c>
      <c r="S14" s="685" t="e">
        <f t="shared" si="6"/>
        <v>#REF!</v>
      </c>
      <c r="T14" s="685" t="e">
        <f t="shared" si="6"/>
        <v>#REF!</v>
      </c>
      <c r="U14" s="685" t="e">
        <f t="shared" si="6"/>
        <v>#REF!</v>
      </c>
      <c r="V14" s="685" t="e">
        <f t="shared" si="6"/>
        <v>#REF!</v>
      </c>
      <c r="W14" s="685" t="e">
        <f t="shared" si="6"/>
        <v>#REF!</v>
      </c>
      <c r="X14" s="685" t="e">
        <f t="shared" si="6"/>
        <v>#REF!</v>
      </c>
      <c r="Y14" s="685" t="e">
        <f t="shared" si="6"/>
        <v>#REF!</v>
      </c>
      <c r="Z14" s="685" t="e">
        <f t="shared" si="6"/>
        <v>#REF!</v>
      </c>
      <c r="AA14" s="685" t="e">
        <f t="shared" si="6"/>
        <v>#REF!</v>
      </c>
      <c r="AB14" s="685" t="e">
        <f t="shared" si="6"/>
        <v>#REF!</v>
      </c>
      <c r="AC14" s="685" t="e">
        <f t="shared" si="6"/>
        <v>#REF!</v>
      </c>
      <c r="AD14" s="685" t="e">
        <f t="shared" si="6"/>
        <v>#REF!</v>
      </c>
      <c r="AE14" s="685" t="e">
        <f t="shared" si="6"/>
        <v>#REF!</v>
      </c>
      <c r="AF14" s="685" t="e">
        <f t="shared" si="6"/>
        <v>#REF!</v>
      </c>
      <c r="AG14" s="685" t="e">
        <f t="shared" si="6"/>
        <v>#REF!</v>
      </c>
      <c r="AH14" s="685" t="e">
        <f t="shared" si="6"/>
        <v>#REF!</v>
      </c>
      <c r="AI14" s="685" t="e">
        <f t="shared" si="6"/>
        <v>#REF!</v>
      </c>
      <c r="AJ14" s="685" t="e">
        <f>+AJ11-AJ12-AJ13</f>
        <v>#REF!</v>
      </c>
      <c r="AK14" s="685" t="e">
        <f>+AK11-AK12-AK13</f>
        <v>#REF!</v>
      </c>
      <c r="AM14" s="679" t="s">
        <v>579</v>
      </c>
      <c r="AN14" s="699" t="e">
        <f>+AN12-AN13</f>
        <v>#REF!</v>
      </c>
      <c r="AO14" s="699" t="e">
        <f>+AO12-AO13</f>
        <v>#REF!</v>
      </c>
      <c r="AP14" s="699" t="e">
        <f t="shared" ref="AP14:BG14" si="7">+AP12-AP13</f>
        <v>#REF!</v>
      </c>
      <c r="AQ14" s="699" t="e">
        <f t="shared" si="7"/>
        <v>#REF!</v>
      </c>
      <c r="AR14" s="699" t="e">
        <f t="shared" si="7"/>
        <v>#REF!</v>
      </c>
      <c r="AS14" s="699" t="e">
        <f t="shared" si="7"/>
        <v>#REF!</v>
      </c>
      <c r="AT14" s="699" t="e">
        <f t="shared" si="7"/>
        <v>#REF!</v>
      </c>
      <c r="AU14" s="699" t="e">
        <f t="shared" si="7"/>
        <v>#REF!</v>
      </c>
      <c r="AV14" s="699" t="e">
        <f t="shared" si="7"/>
        <v>#REF!</v>
      </c>
      <c r="AW14" s="699" t="e">
        <f t="shared" si="7"/>
        <v>#REF!</v>
      </c>
      <c r="AX14" s="699" t="e">
        <f t="shared" si="7"/>
        <v>#REF!</v>
      </c>
      <c r="AY14" s="699" t="e">
        <f t="shared" si="7"/>
        <v>#REF!</v>
      </c>
      <c r="AZ14" s="699" t="e">
        <f t="shared" si="7"/>
        <v>#REF!</v>
      </c>
      <c r="BA14" s="699" t="e">
        <f t="shared" si="7"/>
        <v>#REF!</v>
      </c>
      <c r="BB14" s="699" t="e">
        <f t="shared" si="7"/>
        <v>#REF!</v>
      </c>
      <c r="BC14" s="699" t="e">
        <f t="shared" si="7"/>
        <v>#REF!</v>
      </c>
      <c r="BD14" s="699" t="e">
        <f t="shared" si="7"/>
        <v>#REF!</v>
      </c>
      <c r="BE14" s="699" t="e">
        <f t="shared" si="7"/>
        <v>#REF!</v>
      </c>
      <c r="BF14" s="699" t="e">
        <f t="shared" si="7"/>
        <v>#REF!</v>
      </c>
      <c r="BG14" s="699" t="e">
        <f t="shared" si="7"/>
        <v>#REF!</v>
      </c>
      <c r="BH14" s="699" t="e">
        <f>+BH12-BH13</f>
        <v>#REF!</v>
      </c>
      <c r="BI14" s="699" t="e">
        <f>+BI12-BI13</f>
        <v>#REF!</v>
      </c>
      <c r="BJ14" s="699" t="e">
        <f>+BJ12-BJ13</f>
        <v>#REF!</v>
      </c>
    </row>
    <row r="15" spans="1:64" ht="20.100000000000001" customHeight="1" x14ac:dyDescent="0.2">
      <c r="B15" s="702" t="s">
        <v>4</v>
      </c>
      <c r="C15" s="699" t="e">
        <f t="shared" ref="C15:I15" si="8">SUM(C10:C14)</f>
        <v>#REF!</v>
      </c>
      <c r="D15" s="699">
        <f t="shared" si="8"/>
        <v>0</v>
      </c>
      <c r="E15" s="699" t="e">
        <f t="shared" si="8"/>
        <v>#REF!</v>
      </c>
      <c r="F15" s="699" t="e">
        <f t="shared" si="8"/>
        <v>#REF!</v>
      </c>
      <c r="G15" s="699" t="e">
        <f t="shared" si="8"/>
        <v>#REF!</v>
      </c>
      <c r="H15" s="699">
        <f t="shared" si="8"/>
        <v>0</v>
      </c>
      <c r="I15" s="699" t="e">
        <f t="shared" si="8"/>
        <v>#REF!</v>
      </c>
      <c r="J15" s="699" t="e">
        <f>#REF!</f>
        <v>#REF!</v>
      </c>
      <c r="K15" s="699" t="e">
        <f>+G15-J15</f>
        <v>#REF!</v>
      </c>
      <c r="M15" s="735">
        <f>0.22*1.1*1.04</f>
        <v>0.25168000000000001</v>
      </c>
      <c r="N15" s="685" t="s">
        <v>151</v>
      </c>
      <c r="O15" s="685">
        <f>IF(+O14*$M$15*$M$16&gt;0,O14*$M$15*$M$16,0)</f>
        <v>0</v>
      </c>
      <c r="P15" s="685" t="e">
        <f>IF(+P14*$M$15*$M$16&gt;0,P14*$M$15*$M$16,0)</f>
        <v>#REF!</v>
      </c>
      <c r="Q15" s="685" t="e">
        <f t="shared" ref="Q15:AI15" si="9">IF(+Q14*$M$15*$M$16&gt;0,Q14*$M$15*$M$16,0)</f>
        <v>#REF!</v>
      </c>
      <c r="R15" s="685" t="e">
        <f t="shared" si="9"/>
        <v>#REF!</v>
      </c>
      <c r="S15" s="685" t="e">
        <f t="shared" si="9"/>
        <v>#REF!</v>
      </c>
      <c r="T15" s="685" t="e">
        <f t="shared" si="9"/>
        <v>#REF!</v>
      </c>
      <c r="U15" s="685" t="e">
        <f t="shared" si="9"/>
        <v>#REF!</v>
      </c>
      <c r="V15" s="685" t="e">
        <f t="shared" si="9"/>
        <v>#REF!</v>
      </c>
      <c r="W15" s="685" t="e">
        <f t="shared" si="9"/>
        <v>#REF!</v>
      </c>
      <c r="X15" s="685" t="e">
        <f t="shared" si="9"/>
        <v>#REF!</v>
      </c>
      <c r="Y15" s="685" t="e">
        <f t="shared" si="9"/>
        <v>#REF!</v>
      </c>
      <c r="Z15" s="685" t="e">
        <f t="shared" si="9"/>
        <v>#REF!</v>
      </c>
      <c r="AA15" s="685" t="e">
        <f t="shared" si="9"/>
        <v>#REF!</v>
      </c>
      <c r="AB15" s="685" t="e">
        <f t="shared" si="9"/>
        <v>#REF!</v>
      </c>
      <c r="AC15" s="685" t="e">
        <f t="shared" si="9"/>
        <v>#REF!</v>
      </c>
      <c r="AD15" s="685" t="e">
        <f t="shared" si="9"/>
        <v>#REF!</v>
      </c>
      <c r="AE15" s="685" t="e">
        <f t="shared" si="9"/>
        <v>#REF!</v>
      </c>
      <c r="AF15" s="685" t="e">
        <f t="shared" si="9"/>
        <v>#REF!</v>
      </c>
      <c r="AG15" s="685" t="e">
        <f t="shared" si="9"/>
        <v>#REF!</v>
      </c>
      <c r="AH15" s="685" t="e">
        <f t="shared" si="9"/>
        <v>#REF!</v>
      </c>
      <c r="AI15" s="685" t="e">
        <f t="shared" si="9"/>
        <v>#REF!</v>
      </c>
      <c r="AJ15" s="685" t="e">
        <f>IF(+AJ14*$M$15*$M$16&gt;0,AJ14*$M$15*$M$16,0)</f>
        <v>#REF!</v>
      </c>
      <c r="AK15" s="685" t="e">
        <f>IF(+AK14*$M$15*$M$16&gt;0,AK14*$M$15*$M$16,0)</f>
        <v>#REF!</v>
      </c>
      <c r="AO15" s="677"/>
      <c r="AP15" s="677"/>
      <c r="AQ15" s="677"/>
      <c r="AR15" s="677"/>
      <c r="AS15" s="677"/>
      <c r="AT15" s="677"/>
      <c r="AU15" s="677"/>
      <c r="AV15" s="677"/>
      <c r="AW15" s="677"/>
    </row>
    <row r="16" spans="1:64" ht="20.100000000000001" customHeight="1" x14ac:dyDescent="0.2">
      <c r="A16" s="703"/>
      <c r="H16" s="687"/>
      <c r="I16" s="687"/>
      <c r="J16" s="687"/>
      <c r="K16" s="687"/>
      <c r="M16" s="736">
        <v>1</v>
      </c>
      <c r="O16" s="685"/>
      <c r="P16" s="685"/>
      <c r="Q16" s="685"/>
      <c r="R16" s="685"/>
      <c r="S16" s="685"/>
      <c r="T16" s="685"/>
      <c r="U16" s="685"/>
      <c r="V16" s="685"/>
      <c r="W16" s="685"/>
      <c r="X16" s="685"/>
      <c r="Y16" s="685"/>
      <c r="Z16" s="685"/>
      <c r="AA16" s="685"/>
      <c r="AB16" s="685"/>
      <c r="AC16" s="685"/>
      <c r="AD16" s="685"/>
      <c r="AE16" s="685"/>
      <c r="AF16" s="685"/>
      <c r="AG16" s="685"/>
      <c r="AH16" s="685"/>
      <c r="AI16" s="685"/>
      <c r="AJ16" s="685"/>
      <c r="AK16" s="685"/>
      <c r="AN16" s="679" t="e">
        <f>AN12*0.95</f>
        <v>#REF!</v>
      </c>
      <c r="AO16" s="677"/>
      <c r="AP16" s="677"/>
      <c r="AQ16" s="677"/>
      <c r="AR16" s="677"/>
      <c r="AS16" s="677"/>
      <c r="AT16" s="677"/>
      <c r="AU16" s="677"/>
      <c r="AV16" s="677"/>
      <c r="AW16" s="677"/>
    </row>
    <row r="17" spans="1:49" ht="20.100000000000001" customHeight="1" x14ac:dyDescent="0.25">
      <c r="A17" s="703"/>
      <c r="B17" s="704" t="s">
        <v>125</v>
      </c>
      <c r="C17" s="705" t="s">
        <v>564</v>
      </c>
      <c r="D17" s="706" t="e">
        <f>'Gross Margin(Pre revised)'!F34</f>
        <v>#REF!</v>
      </c>
      <c r="N17" s="685" t="s">
        <v>81</v>
      </c>
      <c r="O17" s="685">
        <v>0</v>
      </c>
      <c r="P17" s="685" t="e">
        <f>+P14-P15</f>
        <v>#REF!</v>
      </c>
      <c r="Q17" s="685" t="e">
        <f t="shared" ref="Q17:AK17" si="10">+Q14-Q15</f>
        <v>#REF!</v>
      </c>
      <c r="R17" s="685" t="e">
        <f t="shared" si="10"/>
        <v>#REF!</v>
      </c>
      <c r="S17" s="685" t="e">
        <f t="shared" si="10"/>
        <v>#REF!</v>
      </c>
      <c r="T17" s="685" t="e">
        <f t="shared" si="10"/>
        <v>#REF!</v>
      </c>
      <c r="U17" s="685" t="e">
        <f t="shared" si="10"/>
        <v>#REF!</v>
      </c>
      <c r="V17" s="685" t="e">
        <f t="shared" si="10"/>
        <v>#REF!</v>
      </c>
      <c r="W17" s="685" t="e">
        <f t="shared" si="10"/>
        <v>#REF!</v>
      </c>
      <c r="X17" s="685" t="e">
        <f t="shared" si="10"/>
        <v>#REF!</v>
      </c>
      <c r="Y17" s="685" t="e">
        <f t="shared" si="10"/>
        <v>#REF!</v>
      </c>
      <c r="Z17" s="685" t="e">
        <f t="shared" si="10"/>
        <v>#REF!</v>
      </c>
      <c r="AA17" s="685" t="e">
        <f t="shared" si="10"/>
        <v>#REF!</v>
      </c>
      <c r="AB17" s="685" t="e">
        <f t="shared" si="10"/>
        <v>#REF!</v>
      </c>
      <c r="AC17" s="685" t="e">
        <f t="shared" si="10"/>
        <v>#REF!</v>
      </c>
      <c r="AD17" s="685" t="e">
        <f t="shared" si="10"/>
        <v>#REF!</v>
      </c>
      <c r="AE17" s="685" t="e">
        <f t="shared" si="10"/>
        <v>#REF!</v>
      </c>
      <c r="AF17" s="685" t="e">
        <f t="shared" si="10"/>
        <v>#REF!</v>
      </c>
      <c r="AG17" s="685" t="e">
        <f t="shared" si="10"/>
        <v>#REF!</v>
      </c>
      <c r="AH17" s="685" t="e">
        <f>+AH14-AH15</f>
        <v>#REF!</v>
      </c>
      <c r="AI17" s="685" t="e">
        <f t="shared" si="10"/>
        <v>#REF!</v>
      </c>
      <c r="AJ17" s="685" t="e">
        <f t="shared" si="10"/>
        <v>#REF!</v>
      </c>
      <c r="AK17" s="685" t="e">
        <f t="shared" si="10"/>
        <v>#REF!</v>
      </c>
      <c r="AO17" s="677"/>
      <c r="AP17" s="677"/>
      <c r="AQ17" s="677"/>
      <c r="AR17" s="677"/>
      <c r="AS17" s="677"/>
      <c r="AT17" s="677"/>
    </row>
    <row r="18" spans="1:49" ht="20.100000000000001" customHeight="1" x14ac:dyDescent="0.2">
      <c r="A18" s="703"/>
      <c r="B18" s="707"/>
      <c r="C18" s="682"/>
      <c r="F18" s="682"/>
      <c r="N18" s="708" t="s">
        <v>82</v>
      </c>
      <c r="O18" s="708">
        <v>0</v>
      </c>
      <c r="P18" s="708" t="e">
        <f>+P17</f>
        <v>#REF!</v>
      </c>
      <c r="Q18" s="708" t="e">
        <f>+Q17+P18</f>
        <v>#REF!</v>
      </c>
      <c r="R18" s="708" t="e">
        <f t="shared" ref="R18:AK18" si="11">+R17+Q18</f>
        <v>#REF!</v>
      </c>
      <c r="S18" s="708" t="e">
        <f t="shared" si="11"/>
        <v>#REF!</v>
      </c>
      <c r="T18" s="708" t="e">
        <f t="shared" si="11"/>
        <v>#REF!</v>
      </c>
      <c r="U18" s="708" t="e">
        <f t="shared" si="11"/>
        <v>#REF!</v>
      </c>
      <c r="V18" s="708" t="e">
        <f t="shared" si="11"/>
        <v>#REF!</v>
      </c>
      <c r="W18" s="708" t="e">
        <f t="shared" si="11"/>
        <v>#REF!</v>
      </c>
      <c r="X18" s="708" t="e">
        <f t="shared" si="11"/>
        <v>#REF!</v>
      </c>
      <c r="Y18" s="708" t="e">
        <f t="shared" si="11"/>
        <v>#REF!</v>
      </c>
      <c r="Z18" s="708" t="e">
        <f t="shared" si="11"/>
        <v>#REF!</v>
      </c>
      <c r="AA18" s="708" t="e">
        <f t="shared" si="11"/>
        <v>#REF!</v>
      </c>
      <c r="AB18" s="708" t="e">
        <f t="shared" si="11"/>
        <v>#REF!</v>
      </c>
      <c r="AC18" s="708" t="e">
        <f t="shared" si="11"/>
        <v>#REF!</v>
      </c>
      <c r="AD18" s="708" t="e">
        <f t="shared" si="11"/>
        <v>#REF!</v>
      </c>
      <c r="AE18" s="708" t="e">
        <f t="shared" si="11"/>
        <v>#REF!</v>
      </c>
      <c r="AF18" s="708" t="e">
        <f t="shared" si="11"/>
        <v>#REF!</v>
      </c>
      <c r="AG18" s="708" t="e">
        <f t="shared" si="11"/>
        <v>#REF!</v>
      </c>
      <c r="AH18" s="708" t="e">
        <f t="shared" si="11"/>
        <v>#REF!</v>
      </c>
      <c r="AI18" s="708" t="e">
        <f>+AI17+AG18</f>
        <v>#REF!</v>
      </c>
      <c r="AJ18" s="708" t="e">
        <f t="shared" si="11"/>
        <v>#REF!</v>
      </c>
      <c r="AK18" s="708" t="e">
        <f t="shared" si="11"/>
        <v>#REF!</v>
      </c>
      <c r="AO18" s="677"/>
      <c r="AP18" s="677"/>
      <c r="AQ18" s="677"/>
      <c r="AR18" s="677"/>
      <c r="AS18" s="677"/>
      <c r="AT18" s="677"/>
      <c r="AU18" s="677"/>
      <c r="AV18" s="677"/>
      <c r="AW18" s="677"/>
    </row>
    <row r="19" spans="1:49" ht="20.100000000000001" customHeight="1" x14ac:dyDescent="0.2">
      <c r="AK19" s="685"/>
      <c r="AO19" s="677"/>
      <c r="AP19" s="677"/>
      <c r="AQ19" s="677"/>
      <c r="AR19" s="677"/>
      <c r="AS19" s="677"/>
      <c r="AT19" s="677"/>
    </row>
    <row r="20" spans="1:49" ht="20.100000000000001" customHeight="1" x14ac:dyDescent="0.25">
      <c r="H20" s="1321"/>
      <c r="I20" s="1321"/>
      <c r="J20" s="682"/>
      <c r="K20" s="682"/>
      <c r="N20" s="739" t="s">
        <v>85</v>
      </c>
      <c r="O20" s="685"/>
      <c r="P20" s="685"/>
      <c r="Q20" s="685"/>
      <c r="R20" s="685"/>
      <c r="S20" s="685"/>
      <c r="T20" s="685"/>
      <c r="U20" s="685"/>
      <c r="V20" s="685"/>
      <c r="W20" s="685"/>
      <c r="X20" s="685"/>
      <c r="Y20" s="685"/>
      <c r="Z20" s="685"/>
      <c r="AA20" s="685"/>
      <c r="AB20" s="685"/>
      <c r="AC20" s="685"/>
      <c r="AK20" s="685"/>
      <c r="AO20" s="677"/>
      <c r="AP20" s="677"/>
      <c r="AQ20" s="677"/>
      <c r="AR20" s="677"/>
      <c r="AS20" s="677"/>
      <c r="AT20" s="677"/>
      <c r="AU20" s="677"/>
      <c r="AV20" s="677"/>
      <c r="AW20" s="677"/>
    </row>
    <row r="21" spans="1:49" ht="20.100000000000001" customHeight="1" x14ac:dyDescent="0.25">
      <c r="H21" s="682"/>
      <c r="I21" s="682"/>
      <c r="J21" s="682"/>
      <c r="K21" s="682"/>
      <c r="N21" s="709"/>
      <c r="O21" s="685"/>
      <c r="P21" s="685"/>
      <c r="Q21" s="685"/>
      <c r="R21" s="685"/>
      <c r="S21" s="685"/>
      <c r="T21" s="685"/>
      <c r="U21" s="685"/>
      <c r="V21" s="685">
        <f>+V8</f>
        <v>0</v>
      </c>
      <c r="X21" s="685"/>
      <c r="Y21" s="685"/>
      <c r="Z21" s="685"/>
      <c r="AA21" s="685"/>
      <c r="AB21" s="685"/>
      <c r="AC21" s="685"/>
      <c r="AI21" s="679">
        <f>+V21</f>
        <v>0</v>
      </c>
      <c r="AK21" s="685"/>
      <c r="AO21" s="677"/>
      <c r="AP21" s="677"/>
      <c r="AQ21" s="677"/>
      <c r="AR21" s="677"/>
      <c r="AS21" s="677"/>
      <c r="AT21" s="677"/>
      <c r="AU21" s="677"/>
      <c r="AV21" s="677"/>
      <c r="AW21" s="677"/>
    </row>
    <row r="22" spans="1:49" ht="20.100000000000001" customHeight="1" x14ac:dyDescent="0.25">
      <c r="H22" s="682"/>
      <c r="I22" s="682"/>
      <c r="J22" s="682"/>
      <c r="K22" s="682"/>
      <c r="N22" s="741" t="s">
        <v>590</v>
      </c>
      <c r="O22" s="710" t="str">
        <f t="shared" ref="O22:AJ22" si="12">+O9</f>
        <v>Yr 1</v>
      </c>
      <c r="P22" s="710" t="str">
        <f t="shared" si="12"/>
        <v>Yr 2</v>
      </c>
      <c r="Q22" s="710" t="str">
        <f t="shared" si="12"/>
        <v>Yr 3</v>
      </c>
      <c r="R22" s="710" t="str">
        <f t="shared" si="12"/>
        <v>Yr 4</v>
      </c>
      <c r="S22" s="710" t="str">
        <f t="shared" si="12"/>
        <v>Yr 5</v>
      </c>
      <c r="T22" s="710" t="str">
        <f t="shared" si="12"/>
        <v>Yr 6</v>
      </c>
      <c r="U22" s="710" t="str">
        <f t="shared" si="12"/>
        <v>Yr 7</v>
      </c>
      <c r="V22" s="710" t="str">
        <f t="shared" si="12"/>
        <v>Yr 8</v>
      </c>
      <c r="W22" s="710" t="str">
        <f t="shared" si="12"/>
        <v>Yr 9</v>
      </c>
      <c r="X22" s="710" t="str">
        <f t="shared" si="12"/>
        <v>Yr 10</v>
      </c>
      <c r="Y22" s="710" t="str">
        <f t="shared" si="12"/>
        <v>Yr 11</v>
      </c>
      <c r="Z22" s="710" t="str">
        <f t="shared" si="12"/>
        <v>Yr 12</v>
      </c>
      <c r="AA22" s="710" t="str">
        <f t="shared" si="12"/>
        <v>Yr 13</v>
      </c>
      <c r="AB22" s="710" t="str">
        <f t="shared" si="12"/>
        <v>Yr 14</v>
      </c>
      <c r="AC22" s="710" t="str">
        <f t="shared" si="12"/>
        <v>Yr 15</v>
      </c>
      <c r="AD22" s="710" t="str">
        <f t="shared" si="12"/>
        <v>Yr 16</v>
      </c>
      <c r="AE22" s="710" t="str">
        <f t="shared" si="12"/>
        <v>Yr 17</v>
      </c>
      <c r="AF22" s="710" t="str">
        <f t="shared" si="12"/>
        <v>Yr 18</v>
      </c>
      <c r="AG22" s="710" t="str">
        <f t="shared" si="12"/>
        <v>Yr 19</v>
      </c>
      <c r="AH22" s="710" t="str">
        <f>+AH9</f>
        <v>Yr 20</v>
      </c>
      <c r="AI22" s="710" t="str">
        <f t="shared" si="12"/>
        <v>Yr 21</v>
      </c>
      <c r="AJ22" s="711" t="str">
        <f t="shared" si="12"/>
        <v>Yr 22</v>
      </c>
      <c r="AK22" s="692" t="s">
        <v>157</v>
      </c>
    </row>
    <row r="23" spans="1:49" ht="20.100000000000001" customHeight="1" x14ac:dyDescent="0.2">
      <c r="H23" s="687"/>
      <c r="I23" s="687"/>
      <c r="J23" s="687"/>
      <c r="K23" s="687"/>
      <c r="N23" s="685" t="s">
        <v>87</v>
      </c>
      <c r="O23" s="685">
        <v>0</v>
      </c>
      <c r="P23" s="685" t="e">
        <f>+P11</f>
        <v>#REF!</v>
      </c>
      <c r="Q23" s="685" t="e">
        <f t="shared" ref="Q23:AK23" si="13">+Q11</f>
        <v>#REF!</v>
      </c>
      <c r="R23" s="685" t="e">
        <f t="shared" si="13"/>
        <v>#REF!</v>
      </c>
      <c r="S23" s="685" t="e">
        <f t="shared" si="13"/>
        <v>#REF!</v>
      </c>
      <c r="T23" s="685" t="e">
        <f t="shared" si="13"/>
        <v>#REF!</v>
      </c>
      <c r="U23" s="685" t="e">
        <f t="shared" si="13"/>
        <v>#REF!</v>
      </c>
      <c r="V23" s="685" t="e">
        <f t="shared" si="13"/>
        <v>#REF!</v>
      </c>
      <c r="W23" s="685" t="e">
        <f t="shared" si="13"/>
        <v>#REF!</v>
      </c>
      <c r="X23" s="685" t="e">
        <f t="shared" si="13"/>
        <v>#REF!</v>
      </c>
      <c r="Y23" s="685" t="e">
        <f t="shared" si="13"/>
        <v>#REF!</v>
      </c>
      <c r="Z23" s="685" t="e">
        <f t="shared" si="13"/>
        <v>#REF!</v>
      </c>
      <c r="AA23" s="685" t="e">
        <f t="shared" si="13"/>
        <v>#REF!</v>
      </c>
      <c r="AB23" s="685" t="e">
        <f t="shared" si="13"/>
        <v>#REF!</v>
      </c>
      <c r="AC23" s="685" t="e">
        <f t="shared" si="13"/>
        <v>#REF!</v>
      </c>
      <c r="AD23" s="685" t="e">
        <f t="shared" si="13"/>
        <v>#REF!</v>
      </c>
      <c r="AE23" s="685" t="e">
        <f t="shared" si="13"/>
        <v>#REF!</v>
      </c>
      <c r="AF23" s="685" t="e">
        <f t="shared" si="13"/>
        <v>#REF!</v>
      </c>
      <c r="AG23" s="685" t="e">
        <f t="shared" si="13"/>
        <v>#REF!</v>
      </c>
      <c r="AH23" s="685" t="e">
        <f>+AH11</f>
        <v>#REF!</v>
      </c>
      <c r="AI23" s="685" t="e">
        <f t="shared" si="13"/>
        <v>#REF!</v>
      </c>
      <c r="AJ23" s="685" t="e">
        <f t="shared" si="13"/>
        <v>#REF!</v>
      </c>
      <c r="AK23" s="685" t="e">
        <f t="shared" si="13"/>
        <v>#REF!</v>
      </c>
      <c r="AL23" s="685" t="e">
        <f>SUM(O23:AJ23)</f>
        <v>#REF!</v>
      </c>
    </row>
    <row r="24" spans="1:49" ht="20.100000000000001" customHeight="1" x14ac:dyDescent="0.2">
      <c r="M24" s="679">
        <f>SUM(O24:R24)</f>
        <v>0</v>
      </c>
      <c r="N24" s="685" t="s">
        <v>88</v>
      </c>
      <c r="O24" s="685">
        <f>+H10</f>
        <v>0</v>
      </c>
      <c r="P24" s="685">
        <f>+H11+H14*0</f>
        <v>0</v>
      </c>
      <c r="Q24" s="685">
        <f>H14+H12</f>
        <v>0</v>
      </c>
      <c r="R24" s="685">
        <v>0</v>
      </c>
      <c r="S24" s="685">
        <v>0</v>
      </c>
      <c r="T24" s="685">
        <v>0</v>
      </c>
      <c r="U24" s="685">
        <v>0</v>
      </c>
      <c r="V24" s="685">
        <v>0</v>
      </c>
      <c r="W24" s="685">
        <v>0</v>
      </c>
      <c r="X24" s="685">
        <v>0</v>
      </c>
      <c r="Y24" s="685">
        <v>0</v>
      </c>
      <c r="Z24" s="685">
        <v>0</v>
      </c>
      <c r="AA24" s="685">
        <v>0</v>
      </c>
      <c r="AB24" s="685">
        <v>0</v>
      </c>
      <c r="AC24" s="685">
        <v>0</v>
      </c>
      <c r="AD24" s="685">
        <v>0</v>
      </c>
      <c r="AE24" s="685">
        <v>0</v>
      </c>
      <c r="AF24" s="685">
        <v>0</v>
      </c>
      <c r="AG24" s="685">
        <v>0</v>
      </c>
      <c r="AH24" s="685">
        <v>0</v>
      </c>
      <c r="AI24" s="685">
        <v>0</v>
      </c>
      <c r="AJ24" s="685">
        <v>0</v>
      </c>
      <c r="AL24" s="685">
        <f>SUM(O24:AJ24)</f>
        <v>0</v>
      </c>
    </row>
    <row r="25" spans="1:49" ht="20.100000000000001" customHeight="1" x14ac:dyDescent="0.2">
      <c r="A25" s="703"/>
      <c r="C25" s="682"/>
      <c r="F25" s="684"/>
      <c r="M25" s="679" t="e">
        <f>SUM(O25:R25)</f>
        <v>#REF!</v>
      </c>
      <c r="N25" s="685" t="s">
        <v>580</v>
      </c>
      <c r="O25" s="685" t="e">
        <f>+I10</f>
        <v>#REF!</v>
      </c>
      <c r="P25" s="685" t="e">
        <f>+I11</f>
        <v>#REF!</v>
      </c>
      <c r="Q25" s="685" t="e">
        <f>I12</f>
        <v>#REF!</v>
      </c>
      <c r="R25" s="685" t="e">
        <f>I13+I14</f>
        <v>#REF!</v>
      </c>
      <c r="S25" s="685">
        <v>0</v>
      </c>
      <c r="T25" s="685">
        <v>0</v>
      </c>
      <c r="U25" s="685">
        <v>0</v>
      </c>
      <c r="V25" s="685">
        <v>0</v>
      </c>
      <c r="W25" s="685">
        <v>0</v>
      </c>
      <c r="X25" s="685">
        <v>0</v>
      </c>
      <c r="Y25" s="685">
        <v>0</v>
      </c>
      <c r="Z25" s="685">
        <v>0</v>
      </c>
      <c r="AA25" s="685">
        <v>0</v>
      </c>
      <c r="AB25" s="685">
        <v>0</v>
      </c>
      <c r="AC25" s="685">
        <v>0</v>
      </c>
      <c r="AD25" s="685">
        <v>0</v>
      </c>
      <c r="AE25" s="685">
        <v>0</v>
      </c>
      <c r="AF25" s="685">
        <v>0</v>
      </c>
      <c r="AG25" s="685">
        <v>0</v>
      </c>
      <c r="AH25" s="685">
        <v>0</v>
      </c>
      <c r="AI25" s="685">
        <v>0</v>
      </c>
      <c r="AJ25" s="685">
        <v>0</v>
      </c>
      <c r="AL25" s="685" t="e">
        <f>SUM(O25:AJ25)</f>
        <v>#REF!</v>
      </c>
    </row>
    <row r="26" spans="1:49" ht="20.100000000000001" customHeight="1" x14ac:dyDescent="0.2">
      <c r="A26" s="703"/>
      <c r="G26" s="687"/>
      <c r="M26" s="699" t="e">
        <f>+M25+M24</f>
        <v>#REF!</v>
      </c>
      <c r="N26" s="694" t="s">
        <v>4</v>
      </c>
      <c r="O26" s="694" t="e">
        <f>SUM(O23:O25)</f>
        <v>#REF!</v>
      </c>
      <c r="P26" s="694" t="e">
        <f t="shared" ref="P26:AK26" si="14">SUM(P23:P25)</f>
        <v>#REF!</v>
      </c>
      <c r="Q26" s="694" t="e">
        <f t="shared" si="14"/>
        <v>#REF!</v>
      </c>
      <c r="R26" s="694" t="e">
        <f t="shared" si="14"/>
        <v>#REF!</v>
      </c>
      <c r="S26" s="694" t="e">
        <f t="shared" si="14"/>
        <v>#REF!</v>
      </c>
      <c r="T26" s="694" t="e">
        <f t="shared" si="14"/>
        <v>#REF!</v>
      </c>
      <c r="U26" s="694" t="e">
        <f t="shared" si="14"/>
        <v>#REF!</v>
      </c>
      <c r="V26" s="694" t="e">
        <f t="shared" si="14"/>
        <v>#REF!</v>
      </c>
      <c r="W26" s="694" t="e">
        <f t="shared" si="14"/>
        <v>#REF!</v>
      </c>
      <c r="X26" s="694" t="e">
        <f t="shared" si="14"/>
        <v>#REF!</v>
      </c>
      <c r="Y26" s="694" t="e">
        <f t="shared" si="14"/>
        <v>#REF!</v>
      </c>
      <c r="Z26" s="694" t="e">
        <f t="shared" si="14"/>
        <v>#REF!</v>
      </c>
      <c r="AA26" s="694" t="e">
        <f t="shared" si="14"/>
        <v>#REF!</v>
      </c>
      <c r="AB26" s="694" t="e">
        <f t="shared" si="14"/>
        <v>#REF!</v>
      </c>
      <c r="AC26" s="694" t="e">
        <f t="shared" si="14"/>
        <v>#REF!</v>
      </c>
      <c r="AD26" s="694" t="e">
        <f t="shared" si="14"/>
        <v>#REF!</v>
      </c>
      <c r="AE26" s="694" t="e">
        <f t="shared" si="14"/>
        <v>#REF!</v>
      </c>
      <c r="AF26" s="694" t="e">
        <f t="shared" si="14"/>
        <v>#REF!</v>
      </c>
      <c r="AG26" s="694" t="e">
        <f t="shared" si="14"/>
        <v>#REF!</v>
      </c>
      <c r="AH26" s="694" t="e">
        <f t="shared" si="14"/>
        <v>#REF!</v>
      </c>
      <c r="AI26" s="694" t="e">
        <f t="shared" si="14"/>
        <v>#REF!</v>
      </c>
      <c r="AJ26" s="694" t="e">
        <f t="shared" si="14"/>
        <v>#REF!</v>
      </c>
      <c r="AK26" s="694" t="e">
        <f t="shared" si="14"/>
        <v>#REF!</v>
      </c>
      <c r="AL26" s="685" t="e">
        <f>SUM(O26:AJ26)</f>
        <v>#REF!</v>
      </c>
    </row>
    <row r="27" spans="1:49" ht="20.100000000000001" customHeight="1" x14ac:dyDescent="0.2">
      <c r="A27" s="703"/>
      <c r="B27" s="687"/>
      <c r="C27" s="682"/>
      <c r="D27" s="682"/>
      <c r="E27" s="682"/>
      <c r="F27" s="682"/>
      <c r="AL27" s="685"/>
    </row>
    <row r="28" spans="1:49" ht="20.100000000000001" customHeight="1" x14ac:dyDescent="0.25">
      <c r="A28" s="703"/>
      <c r="C28" s="703"/>
      <c r="H28" s="687"/>
      <c r="I28" s="687"/>
      <c r="J28" s="687"/>
      <c r="K28" s="687"/>
      <c r="N28" s="688" t="s">
        <v>591</v>
      </c>
      <c r="O28" s="685"/>
      <c r="P28" s="685"/>
      <c r="Q28" s="685"/>
      <c r="R28" s="685"/>
      <c r="S28" s="685"/>
      <c r="T28" s="685"/>
      <c r="U28" s="712"/>
      <c r="V28" s="685"/>
      <c r="W28" s="685"/>
      <c r="X28" s="685"/>
      <c r="Y28" s="685"/>
      <c r="Z28" s="685"/>
      <c r="AA28" s="685"/>
      <c r="AB28" s="685"/>
      <c r="AC28" s="685"/>
      <c r="AD28" s="685"/>
      <c r="AE28" s="685"/>
      <c r="AF28" s="685"/>
      <c r="AG28" s="685"/>
      <c r="AH28" s="685"/>
      <c r="AI28" s="685"/>
      <c r="AJ28" s="685"/>
      <c r="AL28" s="685">
        <f>SUM(O28:AJ28)</f>
        <v>0</v>
      </c>
    </row>
    <row r="29" spans="1:49" ht="20.100000000000001" customHeight="1" x14ac:dyDescent="0.2">
      <c r="A29" s="703"/>
      <c r="B29" s="682"/>
      <c r="N29" s="685" t="s">
        <v>90</v>
      </c>
      <c r="O29" s="685"/>
      <c r="P29" s="685"/>
      <c r="Q29" s="685"/>
      <c r="R29" s="685"/>
      <c r="S29" s="685"/>
      <c r="T29" s="685"/>
      <c r="U29" s="685"/>
      <c r="V29" s="685"/>
      <c r="W29" s="685"/>
      <c r="X29" s="685"/>
      <c r="Y29" s="685"/>
      <c r="Z29" s="685"/>
      <c r="AA29" s="685"/>
      <c r="AB29" s="685"/>
      <c r="AC29" s="685"/>
      <c r="AD29" s="685"/>
      <c r="AE29" s="685"/>
      <c r="AF29" s="685"/>
      <c r="AG29" s="685"/>
      <c r="AH29" s="685"/>
      <c r="AI29" s="685"/>
      <c r="AJ29" s="685"/>
      <c r="AL29" s="685"/>
    </row>
    <row r="30" spans="1:49" ht="20.100000000000001" customHeight="1" x14ac:dyDescent="0.2">
      <c r="A30" s="703"/>
      <c r="B30" s="707"/>
      <c r="H30" s="687"/>
      <c r="I30" s="687"/>
      <c r="J30" s="687"/>
      <c r="K30" s="687"/>
      <c r="M30" s="679">
        <f>SUM(O30:Q30)</f>
        <v>0</v>
      </c>
      <c r="N30" s="685" t="s">
        <v>91</v>
      </c>
      <c r="O30" s="685">
        <f t="shared" ref="O30:Q31" si="15">+O24</f>
        <v>0</v>
      </c>
      <c r="P30" s="685">
        <f t="shared" si="15"/>
        <v>0</v>
      </c>
      <c r="Q30" s="685">
        <f t="shared" si="15"/>
        <v>0</v>
      </c>
      <c r="R30" s="685">
        <v>0</v>
      </c>
      <c r="S30" s="685"/>
      <c r="T30" s="685">
        <v>0</v>
      </c>
      <c r="U30" s="685">
        <v>0</v>
      </c>
      <c r="V30" s="685">
        <v>0</v>
      </c>
      <c r="W30" s="685">
        <v>0</v>
      </c>
      <c r="X30" s="685">
        <v>0</v>
      </c>
      <c r="Y30" s="685">
        <v>0</v>
      </c>
      <c r="Z30" s="685">
        <v>0</v>
      </c>
      <c r="AA30" s="685">
        <v>0</v>
      </c>
      <c r="AB30" s="685">
        <v>0</v>
      </c>
      <c r="AC30" s="685">
        <v>0</v>
      </c>
      <c r="AD30" s="685">
        <v>0</v>
      </c>
      <c r="AE30" s="685">
        <v>0</v>
      </c>
      <c r="AF30" s="685">
        <v>0</v>
      </c>
      <c r="AG30" s="685">
        <v>0</v>
      </c>
      <c r="AH30" s="685">
        <v>0</v>
      </c>
      <c r="AI30" s="685">
        <v>0</v>
      </c>
      <c r="AJ30" s="685">
        <v>0</v>
      </c>
      <c r="AL30" s="685">
        <f t="shared" ref="AL30:AL36" si="16">SUM(O30:AJ30)</f>
        <v>0</v>
      </c>
    </row>
    <row r="31" spans="1:49" ht="20.100000000000001" customHeight="1" x14ac:dyDescent="0.2">
      <c r="A31" s="703"/>
      <c r="B31" s="682"/>
      <c r="G31" s="687"/>
      <c r="K31" s="736" t="s">
        <v>594</v>
      </c>
      <c r="M31" s="679" t="e">
        <f>SUM(O31:R31)</f>
        <v>#REF!</v>
      </c>
      <c r="N31" s="685" t="s">
        <v>92</v>
      </c>
      <c r="O31" s="685" t="e">
        <f t="shared" si="15"/>
        <v>#REF!</v>
      </c>
      <c r="P31" s="685" t="e">
        <f t="shared" si="15"/>
        <v>#REF!</v>
      </c>
      <c r="Q31" s="685" t="e">
        <f t="shared" si="15"/>
        <v>#REF!</v>
      </c>
      <c r="R31" s="685" t="e">
        <f>R25</f>
        <v>#REF!</v>
      </c>
      <c r="S31" s="685">
        <v>0</v>
      </c>
      <c r="T31" s="685">
        <v>0</v>
      </c>
      <c r="U31" s="685">
        <v>0</v>
      </c>
      <c r="V31" s="685">
        <v>0</v>
      </c>
      <c r="W31" s="685">
        <v>0</v>
      </c>
      <c r="X31" s="685">
        <v>0</v>
      </c>
      <c r="Y31" s="685">
        <v>0</v>
      </c>
      <c r="Z31" s="685">
        <v>0</v>
      </c>
      <c r="AA31" s="685">
        <v>0</v>
      </c>
      <c r="AB31" s="685">
        <v>0</v>
      </c>
      <c r="AC31" s="685">
        <v>0</v>
      </c>
      <c r="AD31" s="685">
        <v>0</v>
      </c>
      <c r="AE31" s="685">
        <v>0</v>
      </c>
      <c r="AF31" s="685">
        <v>0</v>
      </c>
      <c r="AG31" s="685">
        <v>0</v>
      </c>
      <c r="AH31" s="685">
        <v>0</v>
      </c>
      <c r="AI31" s="685">
        <v>0</v>
      </c>
      <c r="AJ31" s="685">
        <v>0</v>
      </c>
      <c r="AL31" s="685" t="e">
        <f t="shared" si="16"/>
        <v>#REF!</v>
      </c>
    </row>
    <row r="32" spans="1:49" ht="20.100000000000001" customHeight="1" x14ac:dyDescent="0.2">
      <c r="A32" s="703"/>
      <c r="M32" s="6">
        <v>0.1</v>
      </c>
      <c r="N32" s="742" t="s">
        <v>592</v>
      </c>
      <c r="O32" s="685">
        <f>+AO15</f>
        <v>0</v>
      </c>
      <c r="P32" s="685">
        <v>0</v>
      </c>
      <c r="R32" s="685" t="e">
        <f>($M$25-SUM(Q33:$Q$33))*$M$32*11/12</f>
        <v>#REF!</v>
      </c>
      <c r="S32" s="685" t="e">
        <f>($M$25-SUM($Q33:R$33))*$M$32</f>
        <v>#REF!</v>
      </c>
      <c r="T32" s="685" t="e">
        <f>($M$25-SUM($Q33:S$33))*$M$32</f>
        <v>#REF!</v>
      </c>
      <c r="U32" s="685" t="e">
        <f>($M$25-SUM($Q33:T$33))*$M$32</f>
        <v>#REF!</v>
      </c>
      <c r="V32" s="685" t="e">
        <f>($M$25-SUM($Q33:U$33))*$M$32</f>
        <v>#REF!</v>
      </c>
      <c r="W32" s="685" t="e">
        <f>($M$25-SUM($Q33:V$33))*$M$32</f>
        <v>#REF!</v>
      </c>
      <c r="X32" s="685" t="e">
        <f>($M$25-SUM($Q33:W$33))*$M$32</f>
        <v>#REF!</v>
      </c>
      <c r="Y32" s="685" t="e">
        <f>($M$25-SUM($Q33:X$33))*$M$32</f>
        <v>#REF!</v>
      </c>
      <c r="Z32" s="685" t="e">
        <f>($M$25-SUM($Q33:Y$33))*$M$32</f>
        <v>#REF!</v>
      </c>
      <c r="AA32" s="685" t="e">
        <f>($M$25-SUM($Q33:Z$33))*$M$32</f>
        <v>#REF!</v>
      </c>
      <c r="AB32" s="685" t="e">
        <f>($M$25-SUM($Q33:AA$33))*$M$32</f>
        <v>#REF!</v>
      </c>
      <c r="AC32" s="685"/>
      <c r="AD32" s="685"/>
      <c r="AE32" s="685">
        <v>0</v>
      </c>
      <c r="AF32" s="685">
        <v>0</v>
      </c>
      <c r="AG32" s="685">
        <v>0</v>
      </c>
      <c r="AH32" s="685">
        <v>0</v>
      </c>
      <c r="AI32" s="685">
        <v>0</v>
      </c>
      <c r="AJ32" s="685">
        <v>0</v>
      </c>
      <c r="AL32" s="685" t="e">
        <f t="shared" si="16"/>
        <v>#REF!</v>
      </c>
    </row>
    <row r="33" spans="1:41" ht="20.100000000000001" customHeight="1" x14ac:dyDescent="0.2">
      <c r="A33" s="703"/>
      <c r="B33" s="687"/>
      <c r="C33" s="687"/>
      <c r="D33" s="687"/>
      <c r="E33" s="687"/>
      <c r="G33" s="687"/>
      <c r="M33" s="679" t="e">
        <f>SUM(P33:AB33)</f>
        <v>#REF!</v>
      </c>
      <c r="N33" s="742" t="s">
        <v>593</v>
      </c>
      <c r="O33" s="685">
        <f>+AO18</f>
        <v>0</v>
      </c>
      <c r="P33" s="685">
        <v>0</v>
      </c>
      <c r="Q33" s="685" t="e">
        <f>+$M$31/8*0</f>
        <v>#REF!</v>
      </c>
      <c r="R33" s="685"/>
      <c r="S33" s="685" t="e">
        <f>+$M$31/10</f>
        <v>#REF!</v>
      </c>
      <c r="T33" s="685" t="e">
        <f t="shared" ref="T33:AB33" si="17">+$M$31/10</f>
        <v>#REF!</v>
      </c>
      <c r="U33" s="685" t="e">
        <f t="shared" si="17"/>
        <v>#REF!</v>
      </c>
      <c r="V33" s="685" t="e">
        <f t="shared" si="17"/>
        <v>#REF!</v>
      </c>
      <c r="W33" s="685" t="e">
        <f t="shared" si="17"/>
        <v>#REF!</v>
      </c>
      <c r="X33" s="685" t="e">
        <f t="shared" si="17"/>
        <v>#REF!</v>
      </c>
      <c r="Y33" s="685" t="e">
        <f t="shared" si="17"/>
        <v>#REF!</v>
      </c>
      <c r="Z33" s="685" t="e">
        <f t="shared" si="17"/>
        <v>#REF!</v>
      </c>
      <c r="AA33" s="685" t="e">
        <f t="shared" si="17"/>
        <v>#REF!</v>
      </c>
      <c r="AB33" s="685" t="e">
        <f t="shared" si="17"/>
        <v>#REF!</v>
      </c>
      <c r="AC33" s="685">
        <v>0</v>
      </c>
      <c r="AD33" s="685">
        <v>0</v>
      </c>
      <c r="AE33" s="685">
        <v>0</v>
      </c>
      <c r="AF33" s="685">
        <v>0</v>
      </c>
      <c r="AG33" s="685">
        <v>0</v>
      </c>
      <c r="AH33" s="685">
        <v>0</v>
      </c>
      <c r="AI33" s="685">
        <v>0</v>
      </c>
      <c r="AJ33" s="685">
        <v>0</v>
      </c>
      <c r="AL33" s="685" t="e">
        <f t="shared" si="16"/>
        <v>#REF!</v>
      </c>
    </row>
    <row r="34" spans="1:41" ht="20.100000000000001" customHeight="1" x14ac:dyDescent="0.2">
      <c r="A34" s="703"/>
      <c r="N34" s="708" t="s">
        <v>97</v>
      </c>
      <c r="O34" s="708">
        <f>+O15</f>
        <v>0</v>
      </c>
      <c r="P34" s="708" t="e">
        <f t="shared" ref="P34:AK34" si="18">+P15</f>
        <v>#REF!</v>
      </c>
      <c r="Q34" s="708" t="e">
        <f t="shared" si="18"/>
        <v>#REF!</v>
      </c>
      <c r="R34" s="708" t="e">
        <f t="shared" si="18"/>
        <v>#REF!</v>
      </c>
      <c r="S34" s="708" t="e">
        <f t="shared" si="18"/>
        <v>#REF!</v>
      </c>
      <c r="T34" s="708" t="e">
        <f t="shared" si="18"/>
        <v>#REF!</v>
      </c>
      <c r="U34" s="708" t="e">
        <f t="shared" si="18"/>
        <v>#REF!</v>
      </c>
      <c r="V34" s="708" t="e">
        <f t="shared" si="18"/>
        <v>#REF!</v>
      </c>
      <c r="W34" s="708" t="e">
        <f t="shared" si="18"/>
        <v>#REF!</v>
      </c>
      <c r="X34" s="708" t="e">
        <f t="shared" si="18"/>
        <v>#REF!</v>
      </c>
      <c r="Y34" s="708" t="e">
        <f t="shared" si="18"/>
        <v>#REF!</v>
      </c>
      <c r="Z34" s="708" t="e">
        <f t="shared" si="18"/>
        <v>#REF!</v>
      </c>
      <c r="AA34" s="708" t="e">
        <f t="shared" si="18"/>
        <v>#REF!</v>
      </c>
      <c r="AB34" s="708" t="e">
        <f t="shared" si="18"/>
        <v>#REF!</v>
      </c>
      <c r="AC34" s="708" t="e">
        <f t="shared" si="18"/>
        <v>#REF!</v>
      </c>
      <c r="AD34" s="708" t="e">
        <f t="shared" si="18"/>
        <v>#REF!</v>
      </c>
      <c r="AE34" s="708" t="e">
        <f t="shared" si="18"/>
        <v>#REF!</v>
      </c>
      <c r="AF34" s="708" t="e">
        <f t="shared" si="18"/>
        <v>#REF!</v>
      </c>
      <c r="AG34" s="708" t="e">
        <f t="shared" si="18"/>
        <v>#REF!</v>
      </c>
      <c r="AH34" s="708" t="e">
        <f>+AH15</f>
        <v>#REF!</v>
      </c>
      <c r="AI34" s="708" t="e">
        <f t="shared" si="18"/>
        <v>#REF!</v>
      </c>
      <c r="AJ34" s="708" t="e">
        <f t="shared" si="18"/>
        <v>#REF!</v>
      </c>
      <c r="AK34" s="708" t="e">
        <f t="shared" si="18"/>
        <v>#REF!</v>
      </c>
      <c r="AL34" s="685" t="e">
        <f t="shared" si="16"/>
        <v>#REF!</v>
      </c>
    </row>
    <row r="35" spans="1:41" ht="20.100000000000001" customHeight="1" x14ac:dyDescent="0.25">
      <c r="A35" s="703"/>
      <c r="B35" s="707"/>
      <c r="C35" s="682"/>
      <c r="F35" s="713"/>
      <c r="N35" s="685" t="s">
        <v>4</v>
      </c>
      <c r="O35" s="685" t="e">
        <f t="shared" ref="O35:AJ35" si="19">SUM(O29:O34)</f>
        <v>#REF!</v>
      </c>
      <c r="P35" s="685" t="e">
        <f t="shared" si="19"/>
        <v>#REF!</v>
      </c>
      <c r="Q35" s="685" t="e">
        <f t="shared" si="19"/>
        <v>#REF!</v>
      </c>
      <c r="R35" s="685" t="e">
        <f t="shared" si="19"/>
        <v>#REF!</v>
      </c>
      <c r="S35" s="685" t="e">
        <f t="shared" si="19"/>
        <v>#REF!</v>
      </c>
      <c r="T35" s="685" t="e">
        <f t="shared" si="19"/>
        <v>#REF!</v>
      </c>
      <c r="U35" s="685" t="e">
        <f t="shared" si="19"/>
        <v>#REF!</v>
      </c>
      <c r="V35" s="685" t="e">
        <f t="shared" si="19"/>
        <v>#REF!</v>
      </c>
      <c r="W35" s="685" t="e">
        <f t="shared" si="19"/>
        <v>#REF!</v>
      </c>
      <c r="X35" s="685" t="e">
        <f t="shared" si="19"/>
        <v>#REF!</v>
      </c>
      <c r="Y35" s="685" t="e">
        <f t="shared" si="19"/>
        <v>#REF!</v>
      </c>
      <c r="Z35" s="685" t="e">
        <f t="shared" si="19"/>
        <v>#REF!</v>
      </c>
      <c r="AA35" s="685" t="e">
        <f t="shared" si="19"/>
        <v>#REF!</v>
      </c>
      <c r="AB35" s="685" t="e">
        <f t="shared" si="19"/>
        <v>#REF!</v>
      </c>
      <c r="AC35" s="685" t="e">
        <f t="shared" si="19"/>
        <v>#REF!</v>
      </c>
      <c r="AD35" s="685" t="e">
        <f t="shared" si="19"/>
        <v>#REF!</v>
      </c>
      <c r="AE35" s="685" t="e">
        <f t="shared" si="19"/>
        <v>#REF!</v>
      </c>
      <c r="AF35" s="685" t="e">
        <f t="shared" si="19"/>
        <v>#REF!</v>
      </c>
      <c r="AG35" s="685" t="e">
        <f t="shared" si="19"/>
        <v>#REF!</v>
      </c>
      <c r="AH35" s="685" t="e">
        <f t="shared" si="19"/>
        <v>#REF!</v>
      </c>
      <c r="AI35" s="685" t="e">
        <f t="shared" si="19"/>
        <v>#REF!</v>
      </c>
      <c r="AJ35" s="685" t="e">
        <f t="shared" si="19"/>
        <v>#REF!</v>
      </c>
      <c r="AK35" s="685" t="e">
        <f>SUM(AK29:AK34)</f>
        <v>#REF!</v>
      </c>
      <c r="AL35" s="685" t="e">
        <f t="shared" si="16"/>
        <v>#REF!</v>
      </c>
    </row>
    <row r="36" spans="1:41" ht="20.100000000000001" customHeight="1" thickBot="1" x14ac:dyDescent="0.25">
      <c r="N36" s="714" t="s">
        <v>98</v>
      </c>
      <c r="O36" s="715" t="e">
        <f t="shared" ref="O36:AJ36" si="20">+O26-O35</f>
        <v>#REF!</v>
      </c>
      <c r="P36" s="715" t="e">
        <f t="shared" si="20"/>
        <v>#REF!</v>
      </c>
      <c r="Q36" s="715" t="e">
        <f t="shared" si="20"/>
        <v>#REF!</v>
      </c>
      <c r="R36" s="715" t="e">
        <f t="shared" si="20"/>
        <v>#REF!</v>
      </c>
      <c r="S36" s="715" t="e">
        <f t="shared" si="20"/>
        <v>#REF!</v>
      </c>
      <c r="T36" s="715" t="e">
        <f t="shared" si="20"/>
        <v>#REF!</v>
      </c>
      <c r="U36" s="715" t="e">
        <f t="shared" si="20"/>
        <v>#REF!</v>
      </c>
      <c r="V36" s="715" t="e">
        <f t="shared" si="20"/>
        <v>#REF!</v>
      </c>
      <c r="W36" s="715" t="e">
        <f t="shared" si="20"/>
        <v>#REF!</v>
      </c>
      <c r="X36" s="715" t="e">
        <f t="shared" si="20"/>
        <v>#REF!</v>
      </c>
      <c r="Y36" s="715" t="e">
        <f t="shared" si="20"/>
        <v>#REF!</v>
      </c>
      <c r="Z36" s="715" t="e">
        <f t="shared" si="20"/>
        <v>#REF!</v>
      </c>
      <c r="AA36" s="715" t="e">
        <f t="shared" si="20"/>
        <v>#REF!</v>
      </c>
      <c r="AB36" s="715" t="e">
        <f t="shared" si="20"/>
        <v>#REF!</v>
      </c>
      <c r="AC36" s="715" t="e">
        <f t="shared" si="20"/>
        <v>#REF!</v>
      </c>
      <c r="AD36" s="715" t="e">
        <f t="shared" si="20"/>
        <v>#REF!</v>
      </c>
      <c r="AE36" s="715" t="e">
        <f t="shared" si="20"/>
        <v>#REF!</v>
      </c>
      <c r="AF36" s="715" t="e">
        <f t="shared" si="20"/>
        <v>#REF!</v>
      </c>
      <c r="AG36" s="715" t="e">
        <f t="shared" si="20"/>
        <v>#REF!</v>
      </c>
      <c r="AH36" s="715" t="e">
        <f t="shared" si="20"/>
        <v>#REF!</v>
      </c>
      <c r="AI36" s="715" t="e">
        <f t="shared" si="20"/>
        <v>#REF!</v>
      </c>
      <c r="AJ36" s="715" t="e">
        <f t="shared" si="20"/>
        <v>#REF!</v>
      </c>
      <c r="AK36" s="715" t="e">
        <f>+AK26-AK35</f>
        <v>#REF!</v>
      </c>
      <c r="AL36" s="685" t="e">
        <f t="shared" si="16"/>
        <v>#REF!</v>
      </c>
    </row>
    <row r="37" spans="1:41" ht="20.100000000000001" customHeight="1" thickBot="1" x14ac:dyDescent="0.25">
      <c r="N37" s="716" t="s">
        <v>99</v>
      </c>
      <c r="O37" s="717" t="e">
        <f>SUM($O$36:O36)</f>
        <v>#REF!</v>
      </c>
      <c r="P37" s="717" t="e">
        <f>SUM($O$36:P36)</f>
        <v>#REF!</v>
      </c>
      <c r="Q37" s="717" t="e">
        <f>SUM($O$36:Q36)</f>
        <v>#REF!</v>
      </c>
      <c r="R37" s="717" t="e">
        <f>SUM($O$36:R36)</f>
        <v>#REF!</v>
      </c>
      <c r="S37" s="717" t="e">
        <f>SUM($O$36:S36)</f>
        <v>#REF!</v>
      </c>
      <c r="T37" s="717" t="e">
        <f>SUM($O$36:T36)</f>
        <v>#REF!</v>
      </c>
      <c r="U37" s="717" t="e">
        <f>SUM($O$36:U36)</f>
        <v>#REF!</v>
      </c>
      <c r="V37" s="717" t="e">
        <f>SUM($O$36:V36)</f>
        <v>#REF!</v>
      </c>
      <c r="W37" s="717" t="e">
        <f>SUM($O$36:W36)</f>
        <v>#REF!</v>
      </c>
      <c r="X37" s="717" t="e">
        <f>SUM($O$36:X36)</f>
        <v>#REF!</v>
      </c>
      <c r="Y37" s="717" t="e">
        <f>SUM($O$36:Y36)</f>
        <v>#REF!</v>
      </c>
      <c r="Z37" s="717" t="e">
        <f>SUM($O$36:Z36)</f>
        <v>#REF!</v>
      </c>
      <c r="AA37" s="717" t="e">
        <f>SUM($O$36:AA36)</f>
        <v>#REF!</v>
      </c>
      <c r="AB37" s="717" t="e">
        <f>SUM($O$36:AB36)</f>
        <v>#REF!</v>
      </c>
      <c r="AC37" s="717" t="e">
        <f>SUM($O$36:AC36)</f>
        <v>#REF!</v>
      </c>
      <c r="AD37" s="717" t="e">
        <f>SUM($O$36:AD36)</f>
        <v>#REF!</v>
      </c>
      <c r="AE37" s="717" t="e">
        <f>SUM($O$36:AE36)</f>
        <v>#REF!</v>
      </c>
      <c r="AF37" s="717" t="e">
        <f>SUM($O$36:AF36)</f>
        <v>#REF!</v>
      </c>
      <c r="AG37" s="717" t="e">
        <f>SUM($O$36:AG36)</f>
        <v>#REF!</v>
      </c>
      <c r="AH37" s="717" t="e">
        <f>SUM($O$36:AH36)</f>
        <v>#REF!</v>
      </c>
      <c r="AI37" s="717" t="e">
        <f>SUM($O$36:AI36)</f>
        <v>#REF!</v>
      </c>
      <c r="AJ37" s="717" t="e">
        <f>SUM($O$36:AJ36)</f>
        <v>#REF!</v>
      </c>
      <c r="AK37" s="717" t="e">
        <f>SUM($O$36:AK36)</f>
        <v>#REF!</v>
      </c>
      <c r="AL37" s="685"/>
    </row>
    <row r="38" spans="1:41" ht="20.100000000000001" customHeight="1" x14ac:dyDescent="0.2">
      <c r="W38" s="679">
        <f>+W19</f>
        <v>0</v>
      </c>
      <c r="AI38" s="679">
        <f>+W38</f>
        <v>0</v>
      </c>
    </row>
    <row r="39" spans="1:41" ht="20.100000000000001" customHeight="1" x14ac:dyDescent="0.25">
      <c r="N39" s="680" t="s">
        <v>101</v>
      </c>
      <c r="AL39" s="685"/>
    </row>
    <row r="40" spans="1:41" ht="20.100000000000001" customHeight="1" x14ac:dyDescent="0.25">
      <c r="B40" s="682"/>
      <c r="N40" s="681"/>
      <c r="V40" s="679">
        <f>+V21</f>
        <v>0</v>
      </c>
      <c r="AI40" s="679">
        <f>+V40</f>
        <v>0</v>
      </c>
      <c r="AL40" s="685"/>
    </row>
    <row r="41" spans="1:41" ht="20.100000000000001" customHeight="1" x14ac:dyDescent="0.2">
      <c r="B41" s="687"/>
      <c r="C41" s="687"/>
      <c r="D41" s="687"/>
      <c r="E41" s="687"/>
      <c r="F41" s="687"/>
      <c r="G41" s="687"/>
      <c r="N41" s="718" t="s">
        <v>3</v>
      </c>
      <c r="O41" s="692" t="str">
        <f t="shared" ref="O41:AI41" si="21">+O9</f>
        <v>Yr 1</v>
      </c>
      <c r="P41" s="692" t="str">
        <f t="shared" si="21"/>
        <v>Yr 2</v>
      </c>
      <c r="Q41" s="692" t="str">
        <f t="shared" si="21"/>
        <v>Yr 3</v>
      </c>
      <c r="R41" s="692" t="str">
        <f t="shared" si="21"/>
        <v>Yr 4</v>
      </c>
      <c r="S41" s="692" t="str">
        <f t="shared" si="21"/>
        <v>Yr 5</v>
      </c>
      <c r="T41" s="692" t="str">
        <f t="shared" si="21"/>
        <v>Yr 6</v>
      </c>
      <c r="U41" s="692" t="str">
        <f t="shared" si="21"/>
        <v>Yr 7</v>
      </c>
      <c r="V41" s="692" t="str">
        <f t="shared" si="21"/>
        <v>Yr 8</v>
      </c>
      <c r="W41" s="692" t="str">
        <f t="shared" si="21"/>
        <v>Yr 9</v>
      </c>
      <c r="X41" s="692" t="str">
        <f t="shared" si="21"/>
        <v>Yr 10</v>
      </c>
      <c r="Y41" s="692" t="str">
        <f t="shared" si="21"/>
        <v>Yr 11</v>
      </c>
      <c r="Z41" s="692" t="str">
        <f t="shared" si="21"/>
        <v>Yr 12</v>
      </c>
      <c r="AA41" s="692" t="str">
        <f t="shared" si="21"/>
        <v>Yr 13</v>
      </c>
      <c r="AB41" s="692" t="str">
        <f t="shared" si="21"/>
        <v>Yr 14</v>
      </c>
      <c r="AC41" s="692" t="str">
        <f t="shared" si="21"/>
        <v>Yr 15</v>
      </c>
      <c r="AD41" s="692" t="str">
        <f t="shared" si="21"/>
        <v>Yr 16</v>
      </c>
      <c r="AE41" s="692" t="str">
        <f t="shared" si="21"/>
        <v>Yr 17</v>
      </c>
      <c r="AF41" s="692" t="str">
        <f t="shared" si="21"/>
        <v>Yr 18</v>
      </c>
      <c r="AG41" s="692" t="str">
        <f t="shared" si="21"/>
        <v>Yr 19</v>
      </c>
      <c r="AH41" s="692" t="str">
        <f>+AH9</f>
        <v>Yr 20</v>
      </c>
      <c r="AI41" s="692" t="str">
        <f t="shared" si="21"/>
        <v>Yr 21</v>
      </c>
      <c r="AJ41" s="692" t="str">
        <f>+AJ9</f>
        <v>Yr 22</v>
      </c>
      <c r="AK41" s="692" t="str">
        <f>+AK9</f>
        <v>Yr 23</v>
      </c>
      <c r="AL41" s="719" t="s">
        <v>36</v>
      </c>
      <c r="AM41" s="682" t="s">
        <v>581</v>
      </c>
      <c r="AN41" s="682" t="s">
        <v>581</v>
      </c>
      <c r="AO41" s="682" t="s">
        <v>33</v>
      </c>
    </row>
    <row r="42" spans="1:41" ht="20.100000000000001" customHeight="1" x14ac:dyDescent="0.25">
      <c r="M42" s="713" t="s">
        <v>28</v>
      </c>
      <c r="N42" s="743" t="s">
        <v>104</v>
      </c>
      <c r="O42" s="720"/>
      <c r="P42" s="720"/>
      <c r="Q42" s="720"/>
      <c r="R42" s="720"/>
      <c r="S42" s="720"/>
      <c r="T42" s="720"/>
      <c r="U42" s="720"/>
      <c r="V42" s="720"/>
      <c r="W42" s="720"/>
      <c r="X42" s="720"/>
      <c r="Y42" s="720"/>
      <c r="Z42" s="720"/>
      <c r="AA42" s="720"/>
      <c r="AB42" s="720"/>
      <c r="AC42" s="720"/>
      <c r="AD42" s="720"/>
      <c r="AE42" s="720"/>
      <c r="AF42" s="720"/>
      <c r="AG42" s="720"/>
      <c r="AH42" s="720"/>
      <c r="AI42" s="720"/>
      <c r="AJ42" s="720"/>
      <c r="AL42" s="719"/>
      <c r="AM42" s="682"/>
      <c r="AN42" s="682"/>
      <c r="AO42" s="682"/>
    </row>
    <row r="43" spans="1:41" ht="20.100000000000001" customHeight="1" x14ac:dyDescent="0.2">
      <c r="B43" s="687"/>
      <c r="C43" s="687"/>
      <c r="D43" s="687"/>
      <c r="E43" s="687"/>
      <c r="F43" s="687"/>
      <c r="G43" s="687"/>
      <c r="K43" s="679" t="e">
        <f>+C15</f>
        <v>#REF!</v>
      </c>
      <c r="L43" s="679" t="e">
        <f>SUM(O43:R43)</f>
        <v>#REF!</v>
      </c>
      <c r="M43" s="703">
        <v>1</v>
      </c>
      <c r="N43" s="736" t="s">
        <v>105</v>
      </c>
      <c r="O43" s="679" t="e">
        <f>+C10</f>
        <v>#REF!</v>
      </c>
      <c r="P43" s="679" t="e">
        <f>+C11</f>
        <v>#REF!</v>
      </c>
      <c r="Q43" s="679" t="e">
        <f>+C12</f>
        <v>#REF!</v>
      </c>
      <c r="R43" s="679" t="e">
        <f>C13+C14</f>
        <v>#REF!</v>
      </c>
      <c r="S43" s="679">
        <f t="shared" ref="S43:AJ43" si="22">+S30+S31</f>
        <v>0</v>
      </c>
      <c r="T43" s="679">
        <f t="shared" si="22"/>
        <v>0</v>
      </c>
      <c r="U43" s="679">
        <f t="shared" si="22"/>
        <v>0</v>
      </c>
      <c r="V43" s="679">
        <f t="shared" si="22"/>
        <v>0</v>
      </c>
      <c r="W43" s="679">
        <f t="shared" si="22"/>
        <v>0</v>
      </c>
      <c r="X43" s="679">
        <f t="shared" si="22"/>
        <v>0</v>
      </c>
      <c r="Y43" s="679">
        <f t="shared" si="22"/>
        <v>0</v>
      </c>
      <c r="Z43" s="679">
        <f t="shared" si="22"/>
        <v>0</v>
      </c>
      <c r="AA43" s="679">
        <f t="shared" si="22"/>
        <v>0</v>
      </c>
      <c r="AB43" s="679">
        <f t="shared" si="22"/>
        <v>0</v>
      </c>
      <c r="AC43" s="679">
        <f t="shared" si="22"/>
        <v>0</v>
      </c>
      <c r="AD43" s="679">
        <f t="shared" si="22"/>
        <v>0</v>
      </c>
      <c r="AE43" s="679">
        <f t="shared" si="22"/>
        <v>0</v>
      </c>
      <c r="AF43" s="679">
        <f t="shared" si="22"/>
        <v>0</v>
      </c>
      <c r="AG43" s="679">
        <f t="shared" si="22"/>
        <v>0</v>
      </c>
      <c r="AH43" s="679">
        <f>+AH30+AH31</f>
        <v>0</v>
      </c>
      <c r="AI43" s="679">
        <f t="shared" si="22"/>
        <v>0</v>
      </c>
      <c r="AJ43" s="679">
        <f t="shared" si="22"/>
        <v>0</v>
      </c>
      <c r="AL43" s="685"/>
    </row>
    <row r="44" spans="1:41" ht="20.100000000000001" customHeight="1" x14ac:dyDescent="0.2">
      <c r="M44" s="703">
        <v>2</v>
      </c>
      <c r="N44" s="679" t="s">
        <v>97</v>
      </c>
      <c r="O44" s="679">
        <f t="shared" ref="O44:AJ44" si="23">+O15</f>
        <v>0</v>
      </c>
      <c r="P44" s="679" t="e">
        <f t="shared" si="23"/>
        <v>#REF!</v>
      </c>
      <c r="Q44" s="679" t="e">
        <f t="shared" si="23"/>
        <v>#REF!</v>
      </c>
      <c r="R44" s="679" t="e">
        <f t="shared" si="23"/>
        <v>#REF!</v>
      </c>
      <c r="S44" s="679" t="e">
        <f t="shared" si="23"/>
        <v>#REF!</v>
      </c>
      <c r="T44" s="679" t="e">
        <f t="shared" si="23"/>
        <v>#REF!</v>
      </c>
      <c r="U44" s="679" t="e">
        <f t="shared" si="23"/>
        <v>#REF!</v>
      </c>
      <c r="V44" s="679" t="e">
        <f t="shared" si="23"/>
        <v>#REF!</v>
      </c>
      <c r="W44" s="679" t="e">
        <f t="shared" si="23"/>
        <v>#REF!</v>
      </c>
      <c r="X44" s="679" t="e">
        <f t="shared" si="23"/>
        <v>#REF!</v>
      </c>
      <c r="Y44" s="679" t="e">
        <f t="shared" si="23"/>
        <v>#REF!</v>
      </c>
      <c r="Z44" s="679" t="e">
        <f t="shared" si="23"/>
        <v>#REF!</v>
      </c>
      <c r="AA44" s="679" t="e">
        <f t="shared" si="23"/>
        <v>#REF!</v>
      </c>
      <c r="AB44" s="679" t="e">
        <f t="shared" si="23"/>
        <v>#REF!</v>
      </c>
      <c r="AC44" s="679" t="e">
        <f t="shared" si="23"/>
        <v>#REF!</v>
      </c>
      <c r="AD44" s="679" t="e">
        <f t="shared" si="23"/>
        <v>#REF!</v>
      </c>
      <c r="AE44" s="679" t="e">
        <f t="shared" si="23"/>
        <v>#REF!</v>
      </c>
      <c r="AF44" s="679" t="e">
        <f t="shared" si="23"/>
        <v>#REF!</v>
      </c>
      <c r="AG44" s="679" t="e">
        <f t="shared" si="23"/>
        <v>#REF!</v>
      </c>
      <c r="AH44" s="679" t="e">
        <f>+AH15</f>
        <v>#REF!</v>
      </c>
      <c r="AI44" s="679" t="e">
        <f t="shared" si="23"/>
        <v>#REF!</v>
      </c>
      <c r="AJ44" s="679" t="e">
        <f t="shared" si="23"/>
        <v>#REF!</v>
      </c>
      <c r="AK44" s="679" t="e">
        <f>+AK15</f>
        <v>#REF!</v>
      </c>
      <c r="AL44" s="685"/>
    </row>
    <row r="45" spans="1:41" ht="20.100000000000001" customHeight="1" x14ac:dyDescent="0.25">
      <c r="B45" s="680"/>
      <c r="M45" s="703"/>
      <c r="N45" s="721" t="s">
        <v>582</v>
      </c>
      <c r="O45" s="679" t="e">
        <f t="shared" ref="O45:AI45" si="24">SUM(O43:O44)</f>
        <v>#REF!</v>
      </c>
      <c r="P45" s="679" t="e">
        <f t="shared" si="24"/>
        <v>#REF!</v>
      </c>
      <c r="Q45" s="679" t="e">
        <f t="shared" si="24"/>
        <v>#REF!</v>
      </c>
      <c r="R45" s="679" t="e">
        <f t="shared" si="24"/>
        <v>#REF!</v>
      </c>
      <c r="S45" s="679" t="e">
        <f t="shared" si="24"/>
        <v>#REF!</v>
      </c>
      <c r="T45" s="679" t="e">
        <f t="shared" si="24"/>
        <v>#REF!</v>
      </c>
      <c r="U45" s="679" t="e">
        <f t="shared" si="24"/>
        <v>#REF!</v>
      </c>
      <c r="V45" s="679" t="e">
        <f t="shared" si="24"/>
        <v>#REF!</v>
      </c>
      <c r="W45" s="679" t="e">
        <f t="shared" si="24"/>
        <v>#REF!</v>
      </c>
      <c r="X45" s="679" t="e">
        <f t="shared" si="24"/>
        <v>#REF!</v>
      </c>
      <c r="Y45" s="679" t="e">
        <f t="shared" si="24"/>
        <v>#REF!</v>
      </c>
      <c r="Z45" s="679" t="e">
        <f t="shared" si="24"/>
        <v>#REF!</v>
      </c>
      <c r="AA45" s="679" t="e">
        <f t="shared" si="24"/>
        <v>#REF!</v>
      </c>
      <c r="AB45" s="679" t="e">
        <f t="shared" si="24"/>
        <v>#REF!</v>
      </c>
      <c r="AC45" s="679" t="e">
        <f t="shared" si="24"/>
        <v>#REF!</v>
      </c>
      <c r="AD45" s="679" t="e">
        <f t="shared" si="24"/>
        <v>#REF!</v>
      </c>
      <c r="AE45" s="679" t="e">
        <f t="shared" si="24"/>
        <v>#REF!</v>
      </c>
      <c r="AF45" s="679" t="e">
        <f t="shared" si="24"/>
        <v>#REF!</v>
      </c>
      <c r="AG45" s="679" t="e">
        <f t="shared" si="24"/>
        <v>#REF!</v>
      </c>
      <c r="AH45" s="679" t="e">
        <f t="shared" si="24"/>
        <v>#REF!</v>
      </c>
      <c r="AI45" s="679" t="e">
        <f t="shared" si="24"/>
        <v>#REF!</v>
      </c>
      <c r="AJ45" s="679" t="e">
        <f>SUM(AJ43:AJ44)</f>
        <v>#REF!</v>
      </c>
      <c r="AK45" s="679" t="e">
        <f>SUM(AK43:AK44)</f>
        <v>#REF!</v>
      </c>
      <c r="AL45" s="685"/>
    </row>
    <row r="46" spans="1:41" ht="20.100000000000001" customHeight="1" x14ac:dyDescent="0.25">
      <c r="B46" s="682"/>
      <c r="C46" s="682"/>
      <c r="F46" s="682"/>
      <c r="M46" s="713" t="s">
        <v>29</v>
      </c>
      <c r="N46" s="743" t="s">
        <v>106</v>
      </c>
      <c r="AL46" s="685"/>
    </row>
    <row r="47" spans="1:41" ht="20.100000000000001" customHeight="1" x14ac:dyDescent="0.2">
      <c r="C47" s="682"/>
      <c r="F47" s="684"/>
      <c r="M47" s="703">
        <v>1</v>
      </c>
      <c r="N47" s="679" t="s">
        <v>107</v>
      </c>
      <c r="O47" s="679">
        <f>+O23</f>
        <v>0</v>
      </c>
      <c r="P47" s="679" t="e">
        <f t="shared" ref="P47:AJ47" si="25">+P23</f>
        <v>#REF!</v>
      </c>
      <c r="Q47" s="679" t="e">
        <f t="shared" si="25"/>
        <v>#REF!</v>
      </c>
      <c r="R47" s="679" t="e">
        <f t="shared" si="25"/>
        <v>#REF!</v>
      </c>
      <c r="S47" s="679" t="e">
        <f t="shared" si="25"/>
        <v>#REF!</v>
      </c>
      <c r="T47" s="679" t="e">
        <f t="shared" si="25"/>
        <v>#REF!</v>
      </c>
      <c r="U47" s="679" t="e">
        <f t="shared" si="25"/>
        <v>#REF!</v>
      </c>
      <c r="V47" s="679" t="e">
        <f t="shared" si="25"/>
        <v>#REF!</v>
      </c>
      <c r="W47" s="679" t="e">
        <f t="shared" si="25"/>
        <v>#REF!</v>
      </c>
      <c r="X47" s="679" t="e">
        <f t="shared" si="25"/>
        <v>#REF!</v>
      </c>
      <c r="Y47" s="679" t="e">
        <f t="shared" si="25"/>
        <v>#REF!</v>
      </c>
      <c r="Z47" s="679" t="e">
        <f t="shared" si="25"/>
        <v>#REF!</v>
      </c>
      <c r="AA47" s="679" t="e">
        <f t="shared" si="25"/>
        <v>#REF!</v>
      </c>
      <c r="AB47" s="679" t="e">
        <f t="shared" si="25"/>
        <v>#REF!</v>
      </c>
      <c r="AC47" s="679" t="e">
        <f t="shared" si="25"/>
        <v>#REF!</v>
      </c>
      <c r="AD47" s="679" t="e">
        <f t="shared" si="25"/>
        <v>#REF!</v>
      </c>
      <c r="AE47" s="679" t="e">
        <f t="shared" si="25"/>
        <v>#REF!</v>
      </c>
      <c r="AF47" s="679" t="e">
        <f t="shared" si="25"/>
        <v>#REF!</v>
      </c>
      <c r="AG47" s="679" t="e">
        <f t="shared" si="25"/>
        <v>#REF!</v>
      </c>
      <c r="AH47" s="679" t="e">
        <f>+AH23</f>
        <v>#REF!</v>
      </c>
      <c r="AI47" s="679" t="e">
        <f t="shared" si="25"/>
        <v>#REF!</v>
      </c>
      <c r="AJ47" s="679" t="e">
        <f t="shared" si="25"/>
        <v>#REF!</v>
      </c>
      <c r="AK47" s="679" t="e">
        <f>+AK23</f>
        <v>#REF!</v>
      </c>
      <c r="AL47" s="685"/>
    </row>
    <row r="48" spans="1:41" ht="20.100000000000001" customHeight="1" x14ac:dyDescent="0.2">
      <c r="C48" s="682"/>
      <c r="F48" s="684"/>
      <c r="L48" s="679" t="e">
        <f>SUM(O48:V48)</f>
        <v>#REF!</v>
      </c>
      <c r="M48" s="703">
        <v>2</v>
      </c>
      <c r="N48" s="736" t="s">
        <v>588</v>
      </c>
      <c r="R48" s="736" t="e">
        <f>$J$15/2</f>
        <v>#REF!</v>
      </c>
      <c r="S48" s="736" t="e">
        <f>$J$15/2</f>
        <v>#REF!</v>
      </c>
      <c r="AK48" s="679" t="e">
        <f>AN12*0.05</f>
        <v>#REF!</v>
      </c>
      <c r="AL48" s="685"/>
    </row>
    <row r="49" spans="2:40" ht="20.100000000000001" customHeight="1" x14ac:dyDescent="0.2">
      <c r="C49" s="682"/>
      <c r="F49" s="684"/>
      <c r="M49" s="703"/>
      <c r="N49" s="721" t="s">
        <v>583</v>
      </c>
      <c r="O49" s="679">
        <f>SUM(O47:O48)</f>
        <v>0</v>
      </c>
      <c r="P49" s="679" t="e">
        <f t="shared" ref="P49:AJ49" si="26">SUM(P47:P48)</f>
        <v>#REF!</v>
      </c>
      <c r="Q49" s="679" t="e">
        <f t="shared" si="26"/>
        <v>#REF!</v>
      </c>
      <c r="R49" s="679" t="e">
        <f>SUM(R47:R48)</f>
        <v>#REF!</v>
      </c>
      <c r="S49" s="679" t="e">
        <f t="shared" si="26"/>
        <v>#REF!</v>
      </c>
      <c r="T49" s="679" t="e">
        <f t="shared" si="26"/>
        <v>#REF!</v>
      </c>
      <c r="U49" s="679" t="e">
        <f t="shared" si="26"/>
        <v>#REF!</v>
      </c>
      <c r="V49" s="679" t="e">
        <f t="shared" si="26"/>
        <v>#REF!</v>
      </c>
      <c r="W49" s="679" t="e">
        <f t="shared" si="26"/>
        <v>#REF!</v>
      </c>
      <c r="X49" s="679" t="e">
        <f t="shared" si="26"/>
        <v>#REF!</v>
      </c>
      <c r="Y49" s="679" t="e">
        <f t="shared" si="26"/>
        <v>#REF!</v>
      </c>
      <c r="Z49" s="679" t="e">
        <f t="shared" si="26"/>
        <v>#REF!</v>
      </c>
      <c r="AA49" s="679" t="e">
        <f t="shared" si="26"/>
        <v>#REF!</v>
      </c>
      <c r="AB49" s="679" t="e">
        <f t="shared" si="26"/>
        <v>#REF!</v>
      </c>
      <c r="AC49" s="679" t="e">
        <f t="shared" si="26"/>
        <v>#REF!</v>
      </c>
      <c r="AD49" s="679" t="e">
        <f t="shared" si="26"/>
        <v>#REF!</v>
      </c>
      <c r="AE49" s="679" t="e">
        <f t="shared" si="26"/>
        <v>#REF!</v>
      </c>
      <c r="AF49" s="679" t="e">
        <f t="shared" si="26"/>
        <v>#REF!</v>
      </c>
      <c r="AG49" s="679" t="e">
        <f t="shared" si="26"/>
        <v>#REF!</v>
      </c>
      <c r="AH49" s="679" t="e">
        <f t="shared" si="26"/>
        <v>#REF!</v>
      </c>
      <c r="AI49" s="679" t="e">
        <f t="shared" si="26"/>
        <v>#REF!</v>
      </c>
      <c r="AJ49" s="679" t="e">
        <f t="shared" si="26"/>
        <v>#REF!</v>
      </c>
      <c r="AK49" s="679" t="e">
        <f>SUM(AK47:AK48)</f>
        <v>#REF!</v>
      </c>
      <c r="AL49" s="685"/>
    </row>
    <row r="50" spans="2:40" ht="20.100000000000001" customHeight="1" x14ac:dyDescent="0.25">
      <c r="D50" s="687"/>
      <c r="E50" s="687"/>
      <c r="F50" s="687"/>
      <c r="G50" s="687"/>
      <c r="M50" s="713" t="s">
        <v>30</v>
      </c>
      <c r="N50" s="681" t="s">
        <v>108</v>
      </c>
      <c r="AL50" s="685"/>
    </row>
    <row r="51" spans="2:40" s="722" customFormat="1" ht="20.100000000000001" customHeight="1" x14ac:dyDescent="0.2">
      <c r="B51" s="723"/>
      <c r="M51" s="678">
        <v>1</v>
      </c>
      <c r="N51" s="722" t="s">
        <v>109</v>
      </c>
      <c r="O51" s="722" t="e">
        <f t="shared" ref="O51:AJ51" si="27">+O49-O45+O44</f>
        <v>#REF!</v>
      </c>
      <c r="P51" s="722" t="e">
        <f t="shared" si="27"/>
        <v>#REF!</v>
      </c>
      <c r="Q51" s="722" t="e">
        <f t="shared" si="27"/>
        <v>#REF!</v>
      </c>
      <c r="R51" s="722" t="e">
        <f t="shared" si="27"/>
        <v>#REF!</v>
      </c>
      <c r="S51" s="722" t="e">
        <f t="shared" si="27"/>
        <v>#REF!</v>
      </c>
      <c r="T51" s="722" t="e">
        <f t="shared" si="27"/>
        <v>#REF!</v>
      </c>
      <c r="U51" s="722" t="e">
        <f t="shared" si="27"/>
        <v>#REF!</v>
      </c>
      <c r="V51" s="722" t="e">
        <f t="shared" si="27"/>
        <v>#REF!</v>
      </c>
      <c r="W51" s="722" t="e">
        <f t="shared" si="27"/>
        <v>#REF!</v>
      </c>
      <c r="X51" s="722" t="e">
        <f t="shared" si="27"/>
        <v>#REF!</v>
      </c>
      <c r="Y51" s="722" t="e">
        <f t="shared" si="27"/>
        <v>#REF!</v>
      </c>
      <c r="Z51" s="722" t="e">
        <f t="shared" si="27"/>
        <v>#REF!</v>
      </c>
      <c r="AA51" s="722" t="e">
        <f t="shared" si="27"/>
        <v>#REF!</v>
      </c>
      <c r="AB51" s="722" t="e">
        <f t="shared" si="27"/>
        <v>#REF!</v>
      </c>
      <c r="AC51" s="722" t="e">
        <f t="shared" si="27"/>
        <v>#REF!</v>
      </c>
      <c r="AD51" s="722" t="e">
        <f t="shared" si="27"/>
        <v>#REF!</v>
      </c>
      <c r="AE51" s="722" t="e">
        <f t="shared" si="27"/>
        <v>#REF!</v>
      </c>
      <c r="AF51" s="722" t="e">
        <f t="shared" si="27"/>
        <v>#REF!</v>
      </c>
      <c r="AG51" s="722" t="e">
        <f t="shared" si="27"/>
        <v>#REF!</v>
      </c>
      <c r="AH51" s="722" t="e">
        <f t="shared" si="27"/>
        <v>#REF!</v>
      </c>
      <c r="AI51" s="722" t="e">
        <f t="shared" si="27"/>
        <v>#REF!</v>
      </c>
      <c r="AJ51" s="722" t="e">
        <f t="shared" si="27"/>
        <v>#REF!</v>
      </c>
      <c r="AK51" s="722" t="e">
        <f>+AK49-AK45+AK44</f>
        <v>#REF!</v>
      </c>
      <c r="AL51" s="724"/>
      <c r="AM51" s="725"/>
      <c r="AN51" s="725"/>
    </row>
    <row r="52" spans="2:40" s="722" customFormat="1" ht="20.100000000000001" customHeight="1" x14ac:dyDescent="0.2">
      <c r="B52" s="723"/>
      <c r="M52" s="678">
        <v>2</v>
      </c>
      <c r="N52" s="722" t="s">
        <v>110</v>
      </c>
      <c r="O52" s="722" t="e">
        <f>+O49-O45</f>
        <v>#REF!</v>
      </c>
      <c r="P52" s="722" t="e">
        <f t="shared" ref="P52:AJ52" si="28">+P49-P45</f>
        <v>#REF!</v>
      </c>
      <c r="Q52" s="722" t="e">
        <f t="shared" si="28"/>
        <v>#REF!</v>
      </c>
      <c r="R52" s="722" t="e">
        <f t="shared" si="28"/>
        <v>#REF!</v>
      </c>
      <c r="S52" s="722" t="e">
        <f t="shared" si="28"/>
        <v>#REF!</v>
      </c>
      <c r="T52" s="722" t="e">
        <f t="shared" si="28"/>
        <v>#REF!</v>
      </c>
      <c r="U52" s="722" t="e">
        <f t="shared" si="28"/>
        <v>#REF!</v>
      </c>
      <c r="V52" s="722" t="e">
        <f t="shared" si="28"/>
        <v>#REF!</v>
      </c>
      <c r="W52" s="722" t="e">
        <f t="shared" si="28"/>
        <v>#REF!</v>
      </c>
      <c r="X52" s="722" t="e">
        <f t="shared" si="28"/>
        <v>#REF!</v>
      </c>
      <c r="Y52" s="722" t="e">
        <f t="shared" si="28"/>
        <v>#REF!</v>
      </c>
      <c r="Z52" s="722" t="e">
        <f t="shared" si="28"/>
        <v>#REF!</v>
      </c>
      <c r="AA52" s="722" t="e">
        <f t="shared" si="28"/>
        <v>#REF!</v>
      </c>
      <c r="AB52" s="722" t="e">
        <f t="shared" si="28"/>
        <v>#REF!</v>
      </c>
      <c r="AC52" s="722" t="e">
        <f t="shared" si="28"/>
        <v>#REF!</v>
      </c>
      <c r="AD52" s="722" t="e">
        <f t="shared" si="28"/>
        <v>#REF!</v>
      </c>
      <c r="AE52" s="722" t="e">
        <f t="shared" si="28"/>
        <v>#REF!</v>
      </c>
      <c r="AF52" s="722" t="e">
        <f t="shared" si="28"/>
        <v>#REF!</v>
      </c>
      <c r="AG52" s="722" t="e">
        <f t="shared" si="28"/>
        <v>#REF!</v>
      </c>
      <c r="AH52" s="722" t="e">
        <f>+AH49-AH45</f>
        <v>#REF!</v>
      </c>
      <c r="AI52" s="722" t="e">
        <f t="shared" si="28"/>
        <v>#REF!</v>
      </c>
      <c r="AJ52" s="722" t="e">
        <f t="shared" si="28"/>
        <v>#REF!</v>
      </c>
      <c r="AK52" s="722" t="e">
        <f>+AK49-AK45</f>
        <v>#REF!</v>
      </c>
      <c r="AL52" s="724"/>
      <c r="AM52" s="725"/>
    </row>
    <row r="53" spans="2:40" ht="20.100000000000001" customHeight="1" x14ac:dyDescent="0.25">
      <c r="B53" s="682"/>
      <c r="M53" s="713" t="s">
        <v>111</v>
      </c>
      <c r="N53" s="681" t="s">
        <v>199</v>
      </c>
      <c r="AK53" s="685"/>
      <c r="AM53" s="65"/>
    </row>
    <row r="54" spans="2:40" s="722" customFormat="1" ht="20.100000000000001" customHeight="1" x14ac:dyDescent="0.2">
      <c r="M54" s="726">
        <v>1</v>
      </c>
      <c r="N54" s="722" t="s">
        <v>109</v>
      </c>
      <c r="O54" s="722" t="e">
        <f>NPV(0.1,O51:AK51)</f>
        <v>#REF!</v>
      </c>
      <c r="AK54" s="724"/>
      <c r="AM54" s="725"/>
    </row>
    <row r="55" spans="2:40" s="722" customFormat="1" ht="20.100000000000001" customHeight="1" x14ac:dyDescent="0.2">
      <c r="D55" s="727"/>
      <c r="E55" s="727"/>
      <c r="F55" s="727"/>
      <c r="G55" s="727"/>
      <c r="M55" s="678">
        <v>2</v>
      </c>
      <c r="N55" s="722" t="s">
        <v>112</v>
      </c>
      <c r="O55" s="722" t="e">
        <f>NPV(0.1,O52:AK52)</f>
        <v>#REF!</v>
      </c>
      <c r="AK55" s="724"/>
      <c r="AM55" s="725"/>
    </row>
    <row r="56" spans="2:40" ht="20.100000000000001" customHeight="1" x14ac:dyDescent="0.25">
      <c r="B56" s="680"/>
      <c r="M56" s="713" t="s">
        <v>113</v>
      </c>
      <c r="N56" s="681" t="s">
        <v>34</v>
      </c>
      <c r="AK56" s="685"/>
      <c r="AM56" s="65"/>
    </row>
    <row r="57" spans="2:40" s="722" customFormat="1" ht="20.100000000000001" customHeight="1" x14ac:dyDescent="0.2">
      <c r="B57" s="723"/>
      <c r="C57" s="723"/>
      <c r="E57" s="727"/>
      <c r="F57" s="727"/>
      <c r="G57" s="727"/>
      <c r="M57" s="678">
        <v>1</v>
      </c>
      <c r="N57" s="722" t="s">
        <v>109</v>
      </c>
      <c r="O57" s="728" t="e">
        <f>IRR(O51:AK51)</f>
        <v>#VALUE!</v>
      </c>
      <c r="AK57" s="724"/>
      <c r="AM57" s="725"/>
    </row>
    <row r="58" spans="2:40" s="722" customFormat="1" ht="20.100000000000001" customHeight="1" x14ac:dyDescent="0.2">
      <c r="C58" s="723"/>
      <c r="M58" s="678">
        <v>2</v>
      </c>
      <c r="N58" s="722" t="s">
        <v>112</v>
      </c>
      <c r="O58" s="728" t="e">
        <f>IRR(O52:AK52)</f>
        <v>#VALUE!</v>
      </c>
      <c r="P58" s="723"/>
      <c r="AK58" s="724"/>
    </row>
    <row r="59" spans="2:40" x14ac:dyDescent="0.2">
      <c r="D59" s="687"/>
      <c r="M59" s="703"/>
      <c r="O59" s="66"/>
      <c r="P59" s="682"/>
    </row>
    <row r="60" spans="2:40" x14ac:dyDescent="0.2">
      <c r="B60" s="682"/>
      <c r="N60" s="693"/>
      <c r="O60" s="729"/>
      <c r="P60" s="729"/>
      <c r="Q60" s="729"/>
      <c r="R60" s="729"/>
      <c r="S60" s="729"/>
      <c r="T60" s="729"/>
      <c r="U60" s="729"/>
      <c r="V60" s="729"/>
      <c r="W60" s="729"/>
      <c r="X60" s="729"/>
      <c r="Y60" s="729"/>
      <c r="Z60" s="729"/>
      <c r="AA60" s="729"/>
      <c r="AB60" s="729"/>
      <c r="AC60" s="729"/>
      <c r="AD60" s="729"/>
      <c r="AE60" s="729"/>
      <c r="AF60" s="729"/>
      <c r="AG60" s="729"/>
      <c r="AH60" s="729"/>
      <c r="AI60" s="729"/>
      <c r="AJ60" s="729"/>
      <c r="AK60" s="729"/>
    </row>
    <row r="61" spans="2:40" x14ac:dyDescent="0.2">
      <c r="B61" s="682"/>
    </row>
    <row r="62" spans="2:40" x14ac:dyDescent="0.2">
      <c r="B62" s="682"/>
      <c r="AK62" s="685"/>
    </row>
    <row r="63" spans="2:40" x14ac:dyDescent="0.2">
      <c r="B63" s="687"/>
      <c r="C63" s="687"/>
      <c r="N63" s="685"/>
      <c r="AK63" s="685"/>
    </row>
    <row r="64" spans="2:40" x14ac:dyDescent="0.2">
      <c r="D64" s="687"/>
      <c r="N64" s="685"/>
      <c r="O64" s="685"/>
      <c r="P64" s="685"/>
      <c r="Q64" s="685"/>
      <c r="R64" s="685"/>
      <c r="S64" s="685"/>
      <c r="T64" s="685"/>
      <c r="U64" s="685"/>
      <c r="V64" s="685"/>
      <c r="W64" s="685"/>
      <c r="X64" s="685"/>
      <c r="Y64" s="685"/>
      <c r="Z64" s="685"/>
      <c r="AA64" s="685"/>
      <c r="AK64" s="685"/>
    </row>
    <row r="65" spans="2:37" x14ac:dyDescent="0.2">
      <c r="N65" s="685"/>
      <c r="Q65" s="685"/>
      <c r="R65" s="685"/>
      <c r="S65" s="685"/>
      <c r="T65" s="685"/>
      <c r="U65" s="685"/>
      <c r="V65" s="685"/>
      <c r="W65" s="685"/>
      <c r="X65" s="685"/>
      <c r="Y65" s="685"/>
      <c r="Z65" s="685"/>
      <c r="AA65" s="685"/>
      <c r="AK65" s="685"/>
    </row>
    <row r="66" spans="2:37" x14ac:dyDescent="0.2">
      <c r="N66" s="685"/>
      <c r="AK66" s="685"/>
    </row>
    <row r="67" spans="2:37" x14ac:dyDescent="0.2">
      <c r="AK67" s="685"/>
    </row>
    <row r="68" spans="2:37" x14ac:dyDescent="0.2">
      <c r="O68" s="682"/>
      <c r="P68" s="682"/>
      <c r="AK68" s="685"/>
    </row>
    <row r="69" spans="2:37" x14ac:dyDescent="0.2">
      <c r="B69" s="687"/>
      <c r="C69" s="687"/>
      <c r="D69" s="687"/>
      <c r="O69" s="682"/>
      <c r="P69" s="682"/>
      <c r="AK69" s="685"/>
    </row>
    <row r="70" spans="2:37" x14ac:dyDescent="0.2">
      <c r="AK70" s="685"/>
    </row>
    <row r="71" spans="2:37" ht="15.75" x14ac:dyDescent="0.25">
      <c r="B71" s="680"/>
      <c r="M71" s="682"/>
      <c r="N71" s="707"/>
      <c r="O71" s="682"/>
      <c r="P71" s="721"/>
      <c r="AK71" s="685"/>
    </row>
    <row r="72" spans="2:37" x14ac:dyDescent="0.2">
      <c r="B72" s="682"/>
      <c r="C72" s="682"/>
      <c r="M72" s="682"/>
      <c r="O72" s="682"/>
      <c r="P72" s="721"/>
      <c r="AK72" s="685"/>
    </row>
    <row r="73" spans="2:37" x14ac:dyDescent="0.2">
      <c r="C73" s="682"/>
      <c r="M73" s="682"/>
      <c r="N73" s="707"/>
      <c r="O73" s="682"/>
      <c r="P73" s="721"/>
      <c r="AK73" s="685"/>
    </row>
    <row r="74" spans="2:37" x14ac:dyDescent="0.2">
      <c r="B74" s="687"/>
      <c r="C74" s="687"/>
      <c r="D74" s="687"/>
      <c r="M74" s="682"/>
      <c r="O74" s="682"/>
      <c r="P74" s="721"/>
      <c r="AK74" s="685"/>
    </row>
    <row r="75" spans="2:37" x14ac:dyDescent="0.2">
      <c r="M75" s="682"/>
      <c r="N75" s="707"/>
      <c r="O75" s="682"/>
      <c r="P75" s="721"/>
      <c r="AK75" s="685"/>
    </row>
    <row r="76" spans="2:37" x14ac:dyDescent="0.2">
      <c r="B76" s="682"/>
      <c r="M76" s="682"/>
      <c r="O76" s="682"/>
      <c r="P76" s="721"/>
      <c r="AK76" s="685"/>
    </row>
    <row r="77" spans="2:37" x14ac:dyDescent="0.2">
      <c r="B77" s="682"/>
      <c r="M77" s="730"/>
      <c r="N77" s="731"/>
      <c r="O77" s="730"/>
      <c r="P77" s="721"/>
      <c r="AK77" s="685"/>
    </row>
    <row r="78" spans="2:37" x14ac:dyDescent="0.2">
      <c r="B78" s="682"/>
      <c r="M78" s="730"/>
      <c r="N78" s="731"/>
      <c r="O78" s="730"/>
      <c r="P78" s="721"/>
      <c r="AK78" s="685"/>
    </row>
    <row r="79" spans="2:37" x14ac:dyDescent="0.2">
      <c r="B79" s="687"/>
      <c r="C79" s="687"/>
      <c r="D79" s="687"/>
      <c r="M79" s="730"/>
      <c r="N79" s="731"/>
      <c r="O79" s="730"/>
      <c r="P79" s="721"/>
      <c r="AK79" s="685"/>
    </row>
    <row r="80" spans="2:37" x14ac:dyDescent="0.2">
      <c r="M80" s="730"/>
      <c r="N80" s="731"/>
      <c r="O80" s="730"/>
      <c r="P80" s="721"/>
      <c r="AK80" s="685"/>
    </row>
    <row r="81" spans="2:37" x14ac:dyDescent="0.2">
      <c r="B81" s="687"/>
      <c r="C81" s="687"/>
      <c r="D81" s="687"/>
      <c r="M81" s="730"/>
      <c r="N81" s="731"/>
      <c r="O81" s="730"/>
      <c r="P81" s="721"/>
      <c r="AK81" s="685"/>
    </row>
    <row r="82" spans="2:37" x14ac:dyDescent="0.2">
      <c r="M82" s="730"/>
      <c r="N82" s="731"/>
      <c r="O82" s="730"/>
      <c r="P82" s="721"/>
      <c r="AK82" s="685"/>
    </row>
    <row r="83" spans="2:37" x14ac:dyDescent="0.2">
      <c r="M83" s="730"/>
      <c r="N83" s="731"/>
      <c r="O83" s="730"/>
      <c r="P83" s="732"/>
      <c r="AK83" s="685"/>
    </row>
    <row r="84" spans="2:37" x14ac:dyDescent="0.2">
      <c r="M84" s="730"/>
      <c r="N84" s="731"/>
      <c r="O84" s="730"/>
      <c r="P84" s="732"/>
      <c r="AK84" s="685"/>
    </row>
    <row r="85" spans="2:37" x14ac:dyDescent="0.2">
      <c r="M85" s="730"/>
      <c r="N85" s="731"/>
      <c r="O85" s="730"/>
      <c r="P85" s="732"/>
      <c r="AK85" s="685"/>
    </row>
    <row r="86" spans="2:37" x14ac:dyDescent="0.2">
      <c r="AK86" s="685"/>
    </row>
    <row r="87" spans="2:37" x14ac:dyDescent="0.2">
      <c r="AK87" s="685"/>
    </row>
    <row r="88" spans="2:37" x14ac:dyDescent="0.2">
      <c r="AK88" s="685"/>
    </row>
    <row r="89" spans="2:37" x14ac:dyDescent="0.2">
      <c r="AK89" s="685"/>
    </row>
    <row r="90" spans="2:37" x14ac:dyDescent="0.2">
      <c r="AK90" s="685"/>
    </row>
    <row r="91" spans="2:37" x14ac:dyDescent="0.2">
      <c r="AK91" s="685"/>
    </row>
    <row r="92" spans="2:37" x14ac:dyDescent="0.2">
      <c r="AK92" s="685"/>
    </row>
    <row r="93" spans="2:37" x14ac:dyDescent="0.2">
      <c r="AK93" s="685"/>
    </row>
    <row r="94" spans="2:37" x14ac:dyDescent="0.2">
      <c r="AK94" s="685"/>
    </row>
    <row r="95" spans="2:37" x14ac:dyDescent="0.2">
      <c r="AK95" s="685"/>
    </row>
    <row r="96" spans="2:37" x14ac:dyDescent="0.2">
      <c r="AK96" s="685"/>
    </row>
    <row r="97" spans="37:37" x14ac:dyDescent="0.2">
      <c r="AK97" s="685"/>
    </row>
    <row r="98" spans="37:37" x14ac:dyDescent="0.2">
      <c r="AK98" s="685"/>
    </row>
    <row r="99" spans="37:37" x14ac:dyDescent="0.2">
      <c r="AK99" s="685"/>
    </row>
    <row r="100" spans="37:37" x14ac:dyDescent="0.2">
      <c r="AK100" s="685"/>
    </row>
    <row r="101" spans="37:37" x14ac:dyDescent="0.2">
      <c r="AK101" s="685"/>
    </row>
    <row r="102" spans="37:37" x14ac:dyDescent="0.2">
      <c r="AK102" s="685"/>
    </row>
    <row r="103" spans="37:37" x14ac:dyDescent="0.2">
      <c r="AK103" s="685"/>
    </row>
    <row r="104" spans="37:37" x14ac:dyDescent="0.2">
      <c r="AK104" s="685"/>
    </row>
    <row r="105" spans="37:37" x14ac:dyDescent="0.2">
      <c r="AK105" s="685"/>
    </row>
    <row r="106" spans="37:37" x14ac:dyDescent="0.2">
      <c r="AK106" s="685"/>
    </row>
    <row r="107" spans="37:37" x14ac:dyDescent="0.2">
      <c r="AK107" s="685"/>
    </row>
    <row r="108" spans="37:37" x14ac:dyDescent="0.2">
      <c r="AK108" s="685"/>
    </row>
    <row r="109" spans="37:37" x14ac:dyDescent="0.2">
      <c r="AK109" s="685"/>
    </row>
    <row r="110" spans="37:37" x14ac:dyDescent="0.2">
      <c r="AK110" s="685"/>
    </row>
    <row r="111" spans="37:37" x14ac:dyDescent="0.2">
      <c r="AK111" s="685"/>
    </row>
    <row r="112" spans="37:37" x14ac:dyDescent="0.2">
      <c r="AK112" s="685"/>
    </row>
    <row r="113" spans="37:37" x14ac:dyDescent="0.2">
      <c r="AK113" s="685"/>
    </row>
    <row r="114" spans="37:37" x14ac:dyDescent="0.2">
      <c r="AK114" s="685"/>
    </row>
    <row r="115" spans="37:37" x14ac:dyDescent="0.2">
      <c r="AK115" s="685"/>
    </row>
    <row r="116" spans="37:37" x14ac:dyDescent="0.2">
      <c r="AK116" s="685"/>
    </row>
    <row r="117" spans="37:37" x14ac:dyDescent="0.2">
      <c r="AK117" s="685"/>
    </row>
    <row r="118" spans="37:37" x14ac:dyDescent="0.2">
      <c r="AK118" s="685"/>
    </row>
    <row r="119" spans="37:37" x14ac:dyDescent="0.2">
      <c r="AK119" s="685"/>
    </row>
    <row r="120" spans="37:37" x14ac:dyDescent="0.2">
      <c r="AK120" s="685"/>
    </row>
    <row r="121" spans="37:37" x14ac:dyDescent="0.2">
      <c r="AK121" s="685"/>
    </row>
    <row r="122" spans="37:37" x14ac:dyDescent="0.2">
      <c r="AK122" s="685"/>
    </row>
    <row r="123" spans="37:37" x14ac:dyDescent="0.2">
      <c r="AK123" s="685"/>
    </row>
    <row r="124" spans="37:37" x14ac:dyDescent="0.2">
      <c r="AK124" s="685"/>
    </row>
    <row r="125" spans="37:37" x14ac:dyDescent="0.2">
      <c r="AK125" s="685"/>
    </row>
    <row r="126" spans="37:37" x14ac:dyDescent="0.2">
      <c r="AK126" s="685"/>
    </row>
    <row r="127" spans="37:37" x14ac:dyDescent="0.2">
      <c r="AK127" s="685"/>
    </row>
    <row r="128" spans="37:37" x14ac:dyDescent="0.2">
      <c r="AK128" s="685"/>
    </row>
    <row r="129" spans="37:37" x14ac:dyDescent="0.2">
      <c r="AK129" s="685"/>
    </row>
    <row r="130" spans="37:37" x14ac:dyDescent="0.2">
      <c r="AK130" s="685"/>
    </row>
    <row r="131" spans="37:37" x14ac:dyDescent="0.2">
      <c r="AK131" s="685"/>
    </row>
    <row r="132" spans="37:37" x14ac:dyDescent="0.2">
      <c r="AK132" s="685"/>
    </row>
    <row r="133" spans="37:37" x14ac:dyDescent="0.2">
      <c r="AK133" s="685"/>
    </row>
    <row r="134" spans="37:37" x14ac:dyDescent="0.2">
      <c r="AK134" s="685"/>
    </row>
    <row r="135" spans="37:37" x14ac:dyDescent="0.2">
      <c r="AK135" s="685"/>
    </row>
    <row r="136" spans="37:37" x14ac:dyDescent="0.2">
      <c r="AK136" s="685"/>
    </row>
    <row r="137" spans="37:37" x14ac:dyDescent="0.2">
      <c r="AK137" s="685"/>
    </row>
    <row r="138" spans="37:37" x14ac:dyDescent="0.2">
      <c r="AK138" s="685"/>
    </row>
    <row r="139" spans="37:37" x14ac:dyDescent="0.2">
      <c r="AK139" s="685"/>
    </row>
    <row r="140" spans="37:37" x14ac:dyDescent="0.2">
      <c r="AK140" s="685"/>
    </row>
    <row r="141" spans="37:37" x14ac:dyDescent="0.2">
      <c r="AK141" s="685"/>
    </row>
    <row r="142" spans="37:37" x14ac:dyDescent="0.2">
      <c r="AK142" s="685"/>
    </row>
    <row r="143" spans="37:37" x14ac:dyDescent="0.2">
      <c r="AK143" s="685"/>
    </row>
    <row r="144" spans="37:37" x14ac:dyDescent="0.2">
      <c r="AK144" s="685"/>
    </row>
    <row r="145" spans="37:37" x14ac:dyDescent="0.2">
      <c r="AK145" s="685"/>
    </row>
    <row r="146" spans="37:37" x14ac:dyDescent="0.2">
      <c r="AK146" s="685"/>
    </row>
    <row r="147" spans="37:37" x14ac:dyDescent="0.2">
      <c r="AK147" s="685"/>
    </row>
    <row r="148" spans="37:37" x14ac:dyDescent="0.2">
      <c r="AK148" s="685"/>
    </row>
    <row r="149" spans="37:37" x14ac:dyDescent="0.2">
      <c r="AK149" s="685"/>
    </row>
    <row r="150" spans="37:37" x14ac:dyDescent="0.2">
      <c r="AK150" s="685"/>
    </row>
    <row r="151" spans="37:37" x14ac:dyDescent="0.2">
      <c r="AK151" s="685"/>
    </row>
    <row r="152" spans="37:37" x14ac:dyDescent="0.2">
      <c r="AK152" s="685"/>
    </row>
    <row r="153" spans="37:37" x14ac:dyDescent="0.2">
      <c r="AK153" s="685"/>
    </row>
    <row r="154" spans="37:37" x14ac:dyDescent="0.2">
      <c r="AK154" s="685"/>
    </row>
    <row r="155" spans="37:37" x14ac:dyDescent="0.2">
      <c r="AK155" s="685"/>
    </row>
    <row r="156" spans="37:37" x14ac:dyDescent="0.2">
      <c r="AK156" s="685"/>
    </row>
    <row r="157" spans="37:37" x14ac:dyDescent="0.2">
      <c r="AK157" s="685"/>
    </row>
    <row r="158" spans="37:37" x14ac:dyDescent="0.2">
      <c r="AK158" s="685"/>
    </row>
    <row r="159" spans="37:37" x14ac:dyDescent="0.2">
      <c r="AK159" s="685"/>
    </row>
    <row r="160" spans="37:37" x14ac:dyDescent="0.2">
      <c r="AK160" s="685"/>
    </row>
    <row r="161" spans="37:37" x14ac:dyDescent="0.2">
      <c r="AK161" s="685"/>
    </row>
    <row r="162" spans="37:37" x14ac:dyDescent="0.2">
      <c r="AK162" s="685"/>
    </row>
    <row r="163" spans="37:37" x14ac:dyDescent="0.2">
      <c r="AK163" s="685"/>
    </row>
    <row r="164" spans="37:37" x14ac:dyDescent="0.2">
      <c r="AK164" s="685"/>
    </row>
    <row r="165" spans="37:37" x14ac:dyDescent="0.2">
      <c r="AK165" s="685"/>
    </row>
    <row r="166" spans="37:37" x14ac:dyDescent="0.2">
      <c r="AK166" s="685"/>
    </row>
    <row r="167" spans="37:37" x14ac:dyDescent="0.2">
      <c r="AK167" s="685"/>
    </row>
    <row r="168" spans="37:37" x14ac:dyDescent="0.2">
      <c r="AK168" s="685"/>
    </row>
    <row r="169" spans="37:37" x14ac:dyDescent="0.2">
      <c r="AK169" s="685"/>
    </row>
    <row r="170" spans="37:37" x14ac:dyDescent="0.2">
      <c r="AK170" s="685"/>
    </row>
    <row r="171" spans="37:37" x14ac:dyDescent="0.2">
      <c r="AK171" s="685"/>
    </row>
    <row r="172" spans="37:37" x14ac:dyDescent="0.2">
      <c r="AK172" s="685"/>
    </row>
    <row r="173" spans="37:37" x14ac:dyDescent="0.2">
      <c r="AK173" s="685"/>
    </row>
    <row r="174" spans="37:37" x14ac:dyDescent="0.2">
      <c r="AK174" s="685"/>
    </row>
    <row r="175" spans="37:37" x14ac:dyDescent="0.2">
      <c r="AK175" s="685"/>
    </row>
    <row r="176" spans="37:37" x14ac:dyDescent="0.2">
      <c r="AK176" s="685"/>
    </row>
    <row r="177" spans="37:37" x14ac:dyDescent="0.2">
      <c r="AK177" s="685"/>
    </row>
    <row r="178" spans="37:37" x14ac:dyDescent="0.2">
      <c r="AK178" s="685"/>
    </row>
    <row r="179" spans="37:37" x14ac:dyDescent="0.2">
      <c r="AK179" s="685"/>
    </row>
    <row r="180" spans="37:37" x14ac:dyDescent="0.2">
      <c r="AK180" s="685"/>
    </row>
    <row r="181" spans="37:37" x14ac:dyDescent="0.2">
      <c r="AK181" s="685"/>
    </row>
    <row r="182" spans="37:37" x14ac:dyDescent="0.2">
      <c r="AK182" s="685"/>
    </row>
    <row r="183" spans="37:37" x14ac:dyDescent="0.2">
      <c r="AK183" s="685"/>
    </row>
    <row r="184" spans="37:37" x14ac:dyDescent="0.2">
      <c r="AK184" s="685"/>
    </row>
    <row r="185" spans="37:37" x14ac:dyDescent="0.2">
      <c r="AK185" s="685"/>
    </row>
    <row r="186" spans="37:37" x14ac:dyDescent="0.2">
      <c r="AK186" s="685"/>
    </row>
    <row r="187" spans="37:37" x14ac:dyDescent="0.2">
      <c r="AK187" s="685"/>
    </row>
    <row r="188" spans="37:37" x14ac:dyDescent="0.2">
      <c r="AK188" s="685"/>
    </row>
    <row r="189" spans="37:37" x14ac:dyDescent="0.2">
      <c r="AK189" s="685"/>
    </row>
    <row r="190" spans="37:37" x14ac:dyDescent="0.2">
      <c r="AK190" s="685"/>
    </row>
    <row r="191" spans="37:37" x14ac:dyDescent="0.2">
      <c r="AK191" s="685"/>
    </row>
    <row r="192" spans="37:37" x14ac:dyDescent="0.2">
      <c r="AK192" s="685"/>
    </row>
    <row r="193" spans="37:37" x14ac:dyDescent="0.2">
      <c r="AK193" s="685"/>
    </row>
    <row r="194" spans="37:37" x14ac:dyDescent="0.2">
      <c r="AK194" s="685"/>
    </row>
    <row r="195" spans="37:37" x14ac:dyDescent="0.2">
      <c r="AK195" s="685"/>
    </row>
    <row r="196" spans="37:37" x14ac:dyDescent="0.2">
      <c r="AK196" s="685"/>
    </row>
    <row r="197" spans="37:37" x14ac:dyDescent="0.2">
      <c r="AK197" s="685"/>
    </row>
    <row r="198" spans="37:37" x14ac:dyDescent="0.2">
      <c r="AK198" s="685"/>
    </row>
    <row r="199" spans="37:37" x14ac:dyDescent="0.2">
      <c r="AK199" s="685"/>
    </row>
    <row r="200" spans="37:37" x14ac:dyDescent="0.2">
      <c r="AK200" s="685"/>
    </row>
    <row r="201" spans="37:37" x14ac:dyDescent="0.2">
      <c r="AK201" s="685"/>
    </row>
    <row r="202" spans="37:37" x14ac:dyDescent="0.2">
      <c r="AK202" s="685"/>
    </row>
    <row r="203" spans="37:37" x14ac:dyDescent="0.2">
      <c r="AK203" s="685"/>
    </row>
    <row r="204" spans="37:37" x14ac:dyDescent="0.2">
      <c r="AK204" s="685"/>
    </row>
    <row r="205" spans="37:37" x14ac:dyDescent="0.2">
      <c r="AK205" s="685"/>
    </row>
    <row r="206" spans="37:37" x14ac:dyDescent="0.2">
      <c r="AK206" s="685"/>
    </row>
    <row r="207" spans="37:37" x14ac:dyDescent="0.2">
      <c r="AK207" s="685"/>
    </row>
    <row r="208" spans="37:37" x14ac:dyDescent="0.2">
      <c r="AK208" s="685"/>
    </row>
    <row r="209" spans="37:37" x14ac:dyDescent="0.2">
      <c r="AK209" s="685"/>
    </row>
    <row r="210" spans="37:37" x14ac:dyDescent="0.2">
      <c r="AK210" s="685"/>
    </row>
    <row r="211" spans="37:37" x14ac:dyDescent="0.2">
      <c r="AK211" s="685"/>
    </row>
    <row r="212" spans="37:37" x14ac:dyDescent="0.2">
      <c r="AK212" s="685"/>
    </row>
    <row r="213" spans="37:37" x14ac:dyDescent="0.2">
      <c r="AK213" s="685"/>
    </row>
    <row r="214" spans="37:37" x14ac:dyDescent="0.2">
      <c r="AK214" s="685"/>
    </row>
    <row r="215" spans="37:37" x14ac:dyDescent="0.2">
      <c r="AK215" s="685"/>
    </row>
    <row r="216" spans="37:37" x14ac:dyDescent="0.2">
      <c r="AK216" s="685"/>
    </row>
    <row r="217" spans="37:37" x14ac:dyDescent="0.2">
      <c r="AK217" s="685"/>
    </row>
    <row r="218" spans="37:37" x14ac:dyDescent="0.2">
      <c r="AK218" s="685"/>
    </row>
    <row r="219" spans="37:37" x14ac:dyDescent="0.2">
      <c r="AK219" s="685"/>
    </row>
    <row r="220" spans="37:37" x14ac:dyDescent="0.2">
      <c r="AK220" s="685"/>
    </row>
    <row r="221" spans="37:37" x14ac:dyDescent="0.2">
      <c r="AK221" s="685"/>
    </row>
    <row r="222" spans="37:37" x14ac:dyDescent="0.2">
      <c r="AK222" s="685"/>
    </row>
    <row r="223" spans="37:37" x14ac:dyDescent="0.2">
      <c r="AK223" s="685"/>
    </row>
    <row r="224" spans="37:37" x14ac:dyDescent="0.2">
      <c r="AK224" s="685"/>
    </row>
    <row r="225" spans="37:37" x14ac:dyDescent="0.2">
      <c r="AK225" s="685"/>
    </row>
    <row r="226" spans="37:37" x14ac:dyDescent="0.2">
      <c r="AK226" s="685"/>
    </row>
    <row r="227" spans="37:37" x14ac:dyDescent="0.2">
      <c r="AK227" s="685"/>
    </row>
    <row r="228" spans="37:37" x14ac:dyDescent="0.2">
      <c r="AK228" s="685"/>
    </row>
    <row r="229" spans="37:37" x14ac:dyDescent="0.2">
      <c r="AK229" s="685"/>
    </row>
    <row r="230" spans="37:37" x14ac:dyDescent="0.2">
      <c r="AK230" s="685"/>
    </row>
    <row r="231" spans="37:37" x14ac:dyDescent="0.2">
      <c r="AK231" s="685"/>
    </row>
    <row r="232" spans="37:37" x14ac:dyDescent="0.2">
      <c r="AK232" s="685"/>
    </row>
    <row r="233" spans="37:37" x14ac:dyDescent="0.2">
      <c r="AK233" s="685"/>
    </row>
    <row r="234" spans="37:37" x14ac:dyDescent="0.2">
      <c r="AK234" s="685"/>
    </row>
    <row r="235" spans="37:37" x14ac:dyDescent="0.2">
      <c r="AK235" s="685"/>
    </row>
    <row r="236" spans="37:37" x14ac:dyDescent="0.2">
      <c r="AK236" s="685"/>
    </row>
    <row r="237" spans="37:37" x14ac:dyDescent="0.2">
      <c r="AK237" s="685"/>
    </row>
    <row r="238" spans="37:37" x14ac:dyDescent="0.2">
      <c r="AK238" s="685"/>
    </row>
    <row r="239" spans="37:37" x14ac:dyDescent="0.2">
      <c r="AK239" s="685"/>
    </row>
    <row r="240" spans="37:37" x14ac:dyDescent="0.2">
      <c r="AK240" s="685"/>
    </row>
    <row r="241" spans="37:37" x14ac:dyDescent="0.2">
      <c r="AK241" s="685"/>
    </row>
    <row r="242" spans="37:37" x14ac:dyDescent="0.2">
      <c r="AK242" s="685"/>
    </row>
    <row r="243" spans="37:37" x14ac:dyDescent="0.2">
      <c r="AK243" s="685"/>
    </row>
    <row r="244" spans="37:37" x14ac:dyDescent="0.2">
      <c r="AK244" s="685"/>
    </row>
    <row r="245" spans="37:37" x14ac:dyDescent="0.2">
      <c r="AK245" s="685"/>
    </row>
    <row r="246" spans="37:37" x14ac:dyDescent="0.2">
      <c r="AK246" s="685"/>
    </row>
    <row r="247" spans="37:37" x14ac:dyDescent="0.2">
      <c r="AK247" s="685"/>
    </row>
    <row r="248" spans="37:37" x14ac:dyDescent="0.2">
      <c r="AK248" s="685"/>
    </row>
    <row r="249" spans="37:37" x14ac:dyDescent="0.2">
      <c r="AK249" s="685"/>
    </row>
    <row r="250" spans="37:37" x14ac:dyDescent="0.2">
      <c r="AK250" s="685"/>
    </row>
    <row r="251" spans="37:37" x14ac:dyDescent="0.2">
      <c r="AK251" s="685"/>
    </row>
    <row r="252" spans="37:37" x14ac:dyDescent="0.2">
      <c r="AK252" s="685"/>
    </row>
    <row r="253" spans="37:37" x14ac:dyDescent="0.2">
      <c r="AK253" s="685"/>
    </row>
    <row r="254" spans="37:37" x14ac:dyDescent="0.2">
      <c r="AK254" s="685"/>
    </row>
    <row r="255" spans="37:37" x14ac:dyDescent="0.2">
      <c r="AK255" s="685"/>
    </row>
    <row r="256" spans="37:37" x14ac:dyDescent="0.2">
      <c r="AK256" s="685"/>
    </row>
    <row r="257" spans="37:37" x14ac:dyDescent="0.2">
      <c r="AK257" s="685"/>
    </row>
    <row r="258" spans="37:37" x14ac:dyDescent="0.2">
      <c r="AK258" s="685"/>
    </row>
    <row r="259" spans="37:37" x14ac:dyDescent="0.2">
      <c r="AK259" s="685"/>
    </row>
    <row r="260" spans="37:37" x14ac:dyDescent="0.2">
      <c r="AK260" s="685"/>
    </row>
    <row r="261" spans="37:37" x14ac:dyDescent="0.2">
      <c r="AK261" s="685"/>
    </row>
    <row r="262" spans="37:37" x14ac:dyDescent="0.2">
      <c r="AK262" s="685"/>
    </row>
    <row r="263" spans="37:37" x14ac:dyDescent="0.2">
      <c r="AK263" s="685"/>
    </row>
    <row r="264" spans="37:37" x14ac:dyDescent="0.2">
      <c r="AK264" s="685"/>
    </row>
    <row r="265" spans="37:37" x14ac:dyDescent="0.2">
      <c r="AK265" s="685"/>
    </row>
    <row r="266" spans="37:37" x14ac:dyDescent="0.2">
      <c r="AK266" s="685"/>
    </row>
    <row r="267" spans="37:37" x14ac:dyDescent="0.2">
      <c r="AK267" s="685"/>
    </row>
    <row r="268" spans="37:37" x14ac:dyDescent="0.2">
      <c r="AK268" s="685"/>
    </row>
    <row r="269" spans="37:37" x14ac:dyDescent="0.2">
      <c r="AK269" s="685"/>
    </row>
    <row r="270" spans="37:37" x14ac:dyDescent="0.2">
      <c r="AK270" s="685"/>
    </row>
    <row r="271" spans="37:37" x14ac:dyDescent="0.2">
      <c r="AK271" s="685"/>
    </row>
    <row r="272" spans="37:37" x14ac:dyDescent="0.2">
      <c r="AK272" s="685"/>
    </row>
    <row r="273" spans="37:37" x14ac:dyDescent="0.2">
      <c r="AK273" s="685"/>
    </row>
    <row r="274" spans="37:37" x14ac:dyDescent="0.2">
      <c r="AK274" s="685"/>
    </row>
    <row r="275" spans="37:37" x14ac:dyDescent="0.2">
      <c r="AK275" s="685"/>
    </row>
    <row r="276" spans="37:37" x14ac:dyDescent="0.2">
      <c r="AK276" s="685"/>
    </row>
    <row r="277" spans="37:37" x14ac:dyDescent="0.2">
      <c r="AK277" s="685"/>
    </row>
    <row r="278" spans="37:37" x14ac:dyDescent="0.2">
      <c r="AK278" s="685"/>
    </row>
    <row r="279" spans="37:37" x14ac:dyDescent="0.2">
      <c r="AK279" s="685"/>
    </row>
    <row r="280" spans="37:37" x14ac:dyDescent="0.2">
      <c r="AK280" s="685"/>
    </row>
    <row r="281" spans="37:37" x14ac:dyDescent="0.2">
      <c r="AK281" s="685"/>
    </row>
    <row r="282" spans="37:37" x14ac:dyDescent="0.2">
      <c r="AK282" s="685"/>
    </row>
    <row r="283" spans="37:37" x14ac:dyDescent="0.2">
      <c r="AK283" s="685"/>
    </row>
    <row r="284" spans="37:37" x14ac:dyDescent="0.2">
      <c r="AK284" s="685"/>
    </row>
    <row r="285" spans="37:37" x14ac:dyDescent="0.2">
      <c r="AK285" s="685"/>
    </row>
    <row r="286" spans="37:37" x14ac:dyDescent="0.2">
      <c r="AK286" s="685"/>
    </row>
    <row r="287" spans="37:37" x14ac:dyDescent="0.2">
      <c r="AK287" s="685"/>
    </row>
    <row r="288" spans="37:37" x14ac:dyDescent="0.2">
      <c r="AK288" s="685"/>
    </row>
    <row r="289" spans="37:37" x14ac:dyDescent="0.2">
      <c r="AK289" s="685"/>
    </row>
    <row r="290" spans="37:37" x14ac:dyDescent="0.2">
      <c r="AK290" s="685"/>
    </row>
    <row r="291" spans="37:37" x14ac:dyDescent="0.2">
      <c r="AK291" s="685"/>
    </row>
    <row r="292" spans="37:37" x14ac:dyDescent="0.2">
      <c r="AK292" s="685"/>
    </row>
    <row r="293" spans="37:37" x14ac:dyDescent="0.2">
      <c r="AK293" s="685"/>
    </row>
    <row r="294" spans="37:37" x14ac:dyDescent="0.2">
      <c r="AK294" s="685"/>
    </row>
    <row r="295" spans="37:37" x14ac:dyDescent="0.2">
      <c r="AK295" s="685"/>
    </row>
    <row r="296" spans="37:37" x14ac:dyDescent="0.2">
      <c r="AK296" s="685"/>
    </row>
    <row r="297" spans="37:37" x14ac:dyDescent="0.2">
      <c r="AK297" s="685"/>
    </row>
    <row r="298" spans="37:37" x14ac:dyDescent="0.2">
      <c r="AK298" s="685"/>
    </row>
    <row r="299" spans="37:37" x14ac:dyDescent="0.2">
      <c r="AK299" s="685"/>
    </row>
    <row r="300" spans="37:37" x14ac:dyDescent="0.2">
      <c r="AK300" s="685"/>
    </row>
    <row r="301" spans="37:37" x14ac:dyDescent="0.2">
      <c r="AK301" s="685"/>
    </row>
    <row r="302" spans="37:37" x14ac:dyDescent="0.2">
      <c r="AK302" s="685"/>
    </row>
    <row r="303" spans="37:37" x14ac:dyDescent="0.2">
      <c r="AK303" s="685"/>
    </row>
    <row r="304" spans="37:37" x14ac:dyDescent="0.2">
      <c r="AK304" s="685"/>
    </row>
    <row r="305" spans="37:37" x14ac:dyDescent="0.2">
      <c r="AK305" s="685"/>
    </row>
    <row r="306" spans="37:37" x14ac:dyDescent="0.2">
      <c r="AK306" s="685"/>
    </row>
    <row r="307" spans="37:37" x14ac:dyDescent="0.2">
      <c r="AK307" s="685"/>
    </row>
    <row r="308" spans="37:37" x14ac:dyDescent="0.2">
      <c r="AK308" s="685"/>
    </row>
    <row r="309" spans="37:37" x14ac:dyDescent="0.2">
      <c r="AK309" s="685"/>
    </row>
    <row r="310" spans="37:37" x14ac:dyDescent="0.2">
      <c r="AK310" s="685"/>
    </row>
    <row r="311" spans="37:37" x14ac:dyDescent="0.2">
      <c r="AK311" s="685"/>
    </row>
    <row r="312" spans="37:37" x14ac:dyDescent="0.2">
      <c r="AK312" s="685"/>
    </row>
    <row r="313" spans="37:37" x14ac:dyDescent="0.2">
      <c r="AK313" s="685"/>
    </row>
    <row r="314" spans="37:37" x14ac:dyDescent="0.2">
      <c r="AK314" s="685"/>
    </row>
    <row r="315" spans="37:37" x14ac:dyDescent="0.2">
      <c r="AK315" s="685"/>
    </row>
    <row r="316" spans="37:37" x14ac:dyDescent="0.2">
      <c r="AK316" s="685"/>
    </row>
    <row r="317" spans="37:37" x14ac:dyDescent="0.2">
      <c r="AK317" s="685"/>
    </row>
    <row r="318" spans="37:37" x14ac:dyDescent="0.2">
      <c r="AK318" s="685"/>
    </row>
    <row r="319" spans="37:37" x14ac:dyDescent="0.2">
      <c r="AK319" s="685"/>
    </row>
    <row r="320" spans="37:37" x14ac:dyDescent="0.2">
      <c r="AK320" s="685"/>
    </row>
    <row r="321" spans="37:37" x14ac:dyDescent="0.2">
      <c r="AK321" s="685"/>
    </row>
    <row r="322" spans="37:37" x14ac:dyDescent="0.2">
      <c r="AK322" s="685"/>
    </row>
    <row r="323" spans="37:37" x14ac:dyDescent="0.2">
      <c r="AK323" s="685"/>
    </row>
    <row r="324" spans="37:37" x14ac:dyDescent="0.2">
      <c r="AK324" s="685"/>
    </row>
    <row r="325" spans="37:37" x14ac:dyDescent="0.2">
      <c r="AK325" s="685"/>
    </row>
    <row r="326" spans="37:37" x14ac:dyDescent="0.2">
      <c r="AK326" s="685"/>
    </row>
    <row r="327" spans="37:37" x14ac:dyDescent="0.2">
      <c r="AK327" s="685"/>
    </row>
    <row r="328" spans="37:37" x14ac:dyDescent="0.2">
      <c r="AK328" s="685"/>
    </row>
    <row r="329" spans="37:37" x14ac:dyDescent="0.2">
      <c r="AK329" s="685"/>
    </row>
    <row r="330" spans="37:37" x14ac:dyDescent="0.2">
      <c r="AK330" s="685"/>
    </row>
    <row r="331" spans="37:37" x14ac:dyDescent="0.2">
      <c r="AK331" s="685"/>
    </row>
    <row r="332" spans="37:37" x14ac:dyDescent="0.2">
      <c r="AK332" s="685"/>
    </row>
    <row r="333" spans="37:37" x14ac:dyDescent="0.2">
      <c r="AK333" s="685"/>
    </row>
    <row r="334" spans="37:37" x14ac:dyDescent="0.2">
      <c r="AK334" s="685"/>
    </row>
    <row r="335" spans="37:37" x14ac:dyDescent="0.2">
      <c r="AK335" s="685"/>
    </row>
    <row r="336" spans="37:37" x14ac:dyDescent="0.2">
      <c r="AK336" s="685"/>
    </row>
    <row r="337" spans="37:37" x14ac:dyDescent="0.2">
      <c r="AK337" s="685"/>
    </row>
    <row r="338" spans="37:37" x14ac:dyDescent="0.2">
      <c r="AK338" s="685"/>
    </row>
    <row r="339" spans="37:37" x14ac:dyDescent="0.2">
      <c r="AK339" s="685"/>
    </row>
    <row r="340" spans="37:37" x14ac:dyDescent="0.2">
      <c r="AK340" s="685"/>
    </row>
    <row r="341" spans="37:37" x14ac:dyDescent="0.2">
      <c r="AK341" s="685"/>
    </row>
    <row r="342" spans="37:37" x14ac:dyDescent="0.2">
      <c r="AK342" s="685"/>
    </row>
    <row r="343" spans="37:37" x14ac:dyDescent="0.2">
      <c r="AK343" s="685"/>
    </row>
    <row r="344" spans="37:37" x14ac:dyDescent="0.2">
      <c r="AK344" s="685"/>
    </row>
    <row r="345" spans="37:37" x14ac:dyDescent="0.2">
      <c r="AK345" s="685"/>
    </row>
    <row r="346" spans="37:37" x14ac:dyDescent="0.2">
      <c r="AK346" s="685"/>
    </row>
    <row r="347" spans="37:37" x14ac:dyDescent="0.2">
      <c r="AK347" s="685"/>
    </row>
    <row r="348" spans="37:37" x14ac:dyDescent="0.2">
      <c r="AK348" s="685"/>
    </row>
    <row r="349" spans="37:37" x14ac:dyDescent="0.2">
      <c r="AK349" s="685"/>
    </row>
    <row r="350" spans="37:37" x14ac:dyDescent="0.2">
      <c r="AK350" s="685"/>
    </row>
    <row r="351" spans="37:37" x14ac:dyDescent="0.2">
      <c r="AK351" s="685"/>
    </row>
    <row r="352" spans="37:37" x14ac:dyDescent="0.2">
      <c r="AK352" s="685"/>
    </row>
    <row r="353" spans="37:37" x14ac:dyDescent="0.2">
      <c r="AK353" s="685"/>
    </row>
    <row r="354" spans="37:37" x14ac:dyDescent="0.2">
      <c r="AK354" s="685"/>
    </row>
    <row r="355" spans="37:37" x14ac:dyDescent="0.2">
      <c r="AK355" s="685"/>
    </row>
    <row r="356" spans="37:37" x14ac:dyDescent="0.2">
      <c r="AK356" s="685"/>
    </row>
    <row r="357" spans="37:37" x14ac:dyDescent="0.2">
      <c r="AK357" s="685"/>
    </row>
    <row r="358" spans="37:37" x14ac:dyDescent="0.2">
      <c r="AK358" s="685"/>
    </row>
    <row r="359" spans="37:37" x14ac:dyDescent="0.2">
      <c r="AK359" s="685"/>
    </row>
    <row r="360" spans="37:37" x14ac:dyDescent="0.2">
      <c r="AK360" s="685"/>
    </row>
    <row r="361" spans="37:37" x14ac:dyDescent="0.2">
      <c r="AK361" s="685"/>
    </row>
    <row r="362" spans="37:37" x14ac:dyDescent="0.2">
      <c r="AK362" s="685"/>
    </row>
    <row r="363" spans="37:37" x14ac:dyDescent="0.2">
      <c r="AK363" s="685"/>
    </row>
    <row r="364" spans="37:37" x14ac:dyDescent="0.2">
      <c r="AK364" s="685"/>
    </row>
    <row r="365" spans="37:37" x14ac:dyDescent="0.2">
      <c r="AK365" s="685"/>
    </row>
    <row r="366" spans="37:37" x14ac:dyDescent="0.2">
      <c r="AK366" s="685"/>
    </row>
    <row r="367" spans="37:37" x14ac:dyDescent="0.2">
      <c r="AK367" s="685"/>
    </row>
    <row r="368" spans="37:37" x14ac:dyDescent="0.2">
      <c r="AK368" s="685"/>
    </row>
    <row r="369" spans="37:37" x14ac:dyDescent="0.2">
      <c r="AK369" s="685"/>
    </row>
    <row r="370" spans="37:37" x14ac:dyDescent="0.2">
      <c r="AK370" s="685"/>
    </row>
    <row r="371" spans="37:37" x14ac:dyDescent="0.2">
      <c r="AK371" s="685"/>
    </row>
    <row r="372" spans="37:37" x14ac:dyDescent="0.2">
      <c r="AK372" s="685"/>
    </row>
    <row r="373" spans="37:37" x14ac:dyDescent="0.2">
      <c r="AK373" s="685"/>
    </row>
    <row r="374" spans="37:37" x14ac:dyDescent="0.2">
      <c r="AK374" s="685"/>
    </row>
    <row r="375" spans="37:37" x14ac:dyDescent="0.2">
      <c r="AK375" s="685"/>
    </row>
    <row r="376" spans="37:37" x14ac:dyDescent="0.2">
      <c r="AK376" s="685"/>
    </row>
    <row r="377" spans="37:37" x14ac:dyDescent="0.2">
      <c r="AK377" s="685"/>
    </row>
    <row r="378" spans="37:37" x14ac:dyDescent="0.2">
      <c r="AK378" s="685"/>
    </row>
    <row r="379" spans="37:37" x14ac:dyDescent="0.2">
      <c r="AK379" s="685"/>
    </row>
    <row r="380" spans="37:37" x14ac:dyDescent="0.2">
      <c r="AK380" s="685"/>
    </row>
    <row r="381" spans="37:37" x14ac:dyDescent="0.2">
      <c r="AK381" s="685"/>
    </row>
    <row r="382" spans="37:37" x14ac:dyDescent="0.2">
      <c r="AK382" s="685"/>
    </row>
    <row r="383" spans="37:37" x14ac:dyDescent="0.2">
      <c r="AK383" s="685"/>
    </row>
    <row r="384" spans="37:37" x14ac:dyDescent="0.2">
      <c r="AK384" s="685"/>
    </row>
    <row r="385" spans="37:37" x14ac:dyDescent="0.2">
      <c r="AK385" s="685"/>
    </row>
    <row r="386" spans="37:37" x14ac:dyDescent="0.2">
      <c r="AK386" s="685"/>
    </row>
    <row r="387" spans="37:37" x14ac:dyDescent="0.2">
      <c r="AK387" s="685"/>
    </row>
    <row r="388" spans="37:37" x14ac:dyDescent="0.2">
      <c r="AK388" s="685"/>
    </row>
    <row r="389" spans="37:37" x14ac:dyDescent="0.2">
      <c r="AK389" s="685"/>
    </row>
    <row r="390" spans="37:37" x14ac:dyDescent="0.2">
      <c r="AK390" s="685"/>
    </row>
    <row r="391" spans="37:37" x14ac:dyDescent="0.2">
      <c r="AK391" s="685"/>
    </row>
    <row r="392" spans="37:37" x14ac:dyDescent="0.2">
      <c r="AK392" s="685"/>
    </row>
    <row r="393" spans="37:37" x14ac:dyDescent="0.2">
      <c r="AK393" s="685"/>
    </row>
    <row r="394" spans="37:37" x14ac:dyDescent="0.2">
      <c r="AK394" s="685"/>
    </row>
    <row r="395" spans="37:37" x14ac:dyDescent="0.2">
      <c r="AK395" s="685"/>
    </row>
    <row r="396" spans="37:37" x14ac:dyDescent="0.2">
      <c r="AK396" s="685"/>
    </row>
    <row r="397" spans="37:37" x14ac:dyDescent="0.2">
      <c r="AK397" s="685"/>
    </row>
    <row r="398" spans="37:37" x14ac:dyDescent="0.2">
      <c r="AK398" s="685"/>
    </row>
    <row r="399" spans="37:37" x14ac:dyDescent="0.2">
      <c r="AK399" s="685"/>
    </row>
    <row r="400" spans="37:37" x14ac:dyDescent="0.2">
      <c r="AK400" s="685"/>
    </row>
    <row r="401" spans="37:37" x14ac:dyDescent="0.2">
      <c r="AK401" s="685"/>
    </row>
    <row r="402" spans="37:37" x14ac:dyDescent="0.2">
      <c r="AK402" s="685"/>
    </row>
    <row r="403" spans="37:37" x14ac:dyDescent="0.2">
      <c r="AK403" s="685"/>
    </row>
    <row r="404" spans="37:37" x14ac:dyDescent="0.2">
      <c r="AK404" s="685"/>
    </row>
    <row r="405" spans="37:37" x14ac:dyDescent="0.2">
      <c r="AK405" s="685"/>
    </row>
    <row r="406" spans="37:37" x14ac:dyDescent="0.2">
      <c r="AK406" s="685"/>
    </row>
    <row r="407" spans="37:37" x14ac:dyDescent="0.2">
      <c r="AK407" s="685"/>
    </row>
    <row r="408" spans="37:37" x14ac:dyDescent="0.2">
      <c r="AK408" s="685"/>
    </row>
    <row r="409" spans="37:37" x14ac:dyDescent="0.2">
      <c r="AK409" s="685"/>
    </row>
    <row r="410" spans="37:37" x14ac:dyDescent="0.2">
      <c r="AK410" s="685"/>
    </row>
    <row r="411" spans="37:37" x14ac:dyDescent="0.2">
      <c r="AK411" s="685"/>
    </row>
    <row r="412" spans="37:37" x14ac:dyDescent="0.2">
      <c r="AK412" s="685"/>
    </row>
    <row r="413" spans="37:37" x14ac:dyDescent="0.2">
      <c r="AK413" s="685"/>
    </row>
    <row r="414" spans="37:37" x14ac:dyDescent="0.2">
      <c r="AK414" s="685"/>
    </row>
    <row r="415" spans="37:37" x14ac:dyDescent="0.2">
      <c r="AK415" s="685"/>
    </row>
    <row r="416" spans="37:37" x14ac:dyDescent="0.2">
      <c r="AK416" s="685"/>
    </row>
    <row r="417" spans="37:37" x14ac:dyDescent="0.2">
      <c r="AK417" s="685"/>
    </row>
    <row r="418" spans="37:37" x14ac:dyDescent="0.2">
      <c r="AK418" s="685"/>
    </row>
    <row r="419" spans="37:37" x14ac:dyDescent="0.2">
      <c r="AK419" s="685"/>
    </row>
    <row r="420" spans="37:37" x14ac:dyDescent="0.2">
      <c r="AK420" s="685"/>
    </row>
    <row r="421" spans="37:37" x14ac:dyDescent="0.2">
      <c r="AK421" s="685"/>
    </row>
    <row r="422" spans="37:37" x14ac:dyDescent="0.2">
      <c r="AK422" s="685"/>
    </row>
    <row r="423" spans="37:37" x14ac:dyDescent="0.2">
      <c r="AK423" s="685"/>
    </row>
    <row r="424" spans="37:37" x14ac:dyDescent="0.2">
      <c r="AK424" s="685"/>
    </row>
    <row r="425" spans="37:37" x14ac:dyDescent="0.2">
      <c r="AK425" s="685"/>
    </row>
    <row r="426" spans="37:37" x14ac:dyDescent="0.2">
      <c r="AK426" s="685"/>
    </row>
    <row r="427" spans="37:37" x14ac:dyDescent="0.2">
      <c r="AK427" s="685"/>
    </row>
    <row r="428" spans="37:37" x14ac:dyDescent="0.2">
      <c r="AK428" s="685"/>
    </row>
    <row r="429" spans="37:37" x14ac:dyDescent="0.2">
      <c r="AK429" s="685"/>
    </row>
    <row r="430" spans="37:37" x14ac:dyDescent="0.2">
      <c r="AK430" s="685"/>
    </row>
    <row r="431" spans="37:37" x14ac:dyDescent="0.2">
      <c r="AK431" s="685"/>
    </row>
    <row r="432" spans="37:37" x14ac:dyDescent="0.2">
      <c r="AK432" s="685"/>
    </row>
    <row r="433" spans="37:37" x14ac:dyDescent="0.2">
      <c r="AK433" s="685"/>
    </row>
    <row r="434" spans="37:37" x14ac:dyDescent="0.2">
      <c r="AK434" s="685"/>
    </row>
    <row r="435" spans="37:37" x14ac:dyDescent="0.2">
      <c r="AK435" s="685"/>
    </row>
    <row r="436" spans="37:37" x14ac:dyDescent="0.2">
      <c r="AK436" s="685"/>
    </row>
    <row r="437" spans="37:37" x14ac:dyDescent="0.2">
      <c r="AK437" s="685"/>
    </row>
    <row r="438" spans="37:37" x14ac:dyDescent="0.2">
      <c r="AK438" s="685"/>
    </row>
    <row r="439" spans="37:37" x14ac:dyDescent="0.2">
      <c r="AK439" s="685"/>
    </row>
    <row r="440" spans="37:37" x14ac:dyDescent="0.2">
      <c r="AK440" s="685"/>
    </row>
    <row r="441" spans="37:37" x14ac:dyDescent="0.2">
      <c r="AK441" s="685"/>
    </row>
    <row r="442" spans="37:37" x14ac:dyDescent="0.2">
      <c r="AK442" s="685"/>
    </row>
    <row r="443" spans="37:37" x14ac:dyDescent="0.2">
      <c r="AK443" s="685"/>
    </row>
    <row r="444" spans="37:37" x14ac:dyDescent="0.2">
      <c r="AK444" s="685"/>
    </row>
    <row r="445" spans="37:37" x14ac:dyDescent="0.2">
      <c r="AK445" s="685"/>
    </row>
    <row r="446" spans="37:37" x14ac:dyDescent="0.2">
      <c r="AK446" s="685"/>
    </row>
    <row r="447" spans="37:37" x14ac:dyDescent="0.2">
      <c r="AK447" s="685"/>
    </row>
    <row r="448" spans="37:37" x14ac:dyDescent="0.2">
      <c r="AK448" s="685"/>
    </row>
    <row r="449" spans="37:37" x14ac:dyDescent="0.2">
      <c r="AK449" s="685"/>
    </row>
    <row r="450" spans="37:37" x14ac:dyDescent="0.2">
      <c r="AK450" s="685"/>
    </row>
    <row r="451" spans="37:37" x14ac:dyDescent="0.2">
      <c r="AK451" s="685"/>
    </row>
    <row r="452" spans="37:37" x14ac:dyDescent="0.2">
      <c r="AK452" s="685"/>
    </row>
    <row r="453" spans="37:37" x14ac:dyDescent="0.2">
      <c r="AK453" s="685"/>
    </row>
    <row r="454" spans="37:37" x14ac:dyDescent="0.2">
      <c r="AK454" s="685"/>
    </row>
    <row r="455" spans="37:37" x14ac:dyDescent="0.2">
      <c r="AK455" s="685"/>
    </row>
    <row r="456" spans="37:37" x14ac:dyDescent="0.2">
      <c r="AK456" s="685"/>
    </row>
    <row r="457" spans="37:37" x14ac:dyDescent="0.2">
      <c r="AK457" s="685"/>
    </row>
    <row r="458" spans="37:37" x14ac:dyDescent="0.2">
      <c r="AK458" s="685"/>
    </row>
    <row r="459" spans="37:37" x14ac:dyDescent="0.2">
      <c r="AK459" s="685"/>
    </row>
    <row r="460" spans="37:37" x14ac:dyDescent="0.2">
      <c r="AK460" s="685"/>
    </row>
    <row r="461" spans="37:37" x14ac:dyDescent="0.2">
      <c r="AK461" s="685"/>
    </row>
    <row r="462" spans="37:37" x14ac:dyDescent="0.2">
      <c r="AK462" s="685"/>
    </row>
    <row r="463" spans="37:37" x14ac:dyDescent="0.2">
      <c r="AK463" s="685"/>
    </row>
    <row r="464" spans="37:37" x14ac:dyDescent="0.2">
      <c r="AK464" s="685"/>
    </row>
    <row r="465" spans="37:37" x14ac:dyDescent="0.2">
      <c r="AK465" s="685"/>
    </row>
    <row r="466" spans="37:37" x14ac:dyDescent="0.2">
      <c r="AK466" s="685"/>
    </row>
    <row r="467" spans="37:37" x14ac:dyDescent="0.2">
      <c r="AK467" s="685"/>
    </row>
    <row r="468" spans="37:37" x14ac:dyDescent="0.2">
      <c r="AK468" s="685"/>
    </row>
    <row r="469" spans="37:37" x14ac:dyDescent="0.2">
      <c r="AK469" s="685"/>
    </row>
    <row r="470" spans="37:37" x14ac:dyDescent="0.2">
      <c r="AK470" s="685"/>
    </row>
    <row r="471" spans="37:37" x14ac:dyDescent="0.2">
      <c r="AK471" s="685"/>
    </row>
    <row r="472" spans="37:37" x14ac:dyDescent="0.2">
      <c r="AK472" s="685"/>
    </row>
    <row r="473" spans="37:37" x14ac:dyDescent="0.2">
      <c r="AK473" s="685"/>
    </row>
    <row r="474" spans="37:37" x14ac:dyDescent="0.2">
      <c r="AK474" s="685"/>
    </row>
    <row r="475" spans="37:37" x14ac:dyDescent="0.2">
      <c r="AK475" s="685"/>
    </row>
    <row r="476" spans="37:37" x14ac:dyDescent="0.2">
      <c r="AK476" s="685"/>
    </row>
    <row r="477" spans="37:37" x14ac:dyDescent="0.2">
      <c r="AK477" s="685"/>
    </row>
    <row r="478" spans="37:37" x14ac:dyDescent="0.2">
      <c r="AK478" s="685"/>
    </row>
    <row r="479" spans="37:37" x14ac:dyDescent="0.2">
      <c r="AK479" s="685"/>
    </row>
    <row r="480" spans="37:37" x14ac:dyDescent="0.2">
      <c r="AK480" s="685"/>
    </row>
    <row r="481" spans="37:37" x14ac:dyDescent="0.2">
      <c r="AK481" s="685"/>
    </row>
    <row r="482" spans="37:37" x14ac:dyDescent="0.2">
      <c r="AK482" s="685"/>
    </row>
    <row r="483" spans="37:37" x14ac:dyDescent="0.2">
      <c r="AK483" s="685"/>
    </row>
    <row r="484" spans="37:37" x14ac:dyDescent="0.2">
      <c r="AK484" s="685"/>
    </row>
    <row r="485" spans="37:37" x14ac:dyDescent="0.2">
      <c r="AK485" s="685"/>
    </row>
    <row r="486" spans="37:37" x14ac:dyDescent="0.2">
      <c r="AK486" s="685"/>
    </row>
    <row r="487" spans="37:37" x14ac:dyDescent="0.2">
      <c r="AK487" s="685"/>
    </row>
    <row r="488" spans="37:37" x14ac:dyDescent="0.2">
      <c r="AK488" s="685"/>
    </row>
    <row r="489" spans="37:37" x14ac:dyDescent="0.2">
      <c r="AK489" s="685"/>
    </row>
    <row r="490" spans="37:37" x14ac:dyDescent="0.2">
      <c r="AK490" s="685"/>
    </row>
    <row r="491" spans="37:37" x14ac:dyDescent="0.2">
      <c r="AK491" s="685"/>
    </row>
    <row r="492" spans="37:37" x14ac:dyDescent="0.2">
      <c r="AK492" s="685"/>
    </row>
    <row r="493" spans="37:37" x14ac:dyDescent="0.2">
      <c r="AK493" s="685"/>
    </row>
    <row r="494" spans="37:37" x14ac:dyDescent="0.2">
      <c r="AK494" s="685"/>
    </row>
    <row r="495" spans="37:37" x14ac:dyDescent="0.2">
      <c r="AK495" s="685"/>
    </row>
    <row r="496" spans="37:37" x14ac:dyDescent="0.2">
      <c r="AK496" s="685"/>
    </row>
    <row r="497" spans="37:37" x14ac:dyDescent="0.2">
      <c r="AK497" s="685"/>
    </row>
    <row r="498" spans="37:37" x14ac:dyDescent="0.2">
      <c r="AK498" s="685"/>
    </row>
    <row r="499" spans="37:37" x14ac:dyDescent="0.2">
      <c r="AK499" s="685"/>
    </row>
    <row r="500" spans="37:37" x14ac:dyDescent="0.2">
      <c r="AK500" s="685"/>
    </row>
    <row r="501" spans="37:37" x14ac:dyDescent="0.2">
      <c r="AK501" s="685"/>
    </row>
    <row r="502" spans="37:37" x14ac:dyDescent="0.2">
      <c r="AK502" s="685"/>
    </row>
    <row r="503" spans="37:37" x14ac:dyDescent="0.2">
      <c r="AK503" s="685"/>
    </row>
    <row r="504" spans="37:37" x14ac:dyDescent="0.2">
      <c r="AK504" s="685"/>
    </row>
    <row r="505" spans="37:37" x14ac:dyDescent="0.2">
      <c r="AK505" s="685"/>
    </row>
    <row r="506" spans="37:37" x14ac:dyDescent="0.2">
      <c r="AK506" s="685"/>
    </row>
    <row r="507" spans="37:37" x14ac:dyDescent="0.2">
      <c r="AK507" s="685"/>
    </row>
    <row r="508" spans="37:37" x14ac:dyDescent="0.2">
      <c r="AK508" s="685"/>
    </row>
    <row r="509" spans="37:37" x14ac:dyDescent="0.2">
      <c r="AK509" s="685"/>
    </row>
    <row r="510" spans="37:37" x14ac:dyDescent="0.2">
      <c r="AK510" s="685"/>
    </row>
    <row r="511" spans="37:37" x14ac:dyDescent="0.2">
      <c r="AK511" s="685"/>
    </row>
    <row r="512" spans="37:37" x14ac:dyDescent="0.2">
      <c r="AK512" s="685"/>
    </row>
    <row r="513" spans="37:37" x14ac:dyDescent="0.2">
      <c r="AK513" s="685"/>
    </row>
    <row r="514" spans="37:37" x14ac:dyDescent="0.2">
      <c r="AK514" s="685"/>
    </row>
    <row r="515" spans="37:37" x14ac:dyDescent="0.2">
      <c r="AK515" s="685"/>
    </row>
    <row r="516" spans="37:37" x14ac:dyDescent="0.2">
      <c r="AK516" s="685"/>
    </row>
    <row r="517" spans="37:37" x14ac:dyDescent="0.2">
      <c r="AK517" s="685"/>
    </row>
    <row r="518" spans="37:37" x14ac:dyDescent="0.2">
      <c r="AK518" s="685"/>
    </row>
    <row r="519" spans="37:37" x14ac:dyDescent="0.2">
      <c r="AK519" s="685"/>
    </row>
    <row r="520" spans="37:37" x14ac:dyDescent="0.2">
      <c r="AK520" s="685"/>
    </row>
    <row r="521" spans="37:37" x14ac:dyDescent="0.2">
      <c r="AK521" s="685"/>
    </row>
    <row r="522" spans="37:37" x14ac:dyDescent="0.2">
      <c r="AK522" s="685"/>
    </row>
    <row r="523" spans="37:37" x14ac:dyDescent="0.2">
      <c r="AK523" s="685"/>
    </row>
    <row r="524" spans="37:37" x14ac:dyDescent="0.2">
      <c r="AK524" s="685"/>
    </row>
    <row r="525" spans="37:37" x14ac:dyDescent="0.2">
      <c r="AK525" s="685"/>
    </row>
    <row r="526" spans="37:37" x14ac:dyDescent="0.2">
      <c r="AK526" s="685"/>
    </row>
    <row r="527" spans="37:37" x14ac:dyDescent="0.2">
      <c r="AK527" s="685"/>
    </row>
    <row r="528" spans="37:37" x14ac:dyDescent="0.2">
      <c r="AK528" s="685"/>
    </row>
    <row r="529" spans="37:37" x14ac:dyDescent="0.2">
      <c r="AK529" s="685"/>
    </row>
    <row r="530" spans="37:37" x14ac:dyDescent="0.2">
      <c r="AK530" s="685"/>
    </row>
    <row r="531" spans="37:37" x14ac:dyDescent="0.2">
      <c r="AK531" s="685"/>
    </row>
    <row r="532" spans="37:37" x14ac:dyDescent="0.2">
      <c r="AK532" s="685"/>
    </row>
    <row r="533" spans="37:37" x14ac:dyDescent="0.2">
      <c r="AK533" s="685"/>
    </row>
    <row r="534" spans="37:37" x14ac:dyDescent="0.2">
      <c r="AK534" s="685"/>
    </row>
    <row r="535" spans="37:37" x14ac:dyDescent="0.2">
      <c r="AK535" s="685"/>
    </row>
    <row r="536" spans="37:37" x14ac:dyDescent="0.2">
      <c r="AK536" s="685"/>
    </row>
    <row r="537" spans="37:37" x14ac:dyDescent="0.2">
      <c r="AK537" s="685"/>
    </row>
    <row r="538" spans="37:37" x14ac:dyDescent="0.2">
      <c r="AK538" s="685"/>
    </row>
    <row r="539" spans="37:37" x14ac:dyDescent="0.2">
      <c r="AK539" s="685"/>
    </row>
    <row r="540" spans="37:37" x14ac:dyDescent="0.2">
      <c r="AK540" s="685"/>
    </row>
    <row r="541" spans="37:37" x14ac:dyDescent="0.2">
      <c r="AK541" s="685"/>
    </row>
    <row r="542" spans="37:37" x14ac:dyDescent="0.2">
      <c r="AK542" s="685"/>
    </row>
    <row r="543" spans="37:37" x14ac:dyDescent="0.2">
      <c r="AK543" s="685"/>
    </row>
    <row r="544" spans="37:37" x14ac:dyDescent="0.2">
      <c r="AK544" s="685"/>
    </row>
    <row r="545" spans="37:37" x14ac:dyDescent="0.2">
      <c r="AK545" s="685"/>
    </row>
    <row r="546" spans="37:37" x14ac:dyDescent="0.2">
      <c r="AK546" s="685"/>
    </row>
    <row r="547" spans="37:37" x14ac:dyDescent="0.2">
      <c r="AK547" s="685"/>
    </row>
    <row r="548" spans="37:37" x14ac:dyDescent="0.2">
      <c r="AK548" s="685"/>
    </row>
    <row r="549" spans="37:37" x14ac:dyDescent="0.2">
      <c r="AK549" s="685"/>
    </row>
    <row r="550" spans="37:37" x14ac:dyDescent="0.2">
      <c r="AK550" s="685"/>
    </row>
    <row r="551" spans="37:37" x14ac:dyDescent="0.2">
      <c r="AK551" s="685"/>
    </row>
    <row r="552" spans="37:37" x14ac:dyDescent="0.2">
      <c r="AK552" s="685"/>
    </row>
    <row r="553" spans="37:37" x14ac:dyDescent="0.2">
      <c r="AK553" s="685"/>
    </row>
    <row r="554" spans="37:37" x14ac:dyDescent="0.2">
      <c r="AK554" s="685"/>
    </row>
    <row r="555" spans="37:37" x14ac:dyDescent="0.2">
      <c r="AK555" s="685"/>
    </row>
    <row r="556" spans="37:37" x14ac:dyDescent="0.2">
      <c r="AK556" s="685"/>
    </row>
    <row r="557" spans="37:37" x14ac:dyDescent="0.2">
      <c r="AK557" s="685"/>
    </row>
    <row r="558" spans="37:37" x14ac:dyDescent="0.2">
      <c r="AK558" s="685"/>
    </row>
    <row r="559" spans="37:37" x14ac:dyDescent="0.2">
      <c r="AK559" s="685"/>
    </row>
    <row r="560" spans="37:37" x14ac:dyDescent="0.2">
      <c r="AK560" s="685"/>
    </row>
    <row r="561" spans="37:37" x14ac:dyDescent="0.2">
      <c r="AK561" s="685"/>
    </row>
    <row r="562" spans="37:37" x14ac:dyDescent="0.2">
      <c r="AK562" s="685"/>
    </row>
    <row r="563" spans="37:37" x14ac:dyDescent="0.2">
      <c r="AK563" s="685"/>
    </row>
    <row r="564" spans="37:37" x14ac:dyDescent="0.2">
      <c r="AK564" s="685"/>
    </row>
    <row r="565" spans="37:37" x14ac:dyDescent="0.2">
      <c r="AK565" s="685"/>
    </row>
    <row r="566" spans="37:37" x14ac:dyDescent="0.2">
      <c r="AK566" s="685"/>
    </row>
    <row r="567" spans="37:37" x14ac:dyDescent="0.2">
      <c r="AK567" s="685"/>
    </row>
    <row r="568" spans="37:37" x14ac:dyDescent="0.2">
      <c r="AK568" s="685"/>
    </row>
    <row r="569" spans="37:37" x14ac:dyDescent="0.2">
      <c r="AK569" s="685"/>
    </row>
    <row r="570" spans="37:37" x14ac:dyDescent="0.2">
      <c r="AK570" s="685"/>
    </row>
    <row r="571" spans="37:37" x14ac:dyDescent="0.2">
      <c r="AK571" s="685"/>
    </row>
    <row r="572" spans="37:37" x14ac:dyDescent="0.2">
      <c r="AK572" s="685"/>
    </row>
    <row r="573" spans="37:37" x14ac:dyDescent="0.2">
      <c r="AK573" s="685"/>
    </row>
    <row r="574" spans="37:37" x14ac:dyDescent="0.2">
      <c r="AK574" s="685"/>
    </row>
    <row r="575" spans="37:37" x14ac:dyDescent="0.2">
      <c r="AK575" s="685"/>
    </row>
    <row r="576" spans="37:37" x14ac:dyDescent="0.2">
      <c r="AK576" s="685"/>
    </row>
    <row r="577" spans="37:37" x14ac:dyDescent="0.2">
      <c r="AK577" s="685"/>
    </row>
    <row r="578" spans="37:37" x14ac:dyDescent="0.2">
      <c r="AK578" s="685"/>
    </row>
    <row r="579" spans="37:37" x14ac:dyDescent="0.2">
      <c r="AK579" s="685"/>
    </row>
    <row r="580" spans="37:37" x14ac:dyDescent="0.2">
      <c r="AK580" s="685"/>
    </row>
    <row r="581" spans="37:37" x14ac:dyDescent="0.2">
      <c r="AK581" s="685"/>
    </row>
    <row r="582" spans="37:37" x14ac:dyDescent="0.2">
      <c r="AK582" s="685"/>
    </row>
    <row r="583" spans="37:37" x14ac:dyDescent="0.2">
      <c r="AK583" s="685"/>
    </row>
    <row r="584" spans="37:37" x14ac:dyDescent="0.2">
      <c r="AK584" s="685"/>
    </row>
    <row r="585" spans="37:37" x14ac:dyDescent="0.2">
      <c r="AK585" s="685"/>
    </row>
    <row r="586" spans="37:37" x14ac:dyDescent="0.2">
      <c r="AK586" s="685"/>
    </row>
    <row r="587" spans="37:37" x14ac:dyDescent="0.2">
      <c r="AK587" s="685"/>
    </row>
    <row r="588" spans="37:37" x14ac:dyDescent="0.2">
      <c r="AK588" s="685"/>
    </row>
    <row r="589" spans="37:37" x14ac:dyDescent="0.2">
      <c r="AK589" s="685"/>
    </row>
    <row r="590" spans="37:37" x14ac:dyDescent="0.2">
      <c r="AK590" s="685"/>
    </row>
    <row r="591" spans="37:37" x14ac:dyDescent="0.2">
      <c r="AK591" s="685"/>
    </row>
    <row r="592" spans="37:37" x14ac:dyDescent="0.2">
      <c r="AK592" s="685"/>
    </row>
    <row r="593" spans="37:37" x14ac:dyDescent="0.2">
      <c r="AK593" s="685"/>
    </row>
    <row r="594" spans="37:37" x14ac:dyDescent="0.2">
      <c r="AK594" s="685"/>
    </row>
    <row r="595" spans="37:37" x14ac:dyDescent="0.2">
      <c r="AK595" s="685"/>
    </row>
    <row r="596" spans="37:37" x14ac:dyDescent="0.2">
      <c r="AK596" s="685"/>
    </row>
    <row r="597" spans="37:37" x14ac:dyDescent="0.2">
      <c r="AK597" s="685"/>
    </row>
    <row r="598" spans="37:37" x14ac:dyDescent="0.2">
      <c r="AK598" s="685"/>
    </row>
    <row r="599" spans="37:37" x14ac:dyDescent="0.2">
      <c r="AK599" s="685"/>
    </row>
    <row r="600" spans="37:37" x14ac:dyDescent="0.2">
      <c r="AK600" s="685"/>
    </row>
    <row r="601" spans="37:37" x14ac:dyDescent="0.2">
      <c r="AK601" s="685"/>
    </row>
    <row r="602" spans="37:37" x14ac:dyDescent="0.2">
      <c r="AK602" s="685"/>
    </row>
    <row r="603" spans="37:37" x14ac:dyDescent="0.2">
      <c r="AK603" s="685"/>
    </row>
    <row r="604" spans="37:37" x14ac:dyDescent="0.2">
      <c r="AK604" s="685"/>
    </row>
    <row r="605" spans="37:37" x14ac:dyDescent="0.2">
      <c r="AK605" s="685"/>
    </row>
    <row r="606" spans="37:37" x14ac:dyDescent="0.2">
      <c r="AK606" s="685"/>
    </row>
    <row r="607" spans="37:37" x14ac:dyDescent="0.2">
      <c r="AK607" s="685"/>
    </row>
    <row r="608" spans="37:37" x14ac:dyDescent="0.2">
      <c r="AK608" s="685"/>
    </row>
    <row r="609" spans="37:37" x14ac:dyDescent="0.2">
      <c r="AK609" s="685"/>
    </row>
    <row r="610" spans="37:37" x14ac:dyDescent="0.2">
      <c r="AK610" s="685"/>
    </row>
    <row r="611" spans="37:37" x14ac:dyDescent="0.2">
      <c r="AK611" s="685"/>
    </row>
    <row r="612" spans="37:37" x14ac:dyDescent="0.2">
      <c r="AK612" s="685"/>
    </row>
    <row r="613" spans="37:37" x14ac:dyDescent="0.2">
      <c r="AK613" s="685"/>
    </row>
    <row r="614" spans="37:37" x14ac:dyDescent="0.2">
      <c r="AK614" s="685"/>
    </row>
    <row r="615" spans="37:37" x14ac:dyDescent="0.2">
      <c r="AK615" s="685"/>
    </row>
    <row r="616" spans="37:37" x14ac:dyDescent="0.2">
      <c r="AK616" s="685"/>
    </row>
    <row r="617" spans="37:37" x14ac:dyDescent="0.2">
      <c r="AK617" s="685"/>
    </row>
    <row r="618" spans="37:37" x14ac:dyDescent="0.2">
      <c r="AK618" s="685"/>
    </row>
    <row r="619" spans="37:37" x14ac:dyDescent="0.2">
      <c r="AK619" s="685"/>
    </row>
    <row r="620" spans="37:37" x14ac:dyDescent="0.2">
      <c r="AK620" s="685"/>
    </row>
    <row r="621" spans="37:37" x14ac:dyDescent="0.2">
      <c r="AK621" s="685"/>
    </row>
    <row r="622" spans="37:37" x14ac:dyDescent="0.2">
      <c r="AK622" s="685"/>
    </row>
    <row r="623" spans="37:37" x14ac:dyDescent="0.2">
      <c r="AK623" s="685"/>
    </row>
    <row r="624" spans="37:37" x14ac:dyDescent="0.2">
      <c r="AK624" s="685"/>
    </row>
    <row r="625" spans="37:37" x14ac:dyDescent="0.2">
      <c r="AK625" s="685"/>
    </row>
    <row r="626" spans="37:37" x14ac:dyDescent="0.2">
      <c r="AK626" s="685"/>
    </row>
    <row r="627" spans="37:37" x14ac:dyDescent="0.2">
      <c r="AK627" s="685"/>
    </row>
    <row r="628" spans="37:37" x14ac:dyDescent="0.2">
      <c r="AK628" s="685"/>
    </row>
    <row r="629" spans="37:37" x14ac:dyDescent="0.2">
      <c r="AK629" s="685"/>
    </row>
    <row r="630" spans="37:37" x14ac:dyDescent="0.2">
      <c r="AK630" s="685"/>
    </row>
    <row r="631" spans="37:37" x14ac:dyDescent="0.2">
      <c r="AK631" s="685"/>
    </row>
    <row r="632" spans="37:37" x14ac:dyDescent="0.2">
      <c r="AK632" s="685"/>
    </row>
    <row r="633" spans="37:37" x14ac:dyDescent="0.2">
      <c r="AK633" s="685"/>
    </row>
    <row r="634" spans="37:37" x14ac:dyDescent="0.2">
      <c r="AK634" s="685"/>
    </row>
    <row r="635" spans="37:37" x14ac:dyDescent="0.2">
      <c r="AK635" s="685"/>
    </row>
    <row r="636" spans="37:37" x14ac:dyDescent="0.2">
      <c r="AK636" s="685"/>
    </row>
    <row r="637" spans="37:37" x14ac:dyDescent="0.2">
      <c r="AK637" s="685"/>
    </row>
    <row r="638" spans="37:37" x14ac:dyDescent="0.2">
      <c r="AK638" s="685"/>
    </row>
    <row r="639" spans="37:37" x14ac:dyDescent="0.2">
      <c r="AK639" s="685"/>
    </row>
    <row r="640" spans="37:37" x14ac:dyDescent="0.2">
      <c r="AK640" s="685"/>
    </row>
    <row r="641" spans="37:37" x14ac:dyDescent="0.2">
      <c r="AK641" s="685"/>
    </row>
    <row r="642" spans="37:37" x14ac:dyDescent="0.2">
      <c r="AK642" s="685"/>
    </row>
    <row r="643" spans="37:37" x14ac:dyDescent="0.2">
      <c r="AK643" s="685"/>
    </row>
    <row r="644" spans="37:37" x14ac:dyDescent="0.2">
      <c r="AK644" s="685"/>
    </row>
    <row r="645" spans="37:37" x14ac:dyDescent="0.2">
      <c r="AK645" s="685"/>
    </row>
    <row r="646" spans="37:37" x14ac:dyDescent="0.2">
      <c r="AK646" s="685"/>
    </row>
    <row r="647" spans="37:37" x14ac:dyDescent="0.2">
      <c r="AK647" s="685"/>
    </row>
    <row r="648" spans="37:37" x14ac:dyDescent="0.2">
      <c r="AK648" s="685"/>
    </row>
    <row r="649" spans="37:37" x14ac:dyDescent="0.2">
      <c r="AK649" s="685"/>
    </row>
    <row r="650" spans="37:37" x14ac:dyDescent="0.2">
      <c r="AK650" s="685"/>
    </row>
    <row r="651" spans="37:37" x14ac:dyDescent="0.2">
      <c r="AK651" s="685"/>
    </row>
    <row r="652" spans="37:37" x14ac:dyDescent="0.2">
      <c r="AK652" s="685"/>
    </row>
    <row r="653" spans="37:37" x14ac:dyDescent="0.2">
      <c r="AK653" s="685"/>
    </row>
    <row r="654" spans="37:37" x14ac:dyDescent="0.2">
      <c r="AK654" s="685"/>
    </row>
    <row r="655" spans="37:37" x14ac:dyDescent="0.2">
      <c r="AK655" s="685"/>
    </row>
    <row r="656" spans="37:37" x14ac:dyDescent="0.2">
      <c r="AK656" s="685"/>
    </row>
    <row r="657" spans="37:37" x14ac:dyDescent="0.2">
      <c r="AK657" s="685"/>
    </row>
    <row r="658" spans="37:37" x14ac:dyDescent="0.2">
      <c r="AK658" s="685"/>
    </row>
    <row r="659" spans="37:37" x14ac:dyDescent="0.2">
      <c r="AK659" s="685"/>
    </row>
    <row r="660" spans="37:37" x14ac:dyDescent="0.2">
      <c r="AK660" s="685"/>
    </row>
    <row r="661" spans="37:37" x14ac:dyDescent="0.2">
      <c r="AK661" s="685"/>
    </row>
    <row r="662" spans="37:37" x14ac:dyDescent="0.2">
      <c r="AK662" s="685"/>
    </row>
    <row r="663" spans="37:37" x14ac:dyDescent="0.2">
      <c r="AK663" s="685"/>
    </row>
    <row r="664" spans="37:37" x14ac:dyDescent="0.2">
      <c r="AK664" s="685"/>
    </row>
    <row r="665" spans="37:37" x14ac:dyDescent="0.2">
      <c r="AK665" s="685"/>
    </row>
    <row r="666" spans="37:37" x14ac:dyDescent="0.2">
      <c r="AK666" s="685"/>
    </row>
    <row r="667" spans="37:37" x14ac:dyDescent="0.2">
      <c r="AK667" s="685"/>
    </row>
    <row r="668" spans="37:37" x14ac:dyDescent="0.2">
      <c r="AK668" s="685"/>
    </row>
    <row r="669" spans="37:37" x14ac:dyDescent="0.2">
      <c r="AK669" s="685"/>
    </row>
    <row r="670" spans="37:37" x14ac:dyDescent="0.2">
      <c r="AK670" s="685"/>
    </row>
    <row r="671" spans="37:37" x14ac:dyDescent="0.2">
      <c r="AK671" s="685"/>
    </row>
    <row r="672" spans="37:37" x14ac:dyDescent="0.2">
      <c r="AK672" s="685"/>
    </row>
    <row r="673" spans="37:37" x14ac:dyDescent="0.2">
      <c r="AK673" s="685"/>
    </row>
    <row r="674" spans="37:37" x14ac:dyDescent="0.2">
      <c r="AK674" s="685"/>
    </row>
    <row r="675" spans="37:37" x14ac:dyDescent="0.2">
      <c r="AK675" s="685"/>
    </row>
    <row r="676" spans="37:37" x14ac:dyDescent="0.2">
      <c r="AK676" s="685"/>
    </row>
    <row r="677" spans="37:37" x14ac:dyDescent="0.2">
      <c r="AK677" s="685"/>
    </row>
    <row r="678" spans="37:37" x14ac:dyDescent="0.2">
      <c r="AK678" s="685"/>
    </row>
    <row r="679" spans="37:37" x14ac:dyDescent="0.2">
      <c r="AK679" s="685"/>
    </row>
    <row r="680" spans="37:37" x14ac:dyDescent="0.2">
      <c r="AK680" s="685"/>
    </row>
    <row r="681" spans="37:37" x14ac:dyDescent="0.2">
      <c r="AK681" s="685"/>
    </row>
    <row r="682" spans="37:37" x14ac:dyDescent="0.2">
      <c r="AK682" s="685"/>
    </row>
    <row r="683" spans="37:37" x14ac:dyDescent="0.2">
      <c r="AK683" s="685"/>
    </row>
    <row r="684" spans="37:37" x14ac:dyDescent="0.2">
      <c r="AK684" s="685"/>
    </row>
    <row r="685" spans="37:37" x14ac:dyDescent="0.2">
      <c r="AK685" s="685"/>
    </row>
    <row r="686" spans="37:37" x14ac:dyDescent="0.2">
      <c r="AK686" s="685"/>
    </row>
    <row r="687" spans="37:37" x14ac:dyDescent="0.2">
      <c r="AK687" s="685"/>
    </row>
    <row r="688" spans="37:37" x14ac:dyDescent="0.2">
      <c r="AK688" s="685"/>
    </row>
    <row r="689" spans="37:37" x14ac:dyDescent="0.2">
      <c r="AK689" s="685"/>
    </row>
    <row r="690" spans="37:37" x14ac:dyDescent="0.2">
      <c r="AK690" s="685"/>
    </row>
    <row r="691" spans="37:37" x14ac:dyDescent="0.2">
      <c r="AK691" s="685"/>
    </row>
    <row r="692" spans="37:37" x14ac:dyDescent="0.2">
      <c r="AK692" s="685"/>
    </row>
    <row r="693" spans="37:37" x14ac:dyDescent="0.2">
      <c r="AK693" s="685"/>
    </row>
    <row r="694" spans="37:37" x14ac:dyDescent="0.2">
      <c r="AK694" s="685"/>
    </row>
    <row r="695" spans="37:37" x14ac:dyDescent="0.2">
      <c r="AK695" s="685"/>
    </row>
    <row r="696" spans="37:37" x14ac:dyDescent="0.2">
      <c r="AK696" s="685"/>
    </row>
    <row r="697" spans="37:37" x14ac:dyDescent="0.2">
      <c r="AK697" s="685"/>
    </row>
    <row r="698" spans="37:37" x14ac:dyDescent="0.2">
      <c r="AK698" s="685"/>
    </row>
    <row r="699" spans="37:37" x14ac:dyDescent="0.2">
      <c r="AK699" s="685"/>
    </row>
    <row r="700" spans="37:37" x14ac:dyDescent="0.2">
      <c r="AK700" s="685"/>
    </row>
    <row r="701" spans="37:37" x14ac:dyDescent="0.2">
      <c r="AK701" s="685"/>
    </row>
    <row r="702" spans="37:37" x14ac:dyDescent="0.2">
      <c r="AK702" s="685"/>
    </row>
    <row r="703" spans="37:37" x14ac:dyDescent="0.2">
      <c r="AK703" s="685"/>
    </row>
    <row r="704" spans="37:37" x14ac:dyDescent="0.2">
      <c r="AK704" s="685"/>
    </row>
    <row r="705" spans="37:37" x14ac:dyDescent="0.2">
      <c r="AK705" s="685"/>
    </row>
    <row r="706" spans="37:37" x14ac:dyDescent="0.2">
      <c r="AK706" s="685"/>
    </row>
    <row r="707" spans="37:37" x14ac:dyDescent="0.2">
      <c r="AK707" s="685"/>
    </row>
    <row r="708" spans="37:37" x14ac:dyDescent="0.2">
      <c r="AK708" s="685"/>
    </row>
    <row r="709" spans="37:37" x14ac:dyDescent="0.2">
      <c r="AK709" s="685"/>
    </row>
    <row r="710" spans="37:37" x14ac:dyDescent="0.2">
      <c r="AK710" s="685"/>
    </row>
    <row r="711" spans="37:37" x14ac:dyDescent="0.2">
      <c r="AK711" s="685"/>
    </row>
    <row r="712" spans="37:37" x14ac:dyDescent="0.2">
      <c r="AK712" s="685"/>
    </row>
    <row r="713" spans="37:37" x14ac:dyDescent="0.2">
      <c r="AK713" s="685"/>
    </row>
    <row r="714" spans="37:37" x14ac:dyDescent="0.2">
      <c r="AK714" s="685"/>
    </row>
    <row r="715" spans="37:37" x14ac:dyDescent="0.2">
      <c r="AK715" s="685"/>
    </row>
    <row r="716" spans="37:37" x14ac:dyDescent="0.2">
      <c r="AK716" s="685"/>
    </row>
    <row r="717" spans="37:37" x14ac:dyDescent="0.2">
      <c r="AK717" s="685"/>
    </row>
    <row r="718" spans="37:37" x14ac:dyDescent="0.2">
      <c r="AK718" s="685"/>
    </row>
    <row r="719" spans="37:37" x14ac:dyDescent="0.2">
      <c r="AK719" s="685"/>
    </row>
    <row r="720" spans="37:37" x14ac:dyDescent="0.2">
      <c r="AK720" s="685"/>
    </row>
    <row r="721" spans="37:37" x14ac:dyDescent="0.2">
      <c r="AK721" s="685"/>
    </row>
    <row r="722" spans="37:37" x14ac:dyDescent="0.2">
      <c r="AK722" s="685"/>
    </row>
    <row r="723" spans="37:37" x14ac:dyDescent="0.2">
      <c r="AK723" s="685"/>
    </row>
    <row r="724" spans="37:37" x14ac:dyDescent="0.2">
      <c r="AK724" s="685"/>
    </row>
    <row r="725" spans="37:37" x14ac:dyDescent="0.2">
      <c r="AK725" s="685"/>
    </row>
    <row r="726" spans="37:37" x14ac:dyDescent="0.2">
      <c r="AK726" s="685"/>
    </row>
    <row r="727" spans="37:37" x14ac:dyDescent="0.2">
      <c r="AK727" s="685"/>
    </row>
    <row r="728" spans="37:37" x14ac:dyDescent="0.2">
      <c r="AK728" s="685"/>
    </row>
    <row r="729" spans="37:37" x14ac:dyDescent="0.2">
      <c r="AK729" s="685"/>
    </row>
    <row r="730" spans="37:37" x14ac:dyDescent="0.2">
      <c r="AK730" s="685"/>
    </row>
    <row r="731" spans="37:37" x14ac:dyDescent="0.2">
      <c r="AK731" s="685"/>
    </row>
    <row r="732" spans="37:37" x14ac:dyDescent="0.2">
      <c r="AK732" s="685"/>
    </row>
    <row r="733" spans="37:37" x14ac:dyDescent="0.2">
      <c r="AK733" s="685"/>
    </row>
    <row r="734" spans="37:37" x14ac:dyDescent="0.2">
      <c r="AK734" s="685"/>
    </row>
    <row r="735" spans="37:37" x14ac:dyDescent="0.2">
      <c r="AK735" s="685"/>
    </row>
    <row r="736" spans="37:37" x14ac:dyDescent="0.2">
      <c r="AK736" s="685"/>
    </row>
    <row r="737" spans="37:37" x14ac:dyDescent="0.2">
      <c r="AK737" s="685"/>
    </row>
    <row r="738" spans="37:37" x14ac:dyDescent="0.2">
      <c r="AK738" s="685"/>
    </row>
    <row r="739" spans="37:37" x14ac:dyDescent="0.2">
      <c r="AK739" s="685"/>
    </row>
    <row r="740" spans="37:37" x14ac:dyDescent="0.2">
      <c r="AK740" s="685"/>
    </row>
    <row r="741" spans="37:37" x14ac:dyDescent="0.2">
      <c r="AK741" s="685"/>
    </row>
    <row r="742" spans="37:37" x14ac:dyDescent="0.2">
      <c r="AK742" s="685"/>
    </row>
    <row r="743" spans="37:37" x14ac:dyDescent="0.2">
      <c r="AK743" s="685"/>
    </row>
    <row r="744" spans="37:37" x14ac:dyDescent="0.2">
      <c r="AK744" s="685"/>
    </row>
    <row r="745" spans="37:37" x14ac:dyDescent="0.2">
      <c r="AK745" s="685"/>
    </row>
    <row r="746" spans="37:37" x14ac:dyDescent="0.2">
      <c r="AK746" s="685"/>
    </row>
    <row r="747" spans="37:37" x14ac:dyDescent="0.2">
      <c r="AK747" s="685"/>
    </row>
    <row r="748" spans="37:37" x14ac:dyDescent="0.2">
      <c r="AK748" s="685"/>
    </row>
    <row r="749" spans="37:37" x14ac:dyDescent="0.2">
      <c r="AK749" s="685"/>
    </row>
    <row r="750" spans="37:37" x14ac:dyDescent="0.2">
      <c r="AK750" s="685"/>
    </row>
    <row r="751" spans="37:37" x14ac:dyDescent="0.2">
      <c r="AK751" s="685"/>
    </row>
    <row r="752" spans="37:37" x14ac:dyDescent="0.2">
      <c r="AK752" s="685"/>
    </row>
    <row r="753" spans="37:37" x14ac:dyDescent="0.2">
      <c r="AK753" s="685"/>
    </row>
    <row r="754" spans="37:37" x14ac:dyDescent="0.2">
      <c r="AK754" s="685"/>
    </row>
    <row r="755" spans="37:37" x14ac:dyDescent="0.2">
      <c r="AK755" s="685"/>
    </row>
    <row r="756" spans="37:37" x14ac:dyDescent="0.2">
      <c r="AK756" s="685"/>
    </row>
    <row r="757" spans="37:37" x14ac:dyDescent="0.2">
      <c r="AK757" s="685"/>
    </row>
    <row r="758" spans="37:37" x14ac:dyDescent="0.2">
      <c r="AK758" s="685"/>
    </row>
    <row r="759" spans="37:37" x14ac:dyDescent="0.2">
      <c r="AK759" s="685"/>
    </row>
    <row r="760" spans="37:37" x14ac:dyDescent="0.2">
      <c r="AK760" s="685"/>
    </row>
    <row r="761" spans="37:37" x14ac:dyDescent="0.2">
      <c r="AK761" s="685"/>
    </row>
    <row r="762" spans="37:37" x14ac:dyDescent="0.2">
      <c r="AK762" s="685"/>
    </row>
    <row r="763" spans="37:37" x14ac:dyDescent="0.2">
      <c r="AK763" s="685"/>
    </row>
    <row r="764" spans="37:37" x14ac:dyDescent="0.2">
      <c r="AK764" s="685"/>
    </row>
    <row r="765" spans="37:37" x14ac:dyDescent="0.2">
      <c r="AK765" s="685"/>
    </row>
    <row r="766" spans="37:37" x14ac:dyDescent="0.2">
      <c r="AK766" s="685"/>
    </row>
    <row r="767" spans="37:37" x14ac:dyDescent="0.2">
      <c r="AK767" s="685"/>
    </row>
    <row r="768" spans="37:37" x14ac:dyDescent="0.2">
      <c r="AK768" s="685"/>
    </row>
    <row r="769" spans="37:37" x14ac:dyDescent="0.2">
      <c r="AK769" s="685"/>
    </row>
    <row r="770" spans="37:37" x14ac:dyDescent="0.2">
      <c r="AK770" s="685"/>
    </row>
    <row r="771" spans="37:37" x14ac:dyDescent="0.2">
      <c r="AK771" s="685"/>
    </row>
    <row r="772" spans="37:37" x14ac:dyDescent="0.2">
      <c r="AK772" s="685"/>
    </row>
    <row r="773" spans="37:37" x14ac:dyDescent="0.2">
      <c r="AK773" s="685"/>
    </row>
    <row r="774" spans="37:37" x14ac:dyDescent="0.2">
      <c r="AK774" s="685"/>
    </row>
    <row r="775" spans="37:37" x14ac:dyDescent="0.2">
      <c r="AK775" s="685"/>
    </row>
    <row r="776" spans="37:37" x14ac:dyDescent="0.2">
      <c r="AK776" s="685"/>
    </row>
    <row r="777" spans="37:37" x14ac:dyDescent="0.2">
      <c r="AK777" s="685"/>
    </row>
    <row r="778" spans="37:37" x14ac:dyDescent="0.2">
      <c r="AK778" s="685"/>
    </row>
    <row r="779" spans="37:37" x14ac:dyDescent="0.2">
      <c r="AK779" s="685"/>
    </row>
    <row r="780" spans="37:37" x14ac:dyDescent="0.2">
      <c r="AK780" s="685"/>
    </row>
    <row r="781" spans="37:37" x14ac:dyDescent="0.2">
      <c r="AK781" s="685"/>
    </row>
    <row r="782" spans="37:37" x14ac:dyDescent="0.2">
      <c r="AK782" s="685"/>
    </row>
    <row r="783" spans="37:37" x14ac:dyDescent="0.2">
      <c r="AK783" s="685"/>
    </row>
    <row r="784" spans="37:37" x14ac:dyDescent="0.2">
      <c r="AK784" s="685"/>
    </row>
    <row r="785" spans="37:37" x14ac:dyDescent="0.2">
      <c r="AK785" s="685"/>
    </row>
    <row r="786" spans="37:37" x14ac:dyDescent="0.2">
      <c r="AK786" s="685"/>
    </row>
    <row r="787" spans="37:37" x14ac:dyDescent="0.2">
      <c r="AK787" s="685"/>
    </row>
    <row r="788" spans="37:37" x14ac:dyDescent="0.2">
      <c r="AK788" s="685"/>
    </row>
    <row r="789" spans="37:37" x14ac:dyDescent="0.2">
      <c r="AK789" s="685"/>
    </row>
    <row r="790" spans="37:37" x14ac:dyDescent="0.2">
      <c r="AK790" s="685"/>
    </row>
    <row r="791" spans="37:37" x14ac:dyDescent="0.2">
      <c r="AK791" s="685"/>
    </row>
    <row r="792" spans="37:37" x14ac:dyDescent="0.2">
      <c r="AK792" s="685"/>
    </row>
    <row r="793" spans="37:37" x14ac:dyDescent="0.2">
      <c r="AK793" s="685"/>
    </row>
    <row r="794" spans="37:37" x14ac:dyDescent="0.2">
      <c r="AK794" s="685"/>
    </row>
    <row r="795" spans="37:37" x14ac:dyDescent="0.2">
      <c r="AK795" s="685"/>
    </row>
    <row r="796" spans="37:37" x14ac:dyDescent="0.2">
      <c r="AK796" s="685"/>
    </row>
    <row r="797" spans="37:37" x14ac:dyDescent="0.2">
      <c r="AK797" s="685"/>
    </row>
    <row r="798" spans="37:37" x14ac:dyDescent="0.2">
      <c r="AK798" s="685"/>
    </row>
    <row r="799" spans="37:37" x14ac:dyDescent="0.2">
      <c r="AK799" s="685"/>
    </row>
    <row r="800" spans="37:37" x14ac:dyDescent="0.2">
      <c r="AK800" s="685"/>
    </row>
    <row r="801" spans="37:37" x14ac:dyDescent="0.2">
      <c r="AK801" s="685"/>
    </row>
    <row r="802" spans="37:37" x14ac:dyDescent="0.2">
      <c r="AK802" s="685"/>
    </row>
    <row r="803" spans="37:37" x14ac:dyDescent="0.2">
      <c r="AK803" s="685"/>
    </row>
    <row r="804" spans="37:37" x14ac:dyDescent="0.2">
      <c r="AK804" s="685"/>
    </row>
    <row r="805" spans="37:37" x14ac:dyDescent="0.2">
      <c r="AK805" s="685"/>
    </row>
    <row r="806" spans="37:37" x14ac:dyDescent="0.2">
      <c r="AK806" s="685"/>
    </row>
    <row r="807" spans="37:37" x14ac:dyDescent="0.2">
      <c r="AK807" s="685"/>
    </row>
    <row r="808" spans="37:37" x14ac:dyDescent="0.2">
      <c r="AK808" s="685"/>
    </row>
    <row r="809" spans="37:37" x14ac:dyDescent="0.2">
      <c r="AK809" s="685"/>
    </row>
    <row r="810" spans="37:37" x14ac:dyDescent="0.2">
      <c r="AK810" s="685"/>
    </row>
    <row r="811" spans="37:37" x14ac:dyDescent="0.2">
      <c r="AK811" s="685"/>
    </row>
    <row r="812" spans="37:37" x14ac:dyDescent="0.2">
      <c r="AK812" s="685"/>
    </row>
    <row r="813" spans="37:37" x14ac:dyDescent="0.2">
      <c r="AK813" s="685"/>
    </row>
    <row r="814" spans="37:37" x14ac:dyDescent="0.2">
      <c r="AK814" s="685"/>
    </row>
    <row r="815" spans="37:37" x14ac:dyDescent="0.2">
      <c r="AK815" s="685"/>
    </row>
    <row r="816" spans="37:37" x14ac:dyDescent="0.2">
      <c r="AK816" s="685"/>
    </row>
    <row r="817" spans="37:37" x14ac:dyDescent="0.2">
      <c r="AK817" s="685"/>
    </row>
    <row r="818" spans="37:37" x14ac:dyDescent="0.2">
      <c r="AK818" s="685"/>
    </row>
    <row r="819" spans="37:37" x14ac:dyDescent="0.2">
      <c r="AK819" s="685"/>
    </row>
    <row r="820" spans="37:37" x14ac:dyDescent="0.2">
      <c r="AK820" s="685"/>
    </row>
    <row r="821" spans="37:37" x14ac:dyDescent="0.2">
      <c r="AK821" s="685"/>
    </row>
    <row r="822" spans="37:37" x14ac:dyDescent="0.2">
      <c r="AK822" s="685"/>
    </row>
    <row r="823" spans="37:37" x14ac:dyDescent="0.2">
      <c r="AK823" s="685"/>
    </row>
    <row r="824" spans="37:37" x14ac:dyDescent="0.2">
      <c r="AK824" s="685"/>
    </row>
    <row r="825" spans="37:37" x14ac:dyDescent="0.2">
      <c r="AK825" s="685"/>
    </row>
    <row r="826" spans="37:37" x14ac:dyDescent="0.2">
      <c r="AK826" s="685"/>
    </row>
    <row r="827" spans="37:37" x14ac:dyDescent="0.2">
      <c r="AK827" s="685"/>
    </row>
    <row r="828" spans="37:37" x14ac:dyDescent="0.2">
      <c r="AK828" s="685"/>
    </row>
    <row r="829" spans="37:37" x14ac:dyDescent="0.2">
      <c r="AK829" s="685"/>
    </row>
    <row r="830" spans="37:37" x14ac:dyDescent="0.2">
      <c r="AK830" s="685"/>
    </row>
    <row r="831" spans="37:37" x14ac:dyDescent="0.2">
      <c r="AK831" s="685"/>
    </row>
    <row r="832" spans="37:37" x14ac:dyDescent="0.2">
      <c r="AK832" s="685"/>
    </row>
    <row r="833" spans="37:37" x14ac:dyDescent="0.2">
      <c r="AK833" s="685"/>
    </row>
    <row r="834" spans="37:37" x14ac:dyDescent="0.2">
      <c r="AK834" s="685"/>
    </row>
    <row r="835" spans="37:37" x14ac:dyDescent="0.2">
      <c r="AK835" s="685"/>
    </row>
    <row r="836" spans="37:37" x14ac:dyDescent="0.2">
      <c r="AK836" s="685"/>
    </row>
    <row r="837" spans="37:37" x14ac:dyDescent="0.2">
      <c r="AK837" s="685"/>
    </row>
    <row r="838" spans="37:37" x14ac:dyDescent="0.2">
      <c r="AK838" s="685"/>
    </row>
    <row r="839" spans="37:37" x14ac:dyDescent="0.2">
      <c r="AK839" s="685"/>
    </row>
    <row r="840" spans="37:37" x14ac:dyDescent="0.2">
      <c r="AK840" s="685"/>
    </row>
    <row r="841" spans="37:37" x14ac:dyDescent="0.2">
      <c r="AK841" s="685"/>
    </row>
    <row r="842" spans="37:37" x14ac:dyDescent="0.2">
      <c r="AK842" s="685"/>
    </row>
    <row r="843" spans="37:37" x14ac:dyDescent="0.2">
      <c r="AK843" s="685"/>
    </row>
    <row r="844" spans="37:37" x14ac:dyDescent="0.2">
      <c r="AK844" s="685"/>
    </row>
    <row r="845" spans="37:37" x14ac:dyDescent="0.2">
      <c r="AK845" s="685"/>
    </row>
    <row r="846" spans="37:37" x14ac:dyDescent="0.2">
      <c r="AK846" s="685"/>
    </row>
    <row r="847" spans="37:37" x14ac:dyDescent="0.2">
      <c r="AK847" s="685"/>
    </row>
    <row r="848" spans="37:37" x14ac:dyDescent="0.2">
      <c r="AK848" s="685"/>
    </row>
    <row r="849" spans="37:37" x14ac:dyDescent="0.2">
      <c r="AK849" s="685"/>
    </row>
    <row r="850" spans="37:37" x14ac:dyDescent="0.2">
      <c r="AK850" s="685"/>
    </row>
    <row r="851" spans="37:37" x14ac:dyDescent="0.2">
      <c r="AK851" s="685"/>
    </row>
    <row r="852" spans="37:37" x14ac:dyDescent="0.2">
      <c r="AK852" s="685"/>
    </row>
    <row r="853" spans="37:37" x14ac:dyDescent="0.2">
      <c r="AK853" s="685"/>
    </row>
    <row r="854" spans="37:37" x14ac:dyDescent="0.2">
      <c r="AK854" s="685"/>
    </row>
    <row r="855" spans="37:37" x14ac:dyDescent="0.2">
      <c r="AK855" s="685"/>
    </row>
    <row r="856" spans="37:37" x14ac:dyDescent="0.2">
      <c r="AK856" s="685"/>
    </row>
    <row r="857" spans="37:37" x14ac:dyDescent="0.2">
      <c r="AK857" s="685"/>
    </row>
    <row r="858" spans="37:37" x14ac:dyDescent="0.2">
      <c r="AK858" s="685"/>
    </row>
    <row r="859" spans="37:37" x14ac:dyDescent="0.2">
      <c r="AK859" s="685"/>
    </row>
    <row r="860" spans="37:37" x14ac:dyDescent="0.2">
      <c r="AK860" s="685"/>
    </row>
    <row r="861" spans="37:37" x14ac:dyDescent="0.2">
      <c r="AK861" s="685"/>
    </row>
    <row r="862" spans="37:37" x14ac:dyDescent="0.2">
      <c r="AK862" s="685"/>
    </row>
    <row r="863" spans="37:37" x14ac:dyDescent="0.2">
      <c r="AK863" s="685"/>
    </row>
    <row r="864" spans="37:37" x14ac:dyDescent="0.2">
      <c r="AK864" s="685"/>
    </row>
    <row r="865" spans="37:37" x14ac:dyDescent="0.2">
      <c r="AK865" s="685"/>
    </row>
    <row r="866" spans="37:37" x14ac:dyDescent="0.2">
      <c r="AK866" s="685"/>
    </row>
    <row r="867" spans="37:37" x14ac:dyDescent="0.2">
      <c r="AK867" s="685"/>
    </row>
    <row r="868" spans="37:37" x14ac:dyDescent="0.2">
      <c r="AK868" s="685"/>
    </row>
    <row r="869" spans="37:37" x14ac:dyDescent="0.2">
      <c r="AK869" s="685"/>
    </row>
    <row r="870" spans="37:37" x14ac:dyDescent="0.2">
      <c r="AK870" s="685"/>
    </row>
    <row r="871" spans="37:37" x14ac:dyDescent="0.2">
      <c r="AK871" s="685"/>
    </row>
    <row r="872" spans="37:37" x14ac:dyDescent="0.2">
      <c r="AK872" s="685"/>
    </row>
    <row r="873" spans="37:37" x14ac:dyDescent="0.2">
      <c r="AK873" s="685"/>
    </row>
    <row r="874" spans="37:37" x14ac:dyDescent="0.2">
      <c r="AK874" s="685"/>
    </row>
    <row r="875" spans="37:37" x14ac:dyDescent="0.2">
      <c r="AK875" s="685"/>
    </row>
    <row r="876" spans="37:37" x14ac:dyDescent="0.2">
      <c r="AK876" s="685"/>
    </row>
    <row r="877" spans="37:37" x14ac:dyDescent="0.2">
      <c r="AK877" s="685"/>
    </row>
    <row r="878" spans="37:37" x14ac:dyDescent="0.2">
      <c r="AK878" s="685"/>
    </row>
    <row r="879" spans="37:37" x14ac:dyDescent="0.2">
      <c r="AK879" s="685"/>
    </row>
    <row r="880" spans="37:37" x14ac:dyDescent="0.2">
      <c r="AK880" s="685"/>
    </row>
    <row r="881" spans="37:37" x14ac:dyDescent="0.2">
      <c r="AK881" s="685"/>
    </row>
    <row r="882" spans="37:37" x14ac:dyDescent="0.2">
      <c r="AK882" s="685"/>
    </row>
    <row r="883" spans="37:37" x14ac:dyDescent="0.2">
      <c r="AK883" s="685"/>
    </row>
    <row r="884" spans="37:37" x14ac:dyDescent="0.2">
      <c r="AK884" s="685"/>
    </row>
    <row r="885" spans="37:37" x14ac:dyDescent="0.2">
      <c r="AK885" s="685"/>
    </row>
    <row r="886" spans="37:37" x14ac:dyDescent="0.2">
      <c r="AK886" s="685"/>
    </row>
    <row r="887" spans="37:37" x14ac:dyDescent="0.2">
      <c r="AK887" s="685"/>
    </row>
    <row r="888" spans="37:37" x14ac:dyDescent="0.2">
      <c r="AK888" s="685"/>
    </row>
    <row r="889" spans="37:37" x14ac:dyDescent="0.2">
      <c r="AK889" s="685"/>
    </row>
    <row r="890" spans="37:37" x14ac:dyDescent="0.2">
      <c r="AK890" s="685"/>
    </row>
    <row r="891" spans="37:37" x14ac:dyDescent="0.2">
      <c r="AK891" s="685"/>
    </row>
    <row r="892" spans="37:37" x14ac:dyDescent="0.2">
      <c r="AK892" s="685"/>
    </row>
    <row r="893" spans="37:37" x14ac:dyDescent="0.2">
      <c r="AK893" s="685"/>
    </row>
    <row r="894" spans="37:37" x14ac:dyDescent="0.2">
      <c r="AK894" s="685"/>
    </row>
    <row r="895" spans="37:37" x14ac:dyDescent="0.2">
      <c r="AK895" s="685"/>
    </row>
    <row r="896" spans="37:37" x14ac:dyDescent="0.2">
      <c r="AK896" s="685"/>
    </row>
    <row r="897" spans="37:37" x14ac:dyDescent="0.2">
      <c r="AK897" s="685"/>
    </row>
    <row r="898" spans="37:37" x14ac:dyDescent="0.2">
      <c r="AK898" s="685"/>
    </row>
    <row r="899" spans="37:37" x14ac:dyDescent="0.2">
      <c r="AK899" s="685"/>
    </row>
    <row r="900" spans="37:37" x14ac:dyDescent="0.2">
      <c r="AK900" s="685"/>
    </row>
    <row r="901" spans="37:37" x14ac:dyDescent="0.2">
      <c r="AK901" s="685"/>
    </row>
    <row r="902" spans="37:37" x14ac:dyDescent="0.2">
      <c r="AK902" s="685"/>
    </row>
    <row r="903" spans="37:37" x14ac:dyDescent="0.2">
      <c r="AK903" s="685"/>
    </row>
    <row r="904" spans="37:37" x14ac:dyDescent="0.2">
      <c r="AK904" s="685"/>
    </row>
    <row r="905" spans="37:37" x14ac:dyDescent="0.2">
      <c r="AK905" s="685"/>
    </row>
    <row r="906" spans="37:37" x14ac:dyDescent="0.2">
      <c r="AK906" s="685"/>
    </row>
    <row r="907" spans="37:37" x14ac:dyDescent="0.2">
      <c r="AK907" s="685"/>
    </row>
    <row r="908" spans="37:37" x14ac:dyDescent="0.2">
      <c r="AK908" s="685"/>
    </row>
    <row r="909" spans="37:37" x14ac:dyDescent="0.2">
      <c r="AK909" s="685"/>
    </row>
    <row r="910" spans="37:37" x14ac:dyDescent="0.2">
      <c r="AK910" s="685"/>
    </row>
    <row r="911" spans="37:37" x14ac:dyDescent="0.2">
      <c r="AK911" s="685"/>
    </row>
    <row r="912" spans="37:37" x14ac:dyDescent="0.2">
      <c r="AK912" s="685"/>
    </row>
    <row r="913" spans="37:37" x14ac:dyDescent="0.2">
      <c r="AK913" s="685"/>
    </row>
    <row r="914" spans="37:37" x14ac:dyDescent="0.2">
      <c r="AK914" s="685"/>
    </row>
    <row r="915" spans="37:37" x14ac:dyDescent="0.2">
      <c r="AK915" s="685"/>
    </row>
    <row r="916" spans="37:37" x14ac:dyDescent="0.2">
      <c r="AK916" s="685"/>
    </row>
    <row r="917" spans="37:37" x14ac:dyDescent="0.2">
      <c r="AK917" s="685"/>
    </row>
    <row r="918" spans="37:37" x14ac:dyDescent="0.2">
      <c r="AK918" s="685"/>
    </row>
    <row r="919" spans="37:37" x14ac:dyDescent="0.2">
      <c r="AK919" s="685"/>
    </row>
    <row r="920" spans="37:37" x14ac:dyDescent="0.2">
      <c r="AK920" s="685">
        <f t="shared" ref="AK920:AK983" si="29">SUM(O920:AJ920)</f>
        <v>0</v>
      </c>
    </row>
    <row r="921" spans="37:37" x14ac:dyDescent="0.2">
      <c r="AK921" s="685">
        <f t="shared" si="29"/>
        <v>0</v>
      </c>
    </row>
    <row r="922" spans="37:37" x14ac:dyDescent="0.2">
      <c r="AK922" s="685">
        <f t="shared" si="29"/>
        <v>0</v>
      </c>
    </row>
    <row r="923" spans="37:37" x14ac:dyDescent="0.2">
      <c r="AK923" s="685">
        <f t="shared" si="29"/>
        <v>0</v>
      </c>
    </row>
    <row r="924" spans="37:37" x14ac:dyDescent="0.2">
      <c r="AK924" s="685">
        <f t="shared" si="29"/>
        <v>0</v>
      </c>
    </row>
    <row r="925" spans="37:37" x14ac:dyDescent="0.2">
      <c r="AK925" s="685">
        <f t="shared" si="29"/>
        <v>0</v>
      </c>
    </row>
    <row r="926" spans="37:37" x14ac:dyDescent="0.2">
      <c r="AK926" s="685">
        <f t="shared" si="29"/>
        <v>0</v>
      </c>
    </row>
    <row r="927" spans="37:37" x14ac:dyDescent="0.2">
      <c r="AK927" s="685">
        <f t="shared" si="29"/>
        <v>0</v>
      </c>
    </row>
    <row r="928" spans="37:37" x14ac:dyDescent="0.2">
      <c r="AK928" s="685">
        <f t="shared" si="29"/>
        <v>0</v>
      </c>
    </row>
    <row r="929" spans="37:37" x14ac:dyDescent="0.2">
      <c r="AK929" s="685">
        <f t="shared" si="29"/>
        <v>0</v>
      </c>
    </row>
    <row r="930" spans="37:37" x14ac:dyDescent="0.2">
      <c r="AK930" s="685">
        <f t="shared" si="29"/>
        <v>0</v>
      </c>
    </row>
    <row r="931" spans="37:37" x14ac:dyDescent="0.2">
      <c r="AK931" s="685">
        <f t="shared" si="29"/>
        <v>0</v>
      </c>
    </row>
    <row r="932" spans="37:37" x14ac:dyDescent="0.2">
      <c r="AK932" s="685">
        <f t="shared" si="29"/>
        <v>0</v>
      </c>
    </row>
    <row r="933" spans="37:37" x14ac:dyDescent="0.2">
      <c r="AK933" s="685">
        <f t="shared" si="29"/>
        <v>0</v>
      </c>
    </row>
    <row r="934" spans="37:37" x14ac:dyDescent="0.2">
      <c r="AK934" s="685">
        <f t="shared" si="29"/>
        <v>0</v>
      </c>
    </row>
    <row r="935" spans="37:37" x14ac:dyDescent="0.2">
      <c r="AK935" s="685">
        <f t="shared" si="29"/>
        <v>0</v>
      </c>
    </row>
    <row r="936" spans="37:37" x14ac:dyDescent="0.2">
      <c r="AK936" s="685">
        <f t="shared" si="29"/>
        <v>0</v>
      </c>
    </row>
    <row r="937" spans="37:37" x14ac:dyDescent="0.2">
      <c r="AK937" s="685">
        <f t="shared" si="29"/>
        <v>0</v>
      </c>
    </row>
    <row r="938" spans="37:37" x14ac:dyDescent="0.2">
      <c r="AK938" s="685">
        <f t="shared" si="29"/>
        <v>0</v>
      </c>
    </row>
    <row r="939" spans="37:37" x14ac:dyDescent="0.2">
      <c r="AK939" s="685">
        <f t="shared" si="29"/>
        <v>0</v>
      </c>
    </row>
    <row r="940" spans="37:37" x14ac:dyDescent="0.2">
      <c r="AK940" s="685">
        <f t="shared" si="29"/>
        <v>0</v>
      </c>
    </row>
    <row r="941" spans="37:37" x14ac:dyDescent="0.2">
      <c r="AK941" s="685">
        <f t="shared" si="29"/>
        <v>0</v>
      </c>
    </row>
    <row r="942" spans="37:37" x14ac:dyDescent="0.2">
      <c r="AK942" s="685">
        <f t="shared" si="29"/>
        <v>0</v>
      </c>
    </row>
    <row r="943" spans="37:37" x14ac:dyDescent="0.2">
      <c r="AK943" s="685">
        <f t="shared" si="29"/>
        <v>0</v>
      </c>
    </row>
    <row r="944" spans="37:37" x14ac:dyDescent="0.2">
      <c r="AK944" s="685">
        <f t="shared" si="29"/>
        <v>0</v>
      </c>
    </row>
    <row r="945" spans="37:37" x14ac:dyDescent="0.2">
      <c r="AK945" s="685">
        <f t="shared" si="29"/>
        <v>0</v>
      </c>
    </row>
    <row r="946" spans="37:37" x14ac:dyDescent="0.2">
      <c r="AK946" s="685">
        <f t="shared" si="29"/>
        <v>0</v>
      </c>
    </row>
    <row r="947" spans="37:37" x14ac:dyDescent="0.2">
      <c r="AK947" s="685">
        <f t="shared" si="29"/>
        <v>0</v>
      </c>
    </row>
    <row r="948" spans="37:37" x14ac:dyDescent="0.2">
      <c r="AK948" s="685">
        <f t="shared" si="29"/>
        <v>0</v>
      </c>
    </row>
    <row r="949" spans="37:37" x14ac:dyDescent="0.2">
      <c r="AK949" s="685">
        <f t="shared" si="29"/>
        <v>0</v>
      </c>
    </row>
    <row r="950" spans="37:37" x14ac:dyDescent="0.2">
      <c r="AK950" s="685">
        <f t="shared" si="29"/>
        <v>0</v>
      </c>
    </row>
    <row r="951" spans="37:37" x14ac:dyDescent="0.2">
      <c r="AK951" s="685">
        <f t="shared" si="29"/>
        <v>0</v>
      </c>
    </row>
    <row r="952" spans="37:37" x14ac:dyDescent="0.2">
      <c r="AK952" s="685">
        <f t="shared" si="29"/>
        <v>0</v>
      </c>
    </row>
    <row r="953" spans="37:37" x14ac:dyDescent="0.2">
      <c r="AK953" s="685">
        <f t="shared" si="29"/>
        <v>0</v>
      </c>
    </row>
    <row r="954" spans="37:37" x14ac:dyDescent="0.2">
      <c r="AK954" s="685">
        <f t="shared" si="29"/>
        <v>0</v>
      </c>
    </row>
    <row r="955" spans="37:37" x14ac:dyDescent="0.2">
      <c r="AK955" s="685">
        <f t="shared" si="29"/>
        <v>0</v>
      </c>
    </row>
    <row r="956" spans="37:37" x14ac:dyDescent="0.2">
      <c r="AK956" s="685">
        <f t="shared" si="29"/>
        <v>0</v>
      </c>
    </row>
    <row r="957" spans="37:37" x14ac:dyDescent="0.2">
      <c r="AK957" s="685">
        <f t="shared" si="29"/>
        <v>0</v>
      </c>
    </row>
    <row r="958" spans="37:37" x14ac:dyDescent="0.2">
      <c r="AK958" s="685">
        <f t="shared" si="29"/>
        <v>0</v>
      </c>
    </row>
    <row r="959" spans="37:37" x14ac:dyDescent="0.2">
      <c r="AK959" s="685">
        <f t="shared" si="29"/>
        <v>0</v>
      </c>
    </row>
    <row r="960" spans="37:37" x14ac:dyDescent="0.2">
      <c r="AK960" s="685">
        <f t="shared" si="29"/>
        <v>0</v>
      </c>
    </row>
    <row r="961" spans="37:37" x14ac:dyDescent="0.2">
      <c r="AK961" s="685">
        <f t="shared" si="29"/>
        <v>0</v>
      </c>
    </row>
    <row r="962" spans="37:37" x14ac:dyDescent="0.2">
      <c r="AK962" s="685">
        <f t="shared" si="29"/>
        <v>0</v>
      </c>
    </row>
    <row r="963" spans="37:37" x14ac:dyDescent="0.2">
      <c r="AK963" s="685">
        <f t="shared" si="29"/>
        <v>0</v>
      </c>
    </row>
    <row r="964" spans="37:37" x14ac:dyDescent="0.2">
      <c r="AK964" s="685">
        <f t="shared" si="29"/>
        <v>0</v>
      </c>
    </row>
    <row r="965" spans="37:37" x14ac:dyDescent="0.2">
      <c r="AK965" s="685">
        <f t="shared" si="29"/>
        <v>0</v>
      </c>
    </row>
    <row r="966" spans="37:37" x14ac:dyDescent="0.2">
      <c r="AK966" s="685">
        <f t="shared" si="29"/>
        <v>0</v>
      </c>
    </row>
    <row r="967" spans="37:37" x14ac:dyDescent="0.2">
      <c r="AK967" s="685">
        <f t="shared" si="29"/>
        <v>0</v>
      </c>
    </row>
    <row r="968" spans="37:37" x14ac:dyDescent="0.2">
      <c r="AK968" s="685">
        <f t="shared" si="29"/>
        <v>0</v>
      </c>
    </row>
    <row r="969" spans="37:37" x14ac:dyDescent="0.2">
      <c r="AK969" s="685">
        <f t="shared" si="29"/>
        <v>0</v>
      </c>
    </row>
    <row r="970" spans="37:37" x14ac:dyDescent="0.2">
      <c r="AK970" s="685">
        <f t="shared" si="29"/>
        <v>0</v>
      </c>
    </row>
    <row r="971" spans="37:37" x14ac:dyDescent="0.2">
      <c r="AK971" s="685">
        <f t="shared" si="29"/>
        <v>0</v>
      </c>
    </row>
    <row r="972" spans="37:37" x14ac:dyDescent="0.2">
      <c r="AK972" s="685">
        <f t="shared" si="29"/>
        <v>0</v>
      </c>
    </row>
    <row r="973" spans="37:37" x14ac:dyDescent="0.2">
      <c r="AK973" s="685">
        <f t="shared" si="29"/>
        <v>0</v>
      </c>
    </row>
    <row r="974" spans="37:37" x14ac:dyDescent="0.2">
      <c r="AK974" s="685">
        <f t="shared" si="29"/>
        <v>0</v>
      </c>
    </row>
    <row r="975" spans="37:37" x14ac:dyDescent="0.2">
      <c r="AK975" s="685">
        <f t="shared" si="29"/>
        <v>0</v>
      </c>
    </row>
    <row r="976" spans="37:37" x14ac:dyDescent="0.2">
      <c r="AK976" s="685">
        <f t="shared" si="29"/>
        <v>0</v>
      </c>
    </row>
    <row r="977" spans="37:37" x14ac:dyDescent="0.2">
      <c r="AK977" s="685">
        <f t="shared" si="29"/>
        <v>0</v>
      </c>
    </row>
    <row r="978" spans="37:37" x14ac:dyDescent="0.2">
      <c r="AK978" s="685">
        <f t="shared" si="29"/>
        <v>0</v>
      </c>
    </row>
    <row r="979" spans="37:37" x14ac:dyDescent="0.2">
      <c r="AK979" s="685">
        <f t="shared" si="29"/>
        <v>0</v>
      </c>
    </row>
    <row r="980" spans="37:37" x14ac:dyDescent="0.2">
      <c r="AK980" s="685">
        <f t="shared" si="29"/>
        <v>0</v>
      </c>
    </row>
    <row r="981" spans="37:37" x14ac:dyDescent="0.2">
      <c r="AK981" s="685">
        <f t="shared" si="29"/>
        <v>0</v>
      </c>
    </row>
    <row r="982" spans="37:37" x14ac:dyDescent="0.2">
      <c r="AK982" s="685">
        <f t="shared" si="29"/>
        <v>0</v>
      </c>
    </row>
    <row r="983" spans="37:37" x14ac:dyDescent="0.2">
      <c r="AK983" s="685">
        <f t="shared" si="29"/>
        <v>0</v>
      </c>
    </row>
    <row r="984" spans="37:37" x14ac:dyDescent="0.2">
      <c r="AK984" s="685">
        <f t="shared" ref="AK984:AK1047" si="30">SUM(O984:AJ984)</f>
        <v>0</v>
      </c>
    </row>
    <row r="985" spans="37:37" x14ac:dyDescent="0.2">
      <c r="AK985" s="685">
        <f t="shared" si="30"/>
        <v>0</v>
      </c>
    </row>
    <row r="986" spans="37:37" x14ac:dyDescent="0.2">
      <c r="AK986" s="685">
        <f t="shared" si="30"/>
        <v>0</v>
      </c>
    </row>
    <row r="987" spans="37:37" x14ac:dyDescent="0.2">
      <c r="AK987" s="685">
        <f t="shared" si="30"/>
        <v>0</v>
      </c>
    </row>
    <row r="988" spans="37:37" x14ac:dyDescent="0.2">
      <c r="AK988" s="685">
        <f t="shared" si="30"/>
        <v>0</v>
      </c>
    </row>
    <row r="989" spans="37:37" x14ac:dyDescent="0.2">
      <c r="AK989" s="685">
        <f t="shared" si="30"/>
        <v>0</v>
      </c>
    </row>
    <row r="990" spans="37:37" x14ac:dyDescent="0.2">
      <c r="AK990" s="685">
        <f t="shared" si="30"/>
        <v>0</v>
      </c>
    </row>
    <row r="991" spans="37:37" x14ac:dyDescent="0.2">
      <c r="AK991" s="685">
        <f t="shared" si="30"/>
        <v>0</v>
      </c>
    </row>
    <row r="992" spans="37:37" x14ac:dyDescent="0.2">
      <c r="AK992" s="685">
        <f t="shared" si="30"/>
        <v>0</v>
      </c>
    </row>
    <row r="993" spans="37:37" x14ac:dyDescent="0.2">
      <c r="AK993" s="685">
        <f t="shared" si="30"/>
        <v>0</v>
      </c>
    </row>
    <row r="994" spans="37:37" x14ac:dyDescent="0.2">
      <c r="AK994" s="685">
        <f t="shared" si="30"/>
        <v>0</v>
      </c>
    </row>
    <row r="995" spans="37:37" x14ac:dyDescent="0.2">
      <c r="AK995" s="685">
        <f t="shared" si="30"/>
        <v>0</v>
      </c>
    </row>
    <row r="996" spans="37:37" x14ac:dyDescent="0.2">
      <c r="AK996" s="685">
        <f t="shared" si="30"/>
        <v>0</v>
      </c>
    </row>
    <row r="997" spans="37:37" x14ac:dyDescent="0.2">
      <c r="AK997" s="685">
        <f t="shared" si="30"/>
        <v>0</v>
      </c>
    </row>
    <row r="998" spans="37:37" x14ac:dyDescent="0.2">
      <c r="AK998" s="685">
        <f t="shared" si="30"/>
        <v>0</v>
      </c>
    </row>
    <row r="999" spans="37:37" x14ac:dyDescent="0.2">
      <c r="AK999" s="685">
        <f t="shared" si="30"/>
        <v>0</v>
      </c>
    </row>
    <row r="1000" spans="37:37" x14ac:dyDescent="0.2">
      <c r="AK1000" s="685">
        <f t="shared" si="30"/>
        <v>0</v>
      </c>
    </row>
    <row r="1001" spans="37:37" x14ac:dyDescent="0.2">
      <c r="AK1001" s="685">
        <f t="shared" si="30"/>
        <v>0</v>
      </c>
    </row>
    <row r="1002" spans="37:37" x14ac:dyDescent="0.2">
      <c r="AK1002" s="685">
        <f t="shared" si="30"/>
        <v>0</v>
      </c>
    </row>
    <row r="1003" spans="37:37" x14ac:dyDescent="0.2">
      <c r="AK1003" s="685">
        <f t="shared" si="30"/>
        <v>0</v>
      </c>
    </row>
    <row r="1004" spans="37:37" x14ac:dyDescent="0.2">
      <c r="AK1004" s="685">
        <f t="shared" si="30"/>
        <v>0</v>
      </c>
    </row>
    <row r="1005" spans="37:37" x14ac:dyDescent="0.2">
      <c r="AK1005" s="685">
        <f t="shared" si="30"/>
        <v>0</v>
      </c>
    </row>
    <row r="1006" spans="37:37" x14ac:dyDescent="0.2">
      <c r="AK1006" s="685">
        <f t="shared" si="30"/>
        <v>0</v>
      </c>
    </row>
    <row r="1007" spans="37:37" x14ac:dyDescent="0.2">
      <c r="AK1007" s="685">
        <f t="shared" si="30"/>
        <v>0</v>
      </c>
    </row>
    <row r="1008" spans="37:37" x14ac:dyDescent="0.2">
      <c r="AK1008" s="685">
        <f t="shared" si="30"/>
        <v>0</v>
      </c>
    </row>
    <row r="1009" spans="37:37" x14ac:dyDescent="0.2">
      <c r="AK1009" s="685">
        <f t="shared" si="30"/>
        <v>0</v>
      </c>
    </row>
    <row r="1010" spans="37:37" x14ac:dyDescent="0.2">
      <c r="AK1010" s="685">
        <f t="shared" si="30"/>
        <v>0</v>
      </c>
    </row>
    <row r="1011" spans="37:37" x14ac:dyDescent="0.2">
      <c r="AK1011" s="685">
        <f t="shared" si="30"/>
        <v>0</v>
      </c>
    </row>
    <row r="1012" spans="37:37" x14ac:dyDescent="0.2">
      <c r="AK1012" s="685">
        <f t="shared" si="30"/>
        <v>0</v>
      </c>
    </row>
    <row r="1013" spans="37:37" x14ac:dyDescent="0.2">
      <c r="AK1013" s="685">
        <f t="shared" si="30"/>
        <v>0</v>
      </c>
    </row>
    <row r="1014" spans="37:37" x14ac:dyDescent="0.2">
      <c r="AK1014" s="685">
        <f t="shared" si="30"/>
        <v>0</v>
      </c>
    </row>
    <row r="1015" spans="37:37" x14ac:dyDescent="0.2">
      <c r="AK1015" s="685">
        <f t="shared" si="30"/>
        <v>0</v>
      </c>
    </row>
    <row r="1016" spans="37:37" x14ac:dyDescent="0.2">
      <c r="AK1016" s="685">
        <f t="shared" si="30"/>
        <v>0</v>
      </c>
    </row>
    <row r="1017" spans="37:37" x14ac:dyDescent="0.2">
      <c r="AK1017" s="685">
        <f t="shared" si="30"/>
        <v>0</v>
      </c>
    </row>
    <row r="1018" spans="37:37" x14ac:dyDescent="0.2">
      <c r="AK1018" s="685">
        <f t="shared" si="30"/>
        <v>0</v>
      </c>
    </row>
    <row r="1019" spans="37:37" x14ac:dyDescent="0.2">
      <c r="AK1019" s="685">
        <f t="shared" si="30"/>
        <v>0</v>
      </c>
    </row>
    <row r="1020" spans="37:37" x14ac:dyDescent="0.2">
      <c r="AK1020" s="685">
        <f t="shared" si="30"/>
        <v>0</v>
      </c>
    </row>
    <row r="1021" spans="37:37" x14ac:dyDescent="0.2">
      <c r="AK1021" s="685">
        <f t="shared" si="30"/>
        <v>0</v>
      </c>
    </row>
    <row r="1022" spans="37:37" x14ac:dyDescent="0.2">
      <c r="AK1022" s="685">
        <f t="shared" si="30"/>
        <v>0</v>
      </c>
    </row>
    <row r="1023" spans="37:37" x14ac:dyDescent="0.2">
      <c r="AK1023" s="685">
        <f t="shared" si="30"/>
        <v>0</v>
      </c>
    </row>
    <row r="1024" spans="37:37" x14ac:dyDescent="0.2">
      <c r="AK1024" s="685">
        <f t="shared" si="30"/>
        <v>0</v>
      </c>
    </row>
    <row r="1025" spans="37:37" x14ac:dyDescent="0.2">
      <c r="AK1025" s="685">
        <f t="shared" si="30"/>
        <v>0</v>
      </c>
    </row>
    <row r="1026" spans="37:37" x14ac:dyDescent="0.2">
      <c r="AK1026" s="685">
        <f t="shared" si="30"/>
        <v>0</v>
      </c>
    </row>
    <row r="1027" spans="37:37" x14ac:dyDescent="0.2">
      <c r="AK1027" s="685">
        <f t="shared" si="30"/>
        <v>0</v>
      </c>
    </row>
    <row r="1028" spans="37:37" x14ac:dyDescent="0.2">
      <c r="AK1028" s="685">
        <f t="shared" si="30"/>
        <v>0</v>
      </c>
    </row>
    <row r="1029" spans="37:37" x14ac:dyDescent="0.2">
      <c r="AK1029" s="685">
        <f t="shared" si="30"/>
        <v>0</v>
      </c>
    </row>
    <row r="1030" spans="37:37" x14ac:dyDescent="0.2">
      <c r="AK1030" s="685">
        <f t="shared" si="30"/>
        <v>0</v>
      </c>
    </row>
    <row r="1031" spans="37:37" x14ac:dyDescent="0.2">
      <c r="AK1031" s="685">
        <f t="shared" si="30"/>
        <v>0</v>
      </c>
    </row>
    <row r="1032" spans="37:37" x14ac:dyDescent="0.2">
      <c r="AK1032" s="685">
        <f t="shared" si="30"/>
        <v>0</v>
      </c>
    </row>
    <row r="1033" spans="37:37" x14ac:dyDescent="0.2">
      <c r="AK1033" s="685">
        <f t="shared" si="30"/>
        <v>0</v>
      </c>
    </row>
    <row r="1034" spans="37:37" x14ac:dyDescent="0.2">
      <c r="AK1034" s="685">
        <f t="shared" si="30"/>
        <v>0</v>
      </c>
    </row>
    <row r="1035" spans="37:37" x14ac:dyDescent="0.2">
      <c r="AK1035" s="685">
        <f t="shared" si="30"/>
        <v>0</v>
      </c>
    </row>
    <row r="1036" spans="37:37" x14ac:dyDescent="0.2">
      <c r="AK1036" s="685">
        <f t="shared" si="30"/>
        <v>0</v>
      </c>
    </row>
    <row r="1037" spans="37:37" x14ac:dyDescent="0.2">
      <c r="AK1037" s="685">
        <f t="shared" si="30"/>
        <v>0</v>
      </c>
    </row>
    <row r="1038" spans="37:37" x14ac:dyDescent="0.2">
      <c r="AK1038" s="685">
        <f t="shared" si="30"/>
        <v>0</v>
      </c>
    </row>
    <row r="1039" spans="37:37" x14ac:dyDescent="0.2">
      <c r="AK1039" s="685">
        <f t="shared" si="30"/>
        <v>0</v>
      </c>
    </row>
    <row r="1040" spans="37:37" x14ac:dyDescent="0.2">
      <c r="AK1040" s="685">
        <f t="shared" si="30"/>
        <v>0</v>
      </c>
    </row>
    <row r="1041" spans="37:37" x14ac:dyDescent="0.2">
      <c r="AK1041" s="685">
        <f t="shared" si="30"/>
        <v>0</v>
      </c>
    </row>
    <row r="1042" spans="37:37" x14ac:dyDescent="0.2">
      <c r="AK1042" s="685">
        <f t="shared" si="30"/>
        <v>0</v>
      </c>
    </row>
    <row r="1043" spans="37:37" x14ac:dyDescent="0.2">
      <c r="AK1043" s="685">
        <f t="shared" si="30"/>
        <v>0</v>
      </c>
    </row>
    <row r="1044" spans="37:37" x14ac:dyDescent="0.2">
      <c r="AK1044" s="685">
        <f t="shared" si="30"/>
        <v>0</v>
      </c>
    </row>
    <row r="1045" spans="37:37" x14ac:dyDescent="0.2">
      <c r="AK1045" s="685">
        <f t="shared" si="30"/>
        <v>0</v>
      </c>
    </row>
    <row r="1046" spans="37:37" x14ac:dyDescent="0.2">
      <c r="AK1046" s="685">
        <f t="shared" si="30"/>
        <v>0</v>
      </c>
    </row>
    <row r="1047" spans="37:37" x14ac:dyDescent="0.2">
      <c r="AK1047" s="685">
        <f t="shared" si="30"/>
        <v>0</v>
      </c>
    </row>
    <row r="1048" spans="37:37" x14ac:dyDescent="0.2">
      <c r="AK1048" s="685">
        <f t="shared" ref="AK1048:AK1111" si="31">SUM(O1048:AJ1048)</f>
        <v>0</v>
      </c>
    </row>
    <row r="1049" spans="37:37" x14ac:dyDescent="0.2">
      <c r="AK1049" s="685">
        <f t="shared" si="31"/>
        <v>0</v>
      </c>
    </row>
    <row r="1050" spans="37:37" x14ac:dyDescent="0.2">
      <c r="AK1050" s="685">
        <f t="shared" si="31"/>
        <v>0</v>
      </c>
    </row>
    <row r="1051" spans="37:37" x14ac:dyDescent="0.2">
      <c r="AK1051" s="685">
        <f t="shared" si="31"/>
        <v>0</v>
      </c>
    </row>
    <row r="1052" spans="37:37" x14ac:dyDescent="0.2">
      <c r="AK1052" s="685">
        <f t="shared" si="31"/>
        <v>0</v>
      </c>
    </row>
    <row r="1053" spans="37:37" x14ac:dyDescent="0.2">
      <c r="AK1053" s="685">
        <f t="shared" si="31"/>
        <v>0</v>
      </c>
    </row>
    <row r="1054" spans="37:37" x14ac:dyDescent="0.2">
      <c r="AK1054" s="685">
        <f t="shared" si="31"/>
        <v>0</v>
      </c>
    </row>
    <row r="1055" spans="37:37" x14ac:dyDescent="0.2">
      <c r="AK1055" s="685">
        <f t="shared" si="31"/>
        <v>0</v>
      </c>
    </row>
    <row r="1056" spans="37:37" x14ac:dyDescent="0.2">
      <c r="AK1056" s="685">
        <f t="shared" si="31"/>
        <v>0</v>
      </c>
    </row>
    <row r="1057" spans="37:37" x14ac:dyDescent="0.2">
      <c r="AK1057" s="685">
        <f t="shared" si="31"/>
        <v>0</v>
      </c>
    </row>
    <row r="1058" spans="37:37" x14ac:dyDescent="0.2">
      <c r="AK1058" s="685">
        <f t="shared" si="31"/>
        <v>0</v>
      </c>
    </row>
    <row r="1059" spans="37:37" x14ac:dyDescent="0.2">
      <c r="AK1059" s="685">
        <f t="shared" si="31"/>
        <v>0</v>
      </c>
    </row>
    <row r="1060" spans="37:37" x14ac:dyDescent="0.2">
      <c r="AK1060" s="685">
        <f t="shared" si="31"/>
        <v>0</v>
      </c>
    </row>
    <row r="1061" spans="37:37" x14ac:dyDescent="0.2">
      <c r="AK1061" s="685">
        <f t="shared" si="31"/>
        <v>0</v>
      </c>
    </row>
    <row r="1062" spans="37:37" x14ac:dyDescent="0.2">
      <c r="AK1062" s="685">
        <f t="shared" si="31"/>
        <v>0</v>
      </c>
    </row>
    <row r="1063" spans="37:37" x14ac:dyDescent="0.2">
      <c r="AK1063" s="685">
        <f t="shared" si="31"/>
        <v>0</v>
      </c>
    </row>
    <row r="1064" spans="37:37" x14ac:dyDescent="0.2">
      <c r="AK1064" s="685">
        <f t="shared" si="31"/>
        <v>0</v>
      </c>
    </row>
    <row r="1065" spans="37:37" x14ac:dyDescent="0.2">
      <c r="AK1065" s="685">
        <f t="shared" si="31"/>
        <v>0</v>
      </c>
    </row>
    <row r="1066" spans="37:37" x14ac:dyDescent="0.2">
      <c r="AK1066" s="685">
        <f t="shared" si="31"/>
        <v>0</v>
      </c>
    </row>
    <row r="1067" spans="37:37" x14ac:dyDescent="0.2">
      <c r="AK1067" s="685">
        <f t="shared" si="31"/>
        <v>0</v>
      </c>
    </row>
    <row r="1068" spans="37:37" x14ac:dyDescent="0.2">
      <c r="AK1068" s="685">
        <f t="shared" si="31"/>
        <v>0</v>
      </c>
    </row>
    <row r="1069" spans="37:37" x14ac:dyDescent="0.2">
      <c r="AK1069" s="685">
        <f t="shared" si="31"/>
        <v>0</v>
      </c>
    </row>
    <row r="1070" spans="37:37" x14ac:dyDescent="0.2">
      <c r="AK1070" s="685">
        <f t="shared" si="31"/>
        <v>0</v>
      </c>
    </row>
    <row r="1071" spans="37:37" x14ac:dyDescent="0.2">
      <c r="AK1071" s="685">
        <f t="shared" si="31"/>
        <v>0</v>
      </c>
    </row>
    <row r="1072" spans="37:37" x14ac:dyDescent="0.2">
      <c r="AK1072" s="685">
        <f t="shared" si="31"/>
        <v>0</v>
      </c>
    </row>
    <row r="1073" spans="37:37" x14ac:dyDescent="0.2">
      <c r="AK1073" s="685">
        <f t="shared" si="31"/>
        <v>0</v>
      </c>
    </row>
    <row r="1074" spans="37:37" x14ac:dyDescent="0.2">
      <c r="AK1074" s="685">
        <f t="shared" si="31"/>
        <v>0</v>
      </c>
    </row>
    <row r="1075" spans="37:37" x14ac:dyDescent="0.2">
      <c r="AK1075" s="685">
        <f t="shared" si="31"/>
        <v>0</v>
      </c>
    </row>
    <row r="1076" spans="37:37" x14ac:dyDescent="0.2">
      <c r="AK1076" s="685">
        <f t="shared" si="31"/>
        <v>0</v>
      </c>
    </row>
    <row r="1077" spans="37:37" x14ac:dyDescent="0.2">
      <c r="AK1077" s="685">
        <f t="shared" si="31"/>
        <v>0</v>
      </c>
    </row>
    <row r="1078" spans="37:37" x14ac:dyDescent="0.2">
      <c r="AK1078" s="685">
        <f t="shared" si="31"/>
        <v>0</v>
      </c>
    </row>
    <row r="1079" spans="37:37" x14ac:dyDescent="0.2">
      <c r="AK1079" s="685">
        <f t="shared" si="31"/>
        <v>0</v>
      </c>
    </row>
    <row r="1080" spans="37:37" x14ac:dyDescent="0.2">
      <c r="AK1080" s="685">
        <f t="shared" si="31"/>
        <v>0</v>
      </c>
    </row>
    <row r="1081" spans="37:37" x14ac:dyDescent="0.2">
      <c r="AK1081" s="685">
        <f t="shared" si="31"/>
        <v>0</v>
      </c>
    </row>
    <row r="1082" spans="37:37" x14ac:dyDescent="0.2">
      <c r="AK1082" s="685">
        <f t="shared" si="31"/>
        <v>0</v>
      </c>
    </row>
    <row r="1083" spans="37:37" x14ac:dyDescent="0.2">
      <c r="AK1083" s="685">
        <f t="shared" si="31"/>
        <v>0</v>
      </c>
    </row>
    <row r="1084" spans="37:37" x14ac:dyDescent="0.2">
      <c r="AK1084" s="685">
        <f t="shared" si="31"/>
        <v>0</v>
      </c>
    </row>
    <row r="1085" spans="37:37" x14ac:dyDescent="0.2">
      <c r="AK1085" s="685">
        <f t="shared" si="31"/>
        <v>0</v>
      </c>
    </row>
    <row r="1086" spans="37:37" x14ac:dyDescent="0.2">
      <c r="AK1086" s="685">
        <f t="shared" si="31"/>
        <v>0</v>
      </c>
    </row>
    <row r="1087" spans="37:37" x14ac:dyDescent="0.2">
      <c r="AK1087" s="685">
        <f t="shared" si="31"/>
        <v>0</v>
      </c>
    </row>
    <row r="1088" spans="37:37" x14ac:dyDescent="0.2">
      <c r="AK1088" s="685">
        <f t="shared" si="31"/>
        <v>0</v>
      </c>
    </row>
    <row r="1089" spans="37:37" x14ac:dyDescent="0.2">
      <c r="AK1089" s="685">
        <f t="shared" si="31"/>
        <v>0</v>
      </c>
    </row>
    <row r="1090" spans="37:37" x14ac:dyDescent="0.2">
      <c r="AK1090" s="685">
        <f t="shared" si="31"/>
        <v>0</v>
      </c>
    </row>
    <row r="1091" spans="37:37" x14ac:dyDescent="0.2">
      <c r="AK1091" s="685">
        <f t="shared" si="31"/>
        <v>0</v>
      </c>
    </row>
    <row r="1092" spans="37:37" x14ac:dyDescent="0.2">
      <c r="AK1092" s="685">
        <f t="shared" si="31"/>
        <v>0</v>
      </c>
    </row>
    <row r="1093" spans="37:37" x14ac:dyDescent="0.2">
      <c r="AK1093" s="685">
        <f t="shared" si="31"/>
        <v>0</v>
      </c>
    </row>
    <row r="1094" spans="37:37" x14ac:dyDescent="0.2">
      <c r="AK1094" s="685">
        <f t="shared" si="31"/>
        <v>0</v>
      </c>
    </row>
    <row r="1095" spans="37:37" x14ac:dyDescent="0.2">
      <c r="AK1095" s="685">
        <f t="shared" si="31"/>
        <v>0</v>
      </c>
    </row>
    <row r="1096" spans="37:37" x14ac:dyDescent="0.2">
      <c r="AK1096" s="685">
        <f t="shared" si="31"/>
        <v>0</v>
      </c>
    </row>
    <row r="1097" spans="37:37" x14ac:dyDescent="0.2">
      <c r="AK1097" s="685">
        <f t="shared" si="31"/>
        <v>0</v>
      </c>
    </row>
    <row r="1098" spans="37:37" x14ac:dyDescent="0.2">
      <c r="AK1098" s="685">
        <f t="shared" si="31"/>
        <v>0</v>
      </c>
    </row>
    <row r="1099" spans="37:37" x14ac:dyDescent="0.2">
      <c r="AK1099" s="685">
        <f t="shared" si="31"/>
        <v>0</v>
      </c>
    </row>
    <row r="1100" spans="37:37" x14ac:dyDescent="0.2">
      <c r="AK1100" s="685">
        <f t="shared" si="31"/>
        <v>0</v>
      </c>
    </row>
    <row r="1101" spans="37:37" x14ac:dyDescent="0.2">
      <c r="AK1101" s="685">
        <f t="shared" si="31"/>
        <v>0</v>
      </c>
    </row>
    <row r="1102" spans="37:37" x14ac:dyDescent="0.2">
      <c r="AK1102" s="685">
        <f t="shared" si="31"/>
        <v>0</v>
      </c>
    </row>
    <row r="1103" spans="37:37" x14ac:dyDescent="0.2">
      <c r="AK1103" s="685">
        <f t="shared" si="31"/>
        <v>0</v>
      </c>
    </row>
    <row r="1104" spans="37:37" x14ac:dyDescent="0.2">
      <c r="AK1104" s="685">
        <f t="shared" si="31"/>
        <v>0</v>
      </c>
    </row>
    <row r="1105" spans="37:37" x14ac:dyDescent="0.2">
      <c r="AK1105" s="685">
        <f t="shared" si="31"/>
        <v>0</v>
      </c>
    </row>
    <row r="1106" spans="37:37" x14ac:dyDescent="0.2">
      <c r="AK1106" s="685">
        <f t="shared" si="31"/>
        <v>0</v>
      </c>
    </row>
    <row r="1107" spans="37:37" x14ac:dyDescent="0.2">
      <c r="AK1107" s="685">
        <f t="shared" si="31"/>
        <v>0</v>
      </c>
    </row>
    <row r="1108" spans="37:37" x14ac:dyDescent="0.2">
      <c r="AK1108" s="685">
        <f t="shared" si="31"/>
        <v>0</v>
      </c>
    </row>
    <row r="1109" spans="37:37" x14ac:dyDescent="0.2">
      <c r="AK1109" s="685">
        <f t="shared" si="31"/>
        <v>0</v>
      </c>
    </row>
    <row r="1110" spans="37:37" x14ac:dyDescent="0.2">
      <c r="AK1110" s="685">
        <f t="shared" si="31"/>
        <v>0</v>
      </c>
    </row>
    <row r="1111" spans="37:37" x14ac:dyDescent="0.2">
      <c r="AK1111" s="685">
        <f t="shared" si="31"/>
        <v>0</v>
      </c>
    </row>
    <row r="1112" spans="37:37" x14ac:dyDescent="0.2">
      <c r="AK1112" s="685">
        <f t="shared" ref="AK1112:AK1175" si="32">SUM(O1112:AJ1112)</f>
        <v>0</v>
      </c>
    </row>
    <row r="1113" spans="37:37" x14ac:dyDescent="0.2">
      <c r="AK1113" s="685">
        <f t="shared" si="32"/>
        <v>0</v>
      </c>
    </row>
    <row r="1114" spans="37:37" x14ac:dyDescent="0.2">
      <c r="AK1114" s="685">
        <f t="shared" si="32"/>
        <v>0</v>
      </c>
    </row>
    <row r="1115" spans="37:37" x14ac:dyDescent="0.2">
      <c r="AK1115" s="685">
        <f t="shared" si="32"/>
        <v>0</v>
      </c>
    </row>
    <row r="1116" spans="37:37" x14ac:dyDescent="0.2">
      <c r="AK1116" s="685">
        <f t="shared" si="32"/>
        <v>0</v>
      </c>
    </row>
    <row r="1117" spans="37:37" x14ac:dyDescent="0.2">
      <c r="AK1117" s="685">
        <f t="shared" si="32"/>
        <v>0</v>
      </c>
    </row>
    <row r="1118" spans="37:37" x14ac:dyDescent="0.2">
      <c r="AK1118" s="685">
        <f t="shared" si="32"/>
        <v>0</v>
      </c>
    </row>
    <row r="1119" spans="37:37" x14ac:dyDescent="0.2">
      <c r="AK1119" s="685">
        <f t="shared" si="32"/>
        <v>0</v>
      </c>
    </row>
    <row r="1120" spans="37:37" x14ac:dyDescent="0.2">
      <c r="AK1120" s="685">
        <f t="shared" si="32"/>
        <v>0</v>
      </c>
    </row>
    <row r="1121" spans="37:37" x14ac:dyDescent="0.2">
      <c r="AK1121" s="685">
        <f t="shared" si="32"/>
        <v>0</v>
      </c>
    </row>
    <row r="1122" spans="37:37" x14ac:dyDescent="0.2">
      <c r="AK1122" s="685">
        <f t="shared" si="32"/>
        <v>0</v>
      </c>
    </row>
    <row r="1123" spans="37:37" x14ac:dyDescent="0.2">
      <c r="AK1123" s="685">
        <f t="shared" si="32"/>
        <v>0</v>
      </c>
    </row>
    <row r="1124" spans="37:37" x14ac:dyDescent="0.2">
      <c r="AK1124" s="685">
        <f t="shared" si="32"/>
        <v>0</v>
      </c>
    </row>
    <row r="1125" spans="37:37" x14ac:dyDescent="0.2">
      <c r="AK1125" s="685">
        <f t="shared" si="32"/>
        <v>0</v>
      </c>
    </row>
    <row r="1126" spans="37:37" x14ac:dyDescent="0.2">
      <c r="AK1126" s="685">
        <f t="shared" si="32"/>
        <v>0</v>
      </c>
    </row>
    <row r="1127" spans="37:37" x14ac:dyDescent="0.2">
      <c r="AK1127" s="685">
        <f t="shared" si="32"/>
        <v>0</v>
      </c>
    </row>
    <row r="1128" spans="37:37" x14ac:dyDescent="0.2">
      <c r="AK1128" s="685">
        <f t="shared" si="32"/>
        <v>0</v>
      </c>
    </row>
    <row r="1129" spans="37:37" x14ac:dyDescent="0.2">
      <c r="AK1129" s="685">
        <f t="shared" si="32"/>
        <v>0</v>
      </c>
    </row>
    <row r="1130" spans="37:37" x14ac:dyDescent="0.2">
      <c r="AK1130" s="685">
        <f t="shared" si="32"/>
        <v>0</v>
      </c>
    </row>
    <row r="1131" spans="37:37" x14ac:dyDescent="0.2">
      <c r="AK1131" s="685">
        <f t="shared" si="32"/>
        <v>0</v>
      </c>
    </row>
    <row r="1132" spans="37:37" x14ac:dyDescent="0.2">
      <c r="AK1132" s="685">
        <f t="shared" si="32"/>
        <v>0</v>
      </c>
    </row>
    <row r="1133" spans="37:37" x14ac:dyDescent="0.2">
      <c r="AK1133" s="685">
        <f t="shared" si="32"/>
        <v>0</v>
      </c>
    </row>
    <row r="1134" spans="37:37" x14ac:dyDescent="0.2">
      <c r="AK1134" s="685">
        <f t="shared" si="32"/>
        <v>0</v>
      </c>
    </row>
    <row r="1135" spans="37:37" x14ac:dyDescent="0.2">
      <c r="AK1135" s="685">
        <f t="shared" si="32"/>
        <v>0</v>
      </c>
    </row>
    <row r="1136" spans="37:37" x14ac:dyDescent="0.2">
      <c r="AK1136" s="685">
        <f t="shared" si="32"/>
        <v>0</v>
      </c>
    </row>
    <row r="1137" spans="37:37" x14ac:dyDescent="0.2">
      <c r="AK1137" s="685">
        <f t="shared" si="32"/>
        <v>0</v>
      </c>
    </row>
    <row r="1138" spans="37:37" x14ac:dyDescent="0.2">
      <c r="AK1138" s="685">
        <f t="shared" si="32"/>
        <v>0</v>
      </c>
    </row>
    <row r="1139" spans="37:37" x14ac:dyDescent="0.2">
      <c r="AK1139" s="685">
        <f t="shared" si="32"/>
        <v>0</v>
      </c>
    </row>
    <row r="1140" spans="37:37" x14ac:dyDescent="0.2">
      <c r="AK1140" s="685">
        <f t="shared" si="32"/>
        <v>0</v>
      </c>
    </row>
    <row r="1141" spans="37:37" x14ac:dyDescent="0.2">
      <c r="AK1141" s="685">
        <f t="shared" si="32"/>
        <v>0</v>
      </c>
    </row>
    <row r="1142" spans="37:37" x14ac:dyDescent="0.2">
      <c r="AK1142" s="685">
        <f t="shared" si="32"/>
        <v>0</v>
      </c>
    </row>
    <row r="1143" spans="37:37" x14ac:dyDescent="0.2">
      <c r="AK1143" s="685">
        <f t="shared" si="32"/>
        <v>0</v>
      </c>
    </row>
    <row r="1144" spans="37:37" x14ac:dyDescent="0.2">
      <c r="AK1144" s="685">
        <f t="shared" si="32"/>
        <v>0</v>
      </c>
    </row>
    <row r="1145" spans="37:37" x14ac:dyDescent="0.2">
      <c r="AK1145" s="685">
        <f t="shared" si="32"/>
        <v>0</v>
      </c>
    </row>
    <row r="1146" spans="37:37" x14ac:dyDescent="0.2">
      <c r="AK1146" s="685">
        <f t="shared" si="32"/>
        <v>0</v>
      </c>
    </row>
    <row r="1147" spans="37:37" x14ac:dyDescent="0.2">
      <c r="AK1147" s="685">
        <f t="shared" si="32"/>
        <v>0</v>
      </c>
    </row>
    <row r="1148" spans="37:37" x14ac:dyDescent="0.2">
      <c r="AK1148" s="685">
        <f t="shared" si="32"/>
        <v>0</v>
      </c>
    </row>
    <row r="1149" spans="37:37" x14ac:dyDescent="0.2">
      <c r="AK1149" s="685">
        <f t="shared" si="32"/>
        <v>0</v>
      </c>
    </row>
    <row r="1150" spans="37:37" x14ac:dyDescent="0.2">
      <c r="AK1150" s="685">
        <f t="shared" si="32"/>
        <v>0</v>
      </c>
    </row>
    <row r="1151" spans="37:37" x14ac:dyDescent="0.2">
      <c r="AK1151" s="685">
        <f t="shared" si="32"/>
        <v>0</v>
      </c>
    </row>
    <row r="1152" spans="37:37" x14ac:dyDescent="0.2">
      <c r="AK1152" s="685">
        <f t="shared" si="32"/>
        <v>0</v>
      </c>
    </row>
    <row r="1153" spans="37:37" x14ac:dyDescent="0.2">
      <c r="AK1153" s="685">
        <f t="shared" si="32"/>
        <v>0</v>
      </c>
    </row>
    <row r="1154" spans="37:37" x14ac:dyDescent="0.2">
      <c r="AK1154" s="685">
        <f t="shared" si="32"/>
        <v>0</v>
      </c>
    </row>
    <row r="1155" spans="37:37" x14ac:dyDescent="0.2">
      <c r="AK1155" s="685">
        <f t="shared" si="32"/>
        <v>0</v>
      </c>
    </row>
    <row r="1156" spans="37:37" x14ac:dyDescent="0.2">
      <c r="AK1156" s="685">
        <f t="shared" si="32"/>
        <v>0</v>
      </c>
    </row>
    <row r="1157" spans="37:37" x14ac:dyDescent="0.2">
      <c r="AK1157" s="685">
        <f t="shared" si="32"/>
        <v>0</v>
      </c>
    </row>
    <row r="1158" spans="37:37" x14ac:dyDescent="0.2">
      <c r="AK1158" s="685">
        <f t="shared" si="32"/>
        <v>0</v>
      </c>
    </row>
    <row r="1159" spans="37:37" x14ac:dyDescent="0.2">
      <c r="AK1159" s="685">
        <f t="shared" si="32"/>
        <v>0</v>
      </c>
    </row>
    <row r="1160" spans="37:37" x14ac:dyDescent="0.2">
      <c r="AK1160" s="685">
        <f t="shared" si="32"/>
        <v>0</v>
      </c>
    </row>
    <row r="1161" spans="37:37" x14ac:dyDescent="0.2">
      <c r="AK1161" s="685">
        <f t="shared" si="32"/>
        <v>0</v>
      </c>
    </row>
    <row r="1162" spans="37:37" x14ac:dyDescent="0.2">
      <c r="AK1162" s="685">
        <f t="shared" si="32"/>
        <v>0</v>
      </c>
    </row>
    <row r="1163" spans="37:37" x14ac:dyDescent="0.2">
      <c r="AK1163" s="685">
        <f t="shared" si="32"/>
        <v>0</v>
      </c>
    </row>
    <row r="1164" spans="37:37" x14ac:dyDescent="0.2">
      <c r="AK1164" s="685">
        <f t="shared" si="32"/>
        <v>0</v>
      </c>
    </row>
    <row r="1165" spans="37:37" x14ac:dyDescent="0.2">
      <c r="AK1165" s="685">
        <f t="shared" si="32"/>
        <v>0</v>
      </c>
    </row>
    <row r="1166" spans="37:37" x14ac:dyDescent="0.2">
      <c r="AK1166" s="685">
        <f t="shared" si="32"/>
        <v>0</v>
      </c>
    </row>
    <row r="1167" spans="37:37" x14ac:dyDescent="0.2">
      <c r="AK1167" s="685">
        <f t="shared" si="32"/>
        <v>0</v>
      </c>
    </row>
    <row r="1168" spans="37:37" x14ac:dyDescent="0.2">
      <c r="AK1168" s="685">
        <f t="shared" si="32"/>
        <v>0</v>
      </c>
    </row>
    <row r="1169" spans="37:37" x14ac:dyDescent="0.2">
      <c r="AK1169" s="685">
        <f t="shared" si="32"/>
        <v>0</v>
      </c>
    </row>
    <row r="1170" spans="37:37" x14ac:dyDescent="0.2">
      <c r="AK1170" s="685">
        <f t="shared" si="32"/>
        <v>0</v>
      </c>
    </row>
    <row r="1171" spans="37:37" x14ac:dyDescent="0.2">
      <c r="AK1171" s="685">
        <f t="shared" si="32"/>
        <v>0</v>
      </c>
    </row>
    <row r="1172" spans="37:37" x14ac:dyDescent="0.2">
      <c r="AK1172" s="685">
        <f t="shared" si="32"/>
        <v>0</v>
      </c>
    </row>
    <row r="1173" spans="37:37" x14ac:dyDescent="0.2">
      <c r="AK1173" s="685">
        <f t="shared" si="32"/>
        <v>0</v>
      </c>
    </row>
    <row r="1174" spans="37:37" x14ac:dyDescent="0.2">
      <c r="AK1174" s="685">
        <f t="shared" si="32"/>
        <v>0</v>
      </c>
    </row>
    <row r="1175" spans="37:37" x14ac:dyDescent="0.2">
      <c r="AK1175" s="685">
        <f t="shared" si="32"/>
        <v>0</v>
      </c>
    </row>
    <row r="1176" spans="37:37" x14ac:dyDescent="0.2">
      <c r="AK1176" s="685">
        <f t="shared" ref="AK1176:AK1239" si="33">SUM(O1176:AJ1176)</f>
        <v>0</v>
      </c>
    </row>
    <row r="1177" spans="37:37" x14ac:dyDescent="0.2">
      <c r="AK1177" s="685">
        <f t="shared" si="33"/>
        <v>0</v>
      </c>
    </row>
    <row r="1178" spans="37:37" x14ac:dyDescent="0.2">
      <c r="AK1178" s="685">
        <f t="shared" si="33"/>
        <v>0</v>
      </c>
    </row>
    <row r="1179" spans="37:37" x14ac:dyDescent="0.2">
      <c r="AK1179" s="685">
        <f t="shared" si="33"/>
        <v>0</v>
      </c>
    </row>
    <row r="1180" spans="37:37" x14ac:dyDescent="0.2">
      <c r="AK1180" s="685">
        <f t="shared" si="33"/>
        <v>0</v>
      </c>
    </row>
    <row r="1181" spans="37:37" x14ac:dyDescent="0.2">
      <c r="AK1181" s="685">
        <f t="shared" si="33"/>
        <v>0</v>
      </c>
    </row>
    <row r="1182" spans="37:37" x14ac:dyDescent="0.2">
      <c r="AK1182" s="685">
        <f t="shared" si="33"/>
        <v>0</v>
      </c>
    </row>
    <row r="1183" spans="37:37" x14ac:dyDescent="0.2">
      <c r="AK1183" s="685">
        <f t="shared" si="33"/>
        <v>0</v>
      </c>
    </row>
    <row r="1184" spans="37:37" x14ac:dyDescent="0.2">
      <c r="AK1184" s="685">
        <f t="shared" si="33"/>
        <v>0</v>
      </c>
    </row>
    <row r="1185" spans="37:37" x14ac:dyDescent="0.2">
      <c r="AK1185" s="685">
        <f t="shared" si="33"/>
        <v>0</v>
      </c>
    </row>
    <row r="1186" spans="37:37" x14ac:dyDescent="0.2">
      <c r="AK1186" s="685">
        <f t="shared" si="33"/>
        <v>0</v>
      </c>
    </row>
    <row r="1187" spans="37:37" x14ac:dyDescent="0.2">
      <c r="AK1187" s="685">
        <f t="shared" si="33"/>
        <v>0</v>
      </c>
    </row>
    <row r="1188" spans="37:37" x14ac:dyDescent="0.2">
      <c r="AK1188" s="685">
        <f t="shared" si="33"/>
        <v>0</v>
      </c>
    </row>
    <row r="1189" spans="37:37" x14ac:dyDescent="0.2">
      <c r="AK1189" s="685">
        <f t="shared" si="33"/>
        <v>0</v>
      </c>
    </row>
    <row r="1190" spans="37:37" x14ac:dyDescent="0.2">
      <c r="AK1190" s="685">
        <f t="shared" si="33"/>
        <v>0</v>
      </c>
    </row>
    <row r="1191" spans="37:37" x14ac:dyDescent="0.2">
      <c r="AK1191" s="685">
        <f t="shared" si="33"/>
        <v>0</v>
      </c>
    </row>
    <row r="1192" spans="37:37" x14ac:dyDescent="0.2">
      <c r="AK1192" s="685">
        <f t="shared" si="33"/>
        <v>0</v>
      </c>
    </row>
    <row r="1193" spans="37:37" x14ac:dyDescent="0.2">
      <c r="AK1193" s="685">
        <f t="shared" si="33"/>
        <v>0</v>
      </c>
    </row>
    <row r="1194" spans="37:37" x14ac:dyDescent="0.2">
      <c r="AK1194" s="685">
        <f t="shared" si="33"/>
        <v>0</v>
      </c>
    </row>
    <row r="1195" spans="37:37" x14ac:dyDescent="0.2">
      <c r="AK1195" s="685">
        <f t="shared" si="33"/>
        <v>0</v>
      </c>
    </row>
    <row r="1196" spans="37:37" x14ac:dyDescent="0.2">
      <c r="AK1196" s="685">
        <f t="shared" si="33"/>
        <v>0</v>
      </c>
    </row>
    <row r="1197" spans="37:37" x14ac:dyDescent="0.2">
      <c r="AK1197" s="685">
        <f t="shared" si="33"/>
        <v>0</v>
      </c>
    </row>
    <row r="1198" spans="37:37" x14ac:dyDescent="0.2">
      <c r="AK1198" s="685">
        <f t="shared" si="33"/>
        <v>0</v>
      </c>
    </row>
    <row r="1199" spans="37:37" x14ac:dyDescent="0.2">
      <c r="AK1199" s="685">
        <f t="shared" si="33"/>
        <v>0</v>
      </c>
    </row>
    <row r="1200" spans="37:37" x14ac:dyDescent="0.2">
      <c r="AK1200" s="685">
        <f t="shared" si="33"/>
        <v>0</v>
      </c>
    </row>
    <row r="1201" spans="37:37" x14ac:dyDescent="0.2">
      <c r="AK1201" s="685">
        <f t="shared" si="33"/>
        <v>0</v>
      </c>
    </row>
    <row r="1202" spans="37:37" x14ac:dyDescent="0.2">
      <c r="AK1202" s="685">
        <f t="shared" si="33"/>
        <v>0</v>
      </c>
    </row>
    <row r="1203" spans="37:37" x14ac:dyDescent="0.2">
      <c r="AK1203" s="685">
        <f t="shared" si="33"/>
        <v>0</v>
      </c>
    </row>
    <row r="1204" spans="37:37" x14ac:dyDescent="0.2">
      <c r="AK1204" s="685">
        <f t="shared" si="33"/>
        <v>0</v>
      </c>
    </row>
    <row r="1205" spans="37:37" x14ac:dyDescent="0.2">
      <c r="AK1205" s="685">
        <f t="shared" si="33"/>
        <v>0</v>
      </c>
    </row>
    <row r="1206" spans="37:37" x14ac:dyDescent="0.2">
      <c r="AK1206" s="685">
        <f t="shared" si="33"/>
        <v>0</v>
      </c>
    </row>
    <row r="1207" spans="37:37" x14ac:dyDescent="0.2">
      <c r="AK1207" s="685">
        <f t="shared" si="33"/>
        <v>0</v>
      </c>
    </row>
    <row r="1208" spans="37:37" x14ac:dyDescent="0.2">
      <c r="AK1208" s="685">
        <f t="shared" si="33"/>
        <v>0</v>
      </c>
    </row>
    <row r="1209" spans="37:37" x14ac:dyDescent="0.2">
      <c r="AK1209" s="685">
        <f t="shared" si="33"/>
        <v>0</v>
      </c>
    </row>
    <row r="1210" spans="37:37" x14ac:dyDescent="0.2">
      <c r="AK1210" s="685">
        <f t="shared" si="33"/>
        <v>0</v>
      </c>
    </row>
    <row r="1211" spans="37:37" x14ac:dyDescent="0.2">
      <c r="AK1211" s="685">
        <f t="shared" si="33"/>
        <v>0</v>
      </c>
    </row>
    <row r="1212" spans="37:37" x14ac:dyDescent="0.2">
      <c r="AK1212" s="685">
        <f t="shared" si="33"/>
        <v>0</v>
      </c>
    </row>
    <row r="1213" spans="37:37" x14ac:dyDescent="0.2">
      <c r="AK1213" s="685">
        <f t="shared" si="33"/>
        <v>0</v>
      </c>
    </row>
    <row r="1214" spans="37:37" x14ac:dyDescent="0.2">
      <c r="AK1214" s="685">
        <f t="shared" si="33"/>
        <v>0</v>
      </c>
    </row>
    <row r="1215" spans="37:37" x14ac:dyDescent="0.2">
      <c r="AK1215" s="685">
        <f t="shared" si="33"/>
        <v>0</v>
      </c>
    </row>
    <row r="1216" spans="37:37" x14ac:dyDescent="0.2">
      <c r="AK1216" s="685">
        <f t="shared" si="33"/>
        <v>0</v>
      </c>
    </row>
    <row r="1217" spans="37:37" x14ac:dyDescent="0.2">
      <c r="AK1217" s="685">
        <f t="shared" si="33"/>
        <v>0</v>
      </c>
    </row>
    <row r="1218" spans="37:37" x14ac:dyDescent="0.2">
      <c r="AK1218" s="685">
        <f t="shared" si="33"/>
        <v>0</v>
      </c>
    </row>
    <row r="1219" spans="37:37" x14ac:dyDescent="0.2">
      <c r="AK1219" s="685">
        <f t="shared" si="33"/>
        <v>0</v>
      </c>
    </row>
    <row r="1220" spans="37:37" x14ac:dyDescent="0.2">
      <c r="AK1220" s="685">
        <f t="shared" si="33"/>
        <v>0</v>
      </c>
    </row>
    <row r="1221" spans="37:37" x14ac:dyDescent="0.2">
      <c r="AK1221" s="685">
        <f t="shared" si="33"/>
        <v>0</v>
      </c>
    </row>
    <row r="1222" spans="37:37" x14ac:dyDescent="0.2">
      <c r="AK1222" s="685">
        <f t="shared" si="33"/>
        <v>0</v>
      </c>
    </row>
    <row r="1223" spans="37:37" x14ac:dyDescent="0.2">
      <c r="AK1223" s="685">
        <f t="shared" si="33"/>
        <v>0</v>
      </c>
    </row>
    <row r="1224" spans="37:37" x14ac:dyDescent="0.2">
      <c r="AK1224" s="685">
        <f t="shared" si="33"/>
        <v>0</v>
      </c>
    </row>
    <row r="1225" spans="37:37" x14ac:dyDescent="0.2">
      <c r="AK1225" s="685">
        <f t="shared" si="33"/>
        <v>0</v>
      </c>
    </row>
    <row r="1226" spans="37:37" x14ac:dyDescent="0.2">
      <c r="AK1226" s="685">
        <f t="shared" si="33"/>
        <v>0</v>
      </c>
    </row>
    <row r="1227" spans="37:37" x14ac:dyDescent="0.2">
      <c r="AK1227" s="685">
        <f t="shared" si="33"/>
        <v>0</v>
      </c>
    </row>
    <row r="1228" spans="37:37" x14ac:dyDescent="0.2">
      <c r="AK1228" s="685">
        <f t="shared" si="33"/>
        <v>0</v>
      </c>
    </row>
    <row r="1229" spans="37:37" x14ac:dyDescent="0.2">
      <c r="AK1229" s="685">
        <f t="shared" si="33"/>
        <v>0</v>
      </c>
    </row>
    <row r="1230" spans="37:37" x14ac:dyDescent="0.2">
      <c r="AK1230" s="685">
        <f t="shared" si="33"/>
        <v>0</v>
      </c>
    </row>
    <row r="1231" spans="37:37" x14ac:dyDescent="0.2">
      <c r="AK1231" s="685">
        <f t="shared" si="33"/>
        <v>0</v>
      </c>
    </row>
    <row r="1232" spans="37:37" x14ac:dyDescent="0.2">
      <c r="AK1232" s="685">
        <f t="shared" si="33"/>
        <v>0</v>
      </c>
    </row>
    <row r="1233" spans="37:37" x14ac:dyDescent="0.2">
      <c r="AK1233" s="685">
        <f t="shared" si="33"/>
        <v>0</v>
      </c>
    </row>
    <row r="1234" spans="37:37" x14ac:dyDescent="0.2">
      <c r="AK1234" s="685">
        <f t="shared" si="33"/>
        <v>0</v>
      </c>
    </row>
    <row r="1235" spans="37:37" x14ac:dyDescent="0.2">
      <c r="AK1235" s="685">
        <f t="shared" si="33"/>
        <v>0</v>
      </c>
    </row>
    <row r="1236" spans="37:37" x14ac:dyDescent="0.2">
      <c r="AK1236" s="685">
        <f t="shared" si="33"/>
        <v>0</v>
      </c>
    </row>
    <row r="1237" spans="37:37" x14ac:dyDescent="0.2">
      <c r="AK1237" s="685">
        <f t="shared" si="33"/>
        <v>0</v>
      </c>
    </row>
    <row r="1238" spans="37:37" x14ac:dyDescent="0.2">
      <c r="AK1238" s="685">
        <f t="shared" si="33"/>
        <v>0</v>
      </c>
    </row>
    <row r="1239" spans="37:37" x14ac:dyDescent="0.2">
      <c r="AK1239" s="685">
        <f t="shared" si="33"/>
        <v>0</v>
      </c>
    </row>
    <row r="1240" spans="37:37" x14ac:dyDescent="0.2">
      <c r="AK1240" s="685">
        <f t="shared" ref="AK1240:AK1303" si="34">SUM(O1240:AJ1240)</f>
        <v>0</v>
      </c>
    </row>
    <row r="1241" spans="37:37" x14ac:dyDescent="0.2">
      <c r="AK1241" s="685">
        <f t="shared" si="34"/>
        <v>0</v>
      </c>
    </row>
    <row r="1242" spans="37:37" x14ac:dyDescent="0.2">
      <c r="AK1242" s="685">
        <f t="shared" si="34"/>
        <v>0</v>
      </c>
    </row>
    <row r="1243" spans="37:37" x14ac:dyDescent="0.2">
      <c r="AK1243" s="685">
        <f t="shared" si="34"/>
        <v>0</v>
      </c>
    </row>
    <row r="1244" spans="37:37" x14ac:dyDescent="0.2">
      <c r="AK1244" s="685">
        <f t="shared" si="34"/>
        <v>0</v>
      </c>
    </row>
    <row r="1245" spans="37:37" x14ac:dyDescent="0.2">
      <c r="AK1245" s="685">
        <f t="shared" si="34"/>
        <v>0</v>
      </c>
    </row>
    <row r="1246" spans="37:37" x14ac:dyDescent="0.2">
      <c r="AK1246" s="685">
        <f t="shared" si="34"/>
        <v>0</v>
      </c>
    </row>
    <row r="1247" spans="37:37" x14ac:dyDescent="0.2">
      <c r="AK1247" s="685">
        <f t="shared" si="34"/>
        <v>0</v>
      </c>
    </row>
    <row r="1248" spans="37:37" x14ac:dyDescent="0.2">
      <c r="AK1248" s="685">
        <f t="shared" si="34"/>
        <v>0</v>
      </c>
    </row>
    <row r="1249" spans="37:37" x14ac:dyDescent="0.2">
      <c r="AK1249" s="685">
        <f t="shared" si="34"/>
        <v>0</v>
      </c>
    </row>
    <row r="1250" spans="37:37" x14ac:dyDescent="0.2">
      <c r="AK1250" s="685">
        <f t="shared" si="34"/>
        <v>0</v>
      </c>
    </row>
    <row r="1251" spans="37:37" x14ac:dyDescent="0.2">
      <c r="AK1251" s="685">
        <f t="shared" si="34"/>
        <v>0</v>
      </c>
    </row>
    <row r="1252" spans="37:37" x14ac:dyDescent="0.2">
      <c r="AK1252" s="685">
        <f t="shared" si="34"/>
        <v>0</v>
      </c>
    </row>
    <row r="1253" spans="37:37" x14ac:dyDescent="0.2">
      <c r="AK1253" s="685">
        <f t="shared" si="34"/>
        <v>0</v>
      </c>
    </row>
    <row r="1254" spans="37:37" x14ac:dyDescent="0.2">
      <c r="AK1254" s="685">
        <f t="shared" si="34"/>
        <v>0</v>
      </c>
    </row>
    <row r="1255" spans="37:37" x14ac:dyDescent="0.2">
      <c r="AK1255" s="685">
        <f t="shared" si="34"/>
        <v>0</v>
      </c>
    </row>
    <row r="1256" spans="37:37" x14ac:dyDescent="0.2">
      <c r="AK1256" s="685">
        <f t="shared" si="34"/>
        <v>0</v>
      </c>
    </row>
    <row r="1257" spans="37:37" x14ac:dyDescent="0.2">
      <c r="AK1257" s="685">
        <f t="shared" si="34"/>
        <v>0</v>
      </c>
    </row>
    <row r="1258" spans="37:37" x14ac:dyDescent="0.2">
      <c r="AK1258" s="685">
        <f t="shared" si="34"/>
        <v>0</v>
      </c>
    </row>
    <row r="1259" spans="37:37" x14ac:dyDescent="0.2">
      <c r="AK1259" s="685">
        <f t="shared" si="34"/>
        <v>0</v>
      </c>
    </row>
    <row r="1260" spans="37:37" x14ac:dyDescent="0.2">
      <c r="AK1260" s="685">
        <f t="shared" si="34"/>
        <v>0</v>
      </c>
    </row>
    <row r="1261" spans="37:37" x14ac:dyDescent="0.2">
      <c r="AK1261" s="685">
        <f t="shared" si="34"/>
        <v>0</v>
      </c>
    </row>
    <row r="1262" spans="37:37" x14ac:dyDescent="0.2">
      <c r="AK1262" s="685">
        <f t="shared" si="34"/>
        <v>0</v>
      </c>
    </row>
    <row r="1263" spans="37:37" x14ac:dyDescent="0.2">
      <c r="AK1263" s="685">
        <f t="shared" si="34"/>
        <v>0</v>
      </c>
    </row>
    <row r="1264" spans="37:37" x14ac:dyDescent="0.2">
      <c r="AK1264" s="685">
        <f t="shared" si="34"/>
        <v>0</v>
      </c>
    </row>
    <row r="1265" spans="37:37" x14ac:dyDescent="0.2">
      <c r="AK1265" s="685">
        <f t="shared" si="34"/>
        <v>0</v>
      </c>
    </row>
    <row r="1266" spans="37:37" x14ac:dyDescent="0.2">
      <c r="AK1266" s="685">
        <f t="shared" si="34"/>
        <v>0</v>
      </c>
    </row>
    <row r="1267" spans="37:37" x14ac:dyDescent="0.2">
      <c r="AK1267" s="685">
        <f t="shared" si="34"/>
        <v>0</v>
      </c>
    </row>
    <row r="1268" spans="37:37" x14ac:dyDescent="0.2">
      <c r="AK1268" s="685">
        <f t="shared" si="34"/>
        <v>0</v>
      </c>
    </row>
    <row r="1269" spans="37:37" x14ac:dyDescent="0.2">
      <c r="AK1269" s="685">
        <f t="shared" si="34"/>
        <v>0</v>
      </c>
    </row>
    <row r="1270" spans="37:37" x14ac:dyDescent="0.2">
      <c r="AK1270" s="685">
        <f t="shared" si="34"/>
        <v>0</v>
      </c>
    </row>
    <row r="1271" spans="37:37" x14ac:dyDescent="0.2">
      <c r="AK1271" s="685">
        <f t="shared" si="34"/>
        <v>0</v>
      </c>
    </row>
    <row r="1272" spans="37:37" x14ac:dyDescent="0.2">
      <c r="AK1272" s="685">
        <f t="shared" si="34"/>
        <v>0</v>
      </c>
    </row>
    <row r="1273" spans="37:37" x14ac:dyDescent="0.2">
      <c r="AK1273" s="685">
        <f t="shared" si="34"/>
        <v>0</v>
      </c>
    </row>
    <row r="1274" spans="37:37" x14ac:dyDescent="0.2">
      <c r="AK1274" s="685">
        <f t="shared" si="34"/>
        <v>0</v>
      </c>
    </row>
    <row r="1275" spans="37:37" x14ac:dyDescent="0.2">
      <c r="AK1275" s="685">
        <f t="shared" si="34"/>
        <v>0</v>
      </c>
    </row>
    <row r="1276" spans="37:37" x14ac:dyDescent="0.2">
      <c r="AK1276" s="685">
        <f t="shared" si="34"/>
        <v>0</v>
      </c>
    </row>
    <row r="1277" spans="37:37" x14ac:dyDescent="0.2">
      <c r="AK1277" s="685">
        <f t="shared" si="34"/>
        <v>0</v>
      </c>
    </row>
    <row r="1278" spans="37:37" x14ac:dyDescent="0.2">
      <c r="AK1278" s="685">
        <f t="shared" si="34"/>
        <v>0</v>
      </c>
    </row>
    <row r="1279" spans="37:37" x14ac:dyDescent="0.2">
      <c r="AK1279" s="685">
        <f t="shared" si="34"/>
        <v>0</v>
      </c>
    </row>
    <row r="1280" spans="37:37" x14ac:dyDescent="0.2">
      <c r="AK1280" s="685">
        <f t="shared" si="34"/>
        <v>0</v>
      </c>
    </row>
    <row r="1281" spans="37:37" x14ac:dyDescent="0.2">
      <c r="AK1281" s="685">
        <f t="shared" si="34"/>
        <v>0</v>
      </c>
    </row>
    <row r="1282" spans="37:37" x14ac:dyDescent="0.2">
      <c r="AK1282" s="685">
        <f t="shared" si="34"/>
        <v>0</v>
      </c>
    </row>
    <row r="1283" spans="37:37" x14ac:dyDescent="0.2">
      <c r="AK1283" s="685">
        <f t="shared" si="34"/>
        <v>0</v>
      </c>
    </row>
    <row r="1284" spans="37:37" x14ac:dyDescent="0.2">
      <c r="AK1284" s="685">
        <f t="shared" si="34"/>
        <v>0</v>
      </c>
    </row>
    <row r="1285" spans="37:37" x14ac:dyDescent="0.2">
      <c r="AK1285" s="685">
        <f t="shared" si="34"/>
        <v>0</v>
      </c>
    </row>
    <row r="1286" spans="37:37" x14ac:dyDescent="0.2">
      <c r="AK1286" s="685">
        <f t="shared" si="34"/>
        <v>0</v>
      </c>
    </row>
    <row r="1287" spans="37:37" x14ac:dyDescent="0.2">
      <c r="AK1287" s="685">
        <f t="shared" si="34"/>
        <v>0</v>
      </c>
    </row>
    <row r="1288" spans="37:37" x14ac:dyDescent="0.2">
      <c r="AK1288" s="685">
        <f t="shared" si="34"/>
        <v>0</v>
      </c>
    </row>
    <row r="1289" spans="37:37" x14ac:dyDescent="0.2">
      <c r="AK1289" s="685">
        <f t="shared" si="34"/>
        <v>0</v>
      </c>
    </row>
    <row r="1290" spans="37:37" x14ac:dyDescent="0.2">
      <c r="AK1290" s="685">
        <f t="shared" si="34"/>
        <v>0</v>
      </c>
    </row>
    <row r="1291" spans="37:37" x14ac:dyDescent="0.2">
      <c r="AK1291" s="685">
        <f t="shared" si="34"/>
        <v>0</v>
      </c>
    </row>
    <row r="1292" spans="37:37" x14ac:dyDescent="0.2">
      <c r="AK1292" s="685">
        <f t="shared" si="34"/>
        <v>0</v>
      </c>
    </row>
    <row r="1293" spans="37:37" x14ac:dyDescent="0.2">
      <c r="AK1293" s="685">
        <f t="shared" si="34"/>
        <v>0</v>
      </c>
    </row>
    <row r="1294" spans="37:37" x14ac:dyDescent="0.2">
      <c r="AK1294" s="685">
        <f t="shared" si="34"/>
        <v>0</v>
      </c>
    </row>
    <row r="1295" spans="37:37" x14ac:dyDescent="0.2">
      <c r="AK1295" s="685">
        <f t="shared" si="34"/>
        <v>0</v>
      </c>
    </row>
    <row r="1296" spans="37:37" x14ac:dyDescent="0.2">
      <c r="AK1296" s="685">
        <f t="shared" si="34"/>
        <v>0</v>
      </c>
    </row>
    <row r="1297" spans="37:37" x14ac:dyDescent="0.2">
      <c r="AK1297" s="685">
        <f t="shared" si="34"/>
        <v>0</v>
      </c>
    </row>
    <row r="1298" spans="37:37" x14ac:dyDescent="0.2">
      <c r="AK1298" s="685">
        <f t="shared" si="34"/>
        <v>0</v>
      </c>
    </row>
    <row r="1299" spans="37:37" x14ac:dyDescent="0.2">
      <c r="AK1299" s="685">
        <f t="shared" si="34"/>
        <v>0</v>
      </c>
    </row>
    <row r="1300" spans="37:37" x14ac:dyDescent="0.2">
      <c r="AK1300" s="685">
        <f t="shared" si="34"/>
        <v>0</v>
      </c>
    </row>
    <row r="1301" spans="37:37" x14ac:dyDescent="0.2">
      <c r="AK1301" s="685">
        <f t="shared" si="34"/>
        <v>0</v>
      </c>
    </row>
    <row r="1302" spans="37:37" x14ac:dyDescent="0.2">
      <c r="AK1302" s="685">
        <f t="shared" si="34"/>
        <v>0</v>
      </c>
    </row>
    <row r="1303" spans="37:37" x14ac:dyDescent="0.2">
      <c r="AK1303" s="685">
        <f t="shared" si="34"/>
        <v>0</v>
      </c>
    </row>
    <row r="1304" spans="37:37" x14ac:dyDescent="0.2">
      <c r="AK1304" s="685">
        <f t="shared" ref="AK1304:AK1367" si="35">SUM(O1304:AJ1304)</f>
        <v>0</v>
      </c>
    </row>
    <row r="1305" spans="37:37" x14ac:dyDescent="0.2">
      <c r="AK1305" s="685">
        <f t="shared" si="35"/>
        <v>0</v>
      </c>
    </row>
    <row r="1306" spans="37:37" x14ac:dyDescent="0.2">
      <c r="AK1306" s="685">
        <f t="shared" si="35"/>
        <v>0</v>
      </c>
    </row>
    <row r="1307" spans="37:37" x14ac:dyDescent="0.2">
      <c r="AK1307" s="685">
        <f t="shared" si="35"/>
        <v>0</v>
      </c>
    </row>
    <row r="1308" spans="37:37" x14ac:dyDescent="0.2">
      <c r="AK1308" s="685">
        <f t="shared" si="35"/>
        <v>0</v>
      </c>
    </row>
    <row r="1309" spans="37:37" x14ac:dyDescent="0.2">
      <c r="AK1309" s="685">
        <f t="shared" si="35"/>
        <v>0</v>
      </c>
    </row>
    <row r="1310" spans="37:37" x14ac:dyDescent="0.2">
      <c r="AK1310" s="685">
        <f t="shared" si="35"/>
        <v>0</v>
      </c>
    </row>
    <row r="1311" spans="37:37" x14ac:dyDescent="0.2">
      <c r="AK1311" s="685">
        <f t="shared" si="35"/>
        <v>0</v>
      </c>
    </row>
    <row r="1312" spans="37:37" x14ac:dyDescent="0.2">
      <c r="AK1312" s="685">
        <f t="shared" si="35"/>
        <v>0</v>
      </c>
    </row>
    <row r="1313" spans="37:37" x14ac:dyDescent="0.2">
      <c r="AK1313" s="685">
        <f t="shared" si="35"/>
        <v>0</v>
      </c>
    </row>
    <row r="1314" spans="37:37" x14ac:dyDescent="0.2">
      <c r="AK1314" s="685">
        <f t="shared" si="35"/>
        <v>0</v>
      </c>
    </row>
    <row r="1315" spans="37:37" x14ac:dyDescent="0.2">
      <c r="AK1315" s="685">
        <f t="shared" si="35"/>
        <v>0</v>
      </c>
    </row>
    <row r="1316" spans="37:37" x14ac:dyDescent="0.2">
      <c r="AK1316" s="685">
        <f t="shared" si="35"/>
        <v>0</v>
      </c>
    </row>
    <row r="1317" spans="37:37" x14ac:dyDescent="0.2">
      <c r="AK1317" s="685">
        <f t="shared" si="35"/>
        <v>0</v>
      </c>
    </row>
    <row r="1318" spans="37:37" x14ac:dyDescent="0.2">
      <c r="AK1318" s="685">
        <f t="shared" si="35"/>
        <v>0</v>
      </c>
    </row>
    <row r="1319" spans="37:37" x14ac:dyDescent="0.2">
      <c r="AK1319" s="685">
        <f t="shared" si="35"/>
        <v>0</v>
      </c>
    </row>
    <row r="1320" spans="37:37" x14ac:dyDescent="0.2">
      <c r="AK1320" s="685">
        <f t="shared" si="35"/>
        <v>0</v>
      </c>
    </row>
    <row r="1321" spans="37:37" x14ac:dyDescent="0.2">
      <c r="AK1321" s="685">
        <f t="shared" si="35"/>
        <v>0</v>
      </c>
    </row>
    <row r="1322" spans="37:37" x14ac:dyDescent="0.2">
      <c r="AK1322" s="685">
        <f t="shared" si="35"/>
        <v>0</v>
      </c>
    </row>
    <row r="1323" spans="37:37" x14ac:dyDescent="0.2">
      <c r="AK1323" s="685">
        <f t="shared" si="35"/>
        <v>0</v>
      </c>
    </row>
    <row r="1324" spans="37:37" x14ac:dyDescent="0.2">
      <c r="AK1324" s="685">
        <f t="shared" si="35"/>
        <v>0</v>
      </c>
    </row>
    <row r="1325" spans="37:37" x14ac:dyDescent="0.2">
      <c r="AK1325" s="685">
        <f t="shared" si="35"/>
        <v>0</v>
      </c>
    </row>
    <row r="1326" spans="37:37" x14ac:dyDescent="0.2">
      <c r="AK1326" s="685">
        <f t="shared" si="35"/>
        <v>0</v>
      </c>
    </row>
    <row r="1327" spans="37:37" x14ac:dyDescent="0.2">
      <c r="AK1327" s="685">
        <f t="shared" si="35"/>
        <v>0</v>
      </c>
    </row>
    <row r="1328" spans="37:37" x14ac:dyDescent="0.2">
      <c r="AK1328" s="685">
        <f t="shared" si="35"/>
        <v>0</v>
      </c>
    </row>
    <row r="1329" spans="37:37" x14ac:dyDescent="0.2">
      <c r="AK1329" s="685">
        <f t="shared" si="35"/>
        <v>0</v>
      </c>
    </row>
    <row r="1330" spans="37:37" x14ac:dyDescent="0.2">
      <c r="AK1330" s="685">
        <f t="shared" si="35"/>
        <v>0</v>
      </c>
    </row>
    <row r="1331" spans="37:37" x14ac:dyDescent="0.2">
      <c r="AK1331" s="685">
        <f t="shared" si="35"/>
        <v>0</v>
      </c>
    </row>
    <row r="1332" spans="37:37" x14ac:dyDescent="0.2">
      <c r="AK1332" s="685">
        <f t="shared" si="35"/>
        <v>0</v>
      </c>
    </row>
    <row r="1333" spans="37:37" x14ac:dyDescent="0.2">
      <c r="AK1333" s="685">
        <f t="shared" si="35"/>
        <v>0</v>
      </c>
    </row>
    <row r="1334" spans="37:37" x14ac:dyDescent="0.2">
      <c r="AK1334" s="685">
        <f t="shared" si="35"/>
        <v>0</v>
      </c>
    </row>
    <row r="1335" spans="37:37" x14ac:dyDescent="0.2">
      <c r="AK1335" s="685">
        <f t="shared" si="35"/>
        <v>0</v>
      </c>
    </row>
    <row r="1336" spans="37:37" x14ac:dyDescent="0.2">
      <c r="AK1336" s="685">
        <f t="shared" si="35"/>
        <v>0</v>
      </c>
    </row>
    <row r="1337" spans="37:37" x14ac:dyDescent="0.2">
      <c r="AK1337" s="685">
        <f t="shared" si="35"/>
        <v>0</v>
      </c>
    </row>
    <row r="1338" spans="37:37" x14ac:dyDescent="0.2">
      <c r="AK1338" s="685">
        <f t="shared" si="35"/>
        <v>0</v>
      </c>
    </row>
    <row r="1339" spans="37:37" x14ac:dyDescent="0.2">
      <c r="AK1339" s="685">
        <f t="shared" si="35"/>
        <v>0</v>
      </c>
    </row>
    <row r="1340" spans="37:37" x14ac:dyDescent="0.2">
      <c r="AK1340" s="685">
        <f t="shared" si="35"/>
        <v>0</v>
      </c>
    </row>
    <row r="1341" spans="37:37" x14ac:dyDescent="0.2">
      <c r="AK1341" s="685">
        <f t="shared" si="35"/>
        <v>0</v>
      </c>
    </row>
    <row r="1342" spans="37:37" x14ac:dyDescent="0.2">
      <c r="AK1342" s="685">
        <f t="shared" si="35"/>
        <v>0</v>
      </c>
    </row>
    <row r="1343" spans="37:37" x14ac:dyDescent="0.2">
      <c r="AK1343" s="685">
        <f t="shared" si="35"/>
        <v>0</v>
      </c>
    </row>
    <row r="1344" spans="37:37" x14ac:dyDescent="0.2">
      <c r="AK1344" s="685">
        <f t="shared" si="35"/>
        <v>0</v>
      </c>
    </row>
    <row r="1345" spans="37:37" x14ac:dyDescent="0.2">
      <c r="AK1345" s="685">
        <f t="shared" si="35"/>
        <v>0</v>
      </c>
    </row>
    <row r="1346" spans="37:37" x14ac:dyDescent="0.2">
      <c r="AK1346" s="685">
        <f t="shared" si="35"/>
        <v>0</v>
      </c>
    </row>
    <row r="1347" spans="37:37" x14ac:dyDescent="0.2">
      <c r="AK1347" s="685">
        <f t="shared" si="35"/>
        <v>0</v>
      </c>
    </row>
    <row r="1348" spans="37:37" x14ac:dyDescent="0.2">
      <c r="AK1348" s="685">
        <f t="shared" si="35"/>
        <v>0</v>
      </c>
    </row>
    <row r="1349" spans="37:37" x14ac:dyDescent="0.2">
      <c r="AK1349" s="685">
        <f t="shared" si="35"/>
        <v>0</v>
      </c>
    </row>
    <row r="1350" spans="37:37" x14ac:dyDescent="0.2">
      <c r="AK1350" s="685">
        <f t="shared" si="35"/>
        <v>0</v>
      </c>
    </row>
    <row r="1351" spans="37:37" x14ac:dyDescent="0.2">
      <c r="AK1351" s="685">
        <f t="shared" si="35"/>
        <v>0</v>
      </c>
    </row>
    <row r="1352" spans="37:37" x14ac:dyDescent="0.2">
      <c r="AK1352" s="685">
        <f t="shared" si="35"/>
        <v>0</v>
      </c>
    </row>
    <row r="1353" spans="37:37" x14ac:dyDescent="0.2">
      <c r="AK1353" s="685">
        <f t="shared" si="35"/>
        <v>0</v>
      </c>
    </row>
    <row r="1354" spans="37:37" x14ac:dyDescent="0.2">
      <c r="AK1354" s="685">
        <f t="shared" si="35"/>
        <v>0</v>
      </c>
    </row>
    <row r="1355" spans="37:37" x14ac:dyDescent="0.2">
      <c r="AK1355" s="685">
        <f t="shared" si="35"/>
        <v>0</v>
      </c>
    </row>
    <row r="1356" spans="37:37" x14ac:dyDescent="0.2">
      <c r="AK1356" s="685">
        <f t="shared" si="35"/>
        <v>0</v>
      </c>
    </row>
    <row r="1357" spans="37:37" x14ac:dyDescent="0.2">
      <c r="AK1357" s="685">
        <f t="shared" si="35"/>
        <v>0</v>
      </c>
    </row>
    <row r="1358" spans="37:37" x14ac:dyDescent="0.2">
      <c r="AK1358" s="685">
        <f t="shared" si="35"/>
        <v>0</v>
      </c>
    </row>
    <row r="1359" spans="37:37" x14ac:dyDescent="0.2">
      <c r="AK1359" s="685">
        <f t="shared" si="35"/>
        <v>0</v>
      </c>
    </row>
    <row r="1360" spans="37:37" x14ac:dyDescent="0.2">
      <c r="AK1360" s="685">
        <f t="shared" si="35"/>
        <v>0</v>
      </c>
    </row>
    <row r="1361" spans="37:37" x14ac:dyDescent="0.2">
      <c r="AK1361" s="685">
        <f t="shared" si="35"/>
        <v>0</v>
      </c>
    </row>
    <row r="1362" spans="37:37" x14ac:dyDescent="0.2">
      <c r="AK1362" s="685">
        <f t="shared" si="35"/>
        <v>0</v>
      </c>
    </row>
    <row r="1363" spans="37:37" x14ac:dyDescent="0.2">
      <c r="AK1363" s="685">
        <f t="shared" si="35"/>
        <v>0</v>
      </c>
    </row>
    <row r="1364" spans="37:37" x14ac:dyDescent="0.2">
      <c r="AK1364" s="685">
        <f t="shared" si="35"/>
        <v>0</v>
      </c>
    </row>
    <row r="1365" spans="37:37" x14ac:dyDescent="0.2">
      <c r="AK1365" s="685">
        <f t="shared" si="35"/>
        <v>0</v>
      </c>
    </row>
    <row r="1366" spans="37:37" x14ac:dyDescent="0.2">
      <c r="AK1366" s="685">
        <f t="shared" si="35"/>
        <v>0</v>
      </c>
    </row>
    <row r="1367" spans="37:37" x14ac:dyDescent="0.2">
      <c r="AK1367" s="685">
        <f t="shared" si="35"/>
        <v>0</v>
      </c>
    </row>
    <row r="1368" spans="37:37" x14ac:dyDescent="0.2">
      <c r="AK1368" s="685">
        <f t="shared" ref="AK1368:AK1431" si="36">SUM(O1368:AJ1368)</f>
        <v>0</v>
      </c>
    </row>
    <row r="1369" spans="37:37" x14ac:dyDescent="0.2">
      <c r="AK1369" s="685">
        <f t="shared" si="36"/>
        <v>0</v>
      </c>
    </row>
    <row r="1370" spans="37:37" x14ac:dyDescent="0.2">
      <c r="AK1370" s="685">
        <f t="shared" si="36"/>
        <v>0</v>
      </c>
    </row>
    <row r="1371" spans="37:37" x14ac:dyDescent="0.2">
      <c r="AK1371" s="685">
        <f t="shared" si="36"/>
        <v>0</v>
      </c>
    </row>
    <row r="1372" spans="37:37" x14ac:dyDescent="0.2">
      <c r="AK1372" s="685">
        <f t="shared" si="36"/>
        <v>0</v>
      </c>
    </row>
    <row r="1373" spans="37:37" x14ac:dyDescent="0.2">
      <c r="AK1373" s="685">
        <f t="shared" si="36"/>
        <v>0</v>
      </c>
    </row>
    <row r="1374" spans="37:37" x14ac:dyDescent="0.2">
      <c r="AK1374" s="685">
        <f t="shared" si="36"/>
        <v>0</v>
      </c>
    </row>
    <row r="1375" spans="37:37" x14ac:dyDescent="0.2">
      <c r="AK1375" s="685">
        <f t="shared" si="36"/>
        <v>0</v>
      </c>
    </row>
    <row r="1376" spans="37:37" x14ac:dyDescent="0.2">
      <c r="AK1376" s="685">
        <f t="shared" si="36"/>
        <v>0</v>
      </c>
    </row>
    <row r="1377" spans="37:37" x14ac:dyDescent="0.2">
      <c r="AK1377" s="685">
        <f t="shared" si="36"/>
        <v>0</v>
      </c>
    </row>
    <row r="1378" spans="37:37" x14ac:dyDescent="0.2">
      <c r="AK1378" s="685">
        <f t="shared" si="36"/>
        <v>0</v>
      </c>
    </row>
    <row r="1379" spans="37:37" x14ac:dyDescent="0.2">
      <c r="AK1379" s="685">
        <f t="shared" si="36"/>
        <v>0</v>
      </c>
    </row>
    <row r="1380" spans="37:37" x14ac:dyDescent="0.2">
      <c r="AK1380" s="685">
        <f t="shared" si="36"/>
        <v>0</v>
      </c>
    </row>
    <row r="1381" spans="37:37" x14ac:dyDescent="0.2">
      <c r="AK1381" s="685">
        <f t="shared" si="36"/>
        <v>0</v>
      </c>
    </row>
    <row r="1382" spans="37:37" x14ac:dyDescent="0.2">
      <c r="AK1382" s="685">
        <f t="shared" si="36"/>
        <v>0</v>
      </c>
    </row>
    <row r="1383" spans="37:37" x14ac:dyDescent="0.2">
      <c r="AK1383" s="685">
        <f t="shared" si="36"/>
        <v>0</v>
      </c>
    </row>
    <row r="1384" spans="37:37" x14ac:dyDescent="0.2">
      <c r="AK1384" s="685">
        <f t="shared" si="36"/>
        <v>0</v>
      </c>
    </row>
    <row r="1385" spans="37:37" x14ac:dyDescent="0.2">
      <c r="AK1385" s="685">
        <f t="shared" si="36"/>
        <v>0</v>
      </c>
    </row>
    <row r="1386" spans="37:37" x14ac:dyDescent="0.2">
      <c r="AK1386" s="685">
        <f t="shared" si="36"/>
        <v>0</v>
      </c>
    </row>
    <row r="1387" spans="37:37" x14ac:dyDescent="0.2">
      <c r="AK1387" s="685">
        <f t="shared" si="36"/>
        <v>0</v>
      </c>
    </row>
    <row r="1388" spans="37:37" x14ac:dyDescent="0.2">
      <c r="AK1388" s="685">
        <f t="shared" si="36"/>
        <v>0</v>
      </c>
    </row>
    <row r="1389" spans="37:37" x14ac:dyDescent="0.2">
      <c r="AK1389" s="685">
        <f t="shared" si="36"/>
        <v>0</v>
      </c>
    </row>
    <row r="1390" spans="37:37" x14ac:dyDescent="0.2">
      <c r="AK1390" s="685">
        <f t="shared" si="36"/>
        <v>0</v>
      </c>
    </row>
    <row r="1391" spans="37:37" x14ac:dyDescent="0.2">
      <c r="AK1391" s="685">
        <f t="shared" si="36"/>
        <v>0</v>
      </c>
    </row>
    <row r="1392" spans="37:37" x14ac:dyDescent="0.2">
      <c r="AK1392" s="685">
        <f t="shared" si="36"/>
        <v>0</v>
      </c>
    </row>
    <row r="1393" spans="37:37" x14ac:dyDescent="0.2">
      <c r="AK1393" s="685">
        <f t="shared" si="36"/>
        <v>0</v>
      </c>
    </row>
    <row r="1394" spans="37:37" x14ac:dyDescent="0.2">
      <c r="AK1394" s="685">
        <f t="shared" si="36"/>
        <v>0</v>
      </c>
    </row>
    <row r="1395" spans="37:37" x14ac:dyDescent="0.2">
      <c r="AK1395" s="685">
        <f t="shared" si="36"/>
        <v>0</v>
      </c>
    </row>
    <row r="1396" spans="37:37" x14ac:dyDescent="0.2">
      <c r="AK1396" s="685">
        <f t="shared" si="36"/>
        <v>0</v>
      </c>
    </row>
    <row r="1397" spans="37:37" x14ac:dyDescent="0.2">
      <c r="AK1397" s="685">
        <f t="shared" si="36"/>
        <v>0</v>
      </c>
    </row>
    <row r="1398" spans="37:37" x14ac:dyDescent="0.2">
      <c r="AK1398" s="685">
        <f t="shared" si="36"/>
        <v>0</v>
      </c>
    </row>
    <row r="1399" spans="37:37" x14ac:dyDescent="0.2">
      <c r="AK1399" s="685">
        <f t="shared" si="36"/>
        <v>0</v>
      </c>
    </row>
    <row r="1400" spans="37:37" x14ac:dyDescent="0.2">
      <c r="AK1400" s="685">
        <f t="shared" si="36"/>
        <v>0</v>
      </c>
    </row>
    <row r="1401" spans="37:37" x14ac:dyDescent="0.2">
      <c r="AK1401" s="685">
        <f t="shared" si="36"/>
        <v>0</v>
      </c>
    </row>
    <row r="1402" spans="37:37" x14ac:dyDescent="0.2">
      <c r="AK1402" s="685">
        <f t="shared" si="36"/>
        <v>0</v>
      </c>
    </row>
    <row r="1403" spans="37:37" x14ac:dyDescent="0.2">
      <c r="AK1403" s="685">
        <f t="shared" si="36"/>
        <v>0</v>
      </c>
    </row>
    <row r="1404" spans="37:37" x14ac:dyDescent="0.2">
      <c r="AK1404" s="685">
        <f t="shared" si="36"/>
        <v>0</v>
      </c>
    </row>
    <row r="1405" spans="37:37" x14ac:dyDescent="0.2">
      <c r="AK1405" s="685">
        <f t="shared" si="36"/>
        <v>0</v>
      </c>
    </row>
    <row r="1406" spans="37:37" x14ac:dyDescent="0.2">
      <c r="AK1406" s="685">
        <f t="shared" si="36"/>
        <v>0</v>
      </c>
    </row>
    <row r="1407" spans="37:37" x14ac:dyDescent="0.2">
      <c r="AK1407" s="685">
        <f t="shared" si="36"/>
        <v>0</v>
      </c>
    </row>
    <row r="1408" spans="37:37" x14ac:dyDescent="0.2">
      <c r="AK1408" s="685">
        <f t="shared" si="36"/>
        <v>0</v>
      </c>
    </row>
    <row r="1409" spans="37:37" x14ac:dyDescent="0.2">
      <c r="AK1409" s="685">
        <f t="shared" si="36"/>
        <v>0</v>
      </c>
    </row>
    <row r="1410" spans="37:37" x14ac:dyDescent="0.2">
      <c r="AK1410" s="685">
        <f t="shared" si="36"/>
        <v>0</v>
      </c>
    </row>
    <row r="1411" spans="37:37" x14ac:dyDescent="0.2">
      <c r="AK1411" s="685">
        <f t="shared" si="36"/>
        <v>0</v>
      </c>
    </row>
    <row r="1412" spans="37:37" x14ac:dyDescent="0.2">
      <c r="AK1412" s="685">
        <f t="shared" si="36"/>
        <v>0</v>
      </c>
    </row>
    <row r="1413" spans="37:37" x14ac:dyDescent="0.2">
      <c r="AK1413" s="685">
        <f t="shared" si="36"/>
        <v>0</v>
      </c>
    </row>
    <row r="1414" spans="37:37" x14ac:dyDescent="0.2">
      <c r="AK1414" s="685">
        <f t="shared" si="36"/>
        <v>0</v>
      </c>
    </row>
    <row r="1415" spans="37:37" x14ac:dyDescent="0.2">
      <c r="AK1415" s="685">
        <f t="shared" si="36"/>
        <v>0</v>
      </c>
    </row>
    <row r="1416" spans="37:37" x14ac:dyDescent="0.2">
      <c r="AK1416" s="685">
        <f t="shared" si="36"/>
        <v>0</v>
      </c>
    </row>
    <row r="1417" spans="37:37" x14ac:dyDescent="0.2">
      <c r="AK1417" s="685">
        <f t="shared" si="36"/>
        <v>0</v>
      </c>
    </row>
    <row r="1418" spans="37:37" x14ac:dyDescent="0.2">
      <c r="AK1418" s="685">
        <f t="shared" si="36"/>
        <v>0</v>
      </c>
    </row>
    <row r="1419" spans="37:37" x14ac:dyDescent="0.2">
      <c r="AK1419" s="685">
        <f t="shared" si="36"/>
        <v>0</v>
      </c>
    </row>
    <row r="1420" spans="37:37" x14ac:dyDescent="0.2">
      <c r="AK1420" s="685">
        <f t="shared" si="36"/>
        <v>0</v>
      </c>
    </row>
    <row r="1421" spans="37:37" x14ac:dyDescent="0.2">
      <c r="AK1421" s="685">
        <f t="shared" si="36"/>
        <v>0</v>
      </c>
    </row>
    <row r="1422" spans="37:37" x14ac:dyDescent="0.2">
      <c r="AK1422" s="685">
        <f t="shared" si="36"/>
        <v>0</v>
      </c>
    </row>
    <row r="1423" spans="37:37" x14ac:dyDescent="0.2">
      <c r="AK1423" s="685">
        <f t="shared" si="36"/>
        <v>0</v>
      </c>
    </row>
    <row r="1424" spans="37:37" x14ac:dyDescent="0.2">
      <c r="AK1424" s="685">
        <f t="shared" si="36"/>
        <v>0</v>
      </c>
    </row>
    <row r="1425" spans="37:37" x14ac:dyDescent="0.2">
      <c r="AK1425" s="685">
        <f t="shared" si="36"/>
        <v>0</v>
      </c>
    </row>
    <row r="1426" spans="37:37" x14ac:dyDescent="0.2">
      <c r="AK1426" s="685">
        <f t="shared" si="36"/>
        <v>0</v>
      </c>
    </row>
    <row r="1427" spans="37:37" x14ac:dyDescent="0.2">
      <c r="AK1427" s="685">
        <f t="shared" si="36"/>
        <v>0</v>
      </c>
    </row>
    <row r="1428" spans="37:37" x14ac:dyDescent="0.2">
      <c r="AK1428" s="685">
        <f t="shared" si="36"/>
        <v>0</v>
      </c>
    </row>
    <row r="1429" spans="37:37" x14ac:dyDescent="0.2">
      <c r="AK1429" s="685">
        <f t="shared" si="36"/>
        <v>0</v>
      </c>
    </row>
    <row r="1430" spans="37:37" x14ac:dyDescent="0.2">
      <c r="AK1430" s="685">
        <f t="shared" si="36"/>
        <v>0</v>
      </c>
    </row>
    <row r="1431" spans="37:37" x14ac:dyDescent="0.2">
      <c r="AK1431" s="685">
        <f t="shared" si="36"/>
        <v>0</v>
      </c>
    </row>
    <row r="1432" spans="37:37" x14ac:dyDescent="0.2">
      <c r="AK1432" s="685">
        <f t="shared" ref="AK1432:AK1495" si="37">SUM(O1432:AJ1432)</f>
        <v>0</v>
      </c>
    </row>
    <row r="1433" spans="37:37" x14ac:dyDescent="0.2">
      <c r="AK1433" s="685">
        <f t="shared" si="37"/>
        <v>0</v>
      </c>
    </row>
    <row r="1434" spans="37:37" x14ac:dyDescent="0.2">
      <c r="AK1434" s="685">
        <f t="shared" si="37"/>
        <v>0</v>
      </c>
    </row>
    <row r="1435" spans="37:37" x14ac:dyDescent="0.2">
      <c r="AK1435" s="685">
        <f t="shared" si="37"/>
        <v>0</v>
      </c>
    </row>
    <row r="1436" spans="37:37" x14ac:dyDescent="0.2">
      <c r="AK1436" s="685">
        <f t="shared" si="37"/>
        <v>0</v>
      </c>
    </row>
    <row r="1437" spans="37:37" x14ac:dyDescent="0.2">
      <c r="AK1437" s="685">
        <f t="shared" si="37"/>
        <v>0</v>
      </c>
    </row>
    <row r="1438" spans="37:37" x14ac:dyDescent="0.2">
      <c r="AK1438" s="685">
        <f t="shared" si="37"/>
        <v>0</v>
      </c>
    </row>
    <row r="1439" spans="37:37" x14ac:dyDescent="0.2">
      <c r="AK1439" s="685">
        <f t="shared" si="37"/>
        <v>0</v>
      </c>
    </row>
    <row r="1440" spans="37:37" x14ac:dyDescent="0.2">
      <c r="AK1440" s="685">
        <f t="shared" si="37"/>
        <v>0</v>
      </c>
    </row>
    <row r="1441" spans="37:37" x14ac:dyDescent="0.2">
      <c r="AK1441" s="685">
        <f t="shared" si="37"/>
        <v>0</v>
      </c>
    </row>
    <row r="1442" spans="37:37" x14ac:dyDescent="0.2">
      <c r="AK1442" s="685">
        <f t="shared" si="37"/>
        <v>0</v>
      </c>
    </row>
    <row r="1443" spans="37:37" x14ac:dyDescent="0.2">
      <c r="AK1443" s="685">
        <f t="shared" si="37"/>
        <v>0</v>
      </c>
    </row>
    <row r="1444" spans="37:37" x14ac:dyDescent="0.2">
      <c r="AK1444" s="685">
        <f t="shared" si="37"/>
        <v>0</v>
      </c>
    </row>
    <row r="1445" spans="37:37" x14ac:dyDescent="0.2">
      <c r="AK1445" s="685">
        <f t="shared" si="37"/>
        <v>0</v>
      </c>
    </row>
    <row r="1446" spans="37:37" x14ac:dyDescent="0.2">
      <c r="AK1446" s="685">
        <f t="shared" si="37"/>
        <v>0</v>
      </c>
    </row>
    <row r="1447" spans="37:37" x14ac:dyDescent="0.2">
      <c r="AK1447" s="685">
        <f t="shared" si="37"/>
        <v>0</v>
      </c>
    </row>
    <row r="1448" spans="37:37" x14ac:dyDescent="0.2">
      <c r="AK1448" s="685">
        <f t="shared" si="37"/>
        <v>0</v>
      </c>
    </row>
    <row r="1449" spans="37:37" x14ac:dyDescent="0.2">
      <c r="AK1449" s="685">
        <f t="shared" si="37"/>
        <v>0</v>
      </c>
    </row>
    <row r="1450" spans="37:37" x14ac:dyDescent="0.2">
      <c r="AK1450" s="685">
        <f t="shared" si="37"/>
        <v>0</v>
      </c>
    </row>
    <row r="1451" spans="37:37" x14ac:dyDescent="0.2">
      <c r="AK1451" s="685">
        <f t="shared" si="37"/>
        <v>0</v>
      </c>
    </row>
    <row r="1452" spans="37:37" x14ac:dyDescent="0.2">
      <c r="AK1452" s="685">
        <f t="shared" si="37"/>
        <v>0</v>
      </c>
    </row>
    <row r="1453" spans="37:37" x14ac:dyDescent="0.2">
      <c r="AK1453" s="685">
        <f t="shared" si="37"/>
        <v>0</v>
      </c>
    </row>
    <row r="1454" spans="37:37" x14ac:dyDescent="0.2">
      <c r="AK1454" s="685">
        <f t="shared" si="37"/>
        <v>0</v>
      </c>
    </row>
    <row r="1455" spans="37:37" x14ac:dyDescent="0.2">
      <c r="AK1455" s="685">
        <f t="shared" si="37"/>
        <v>0</v>
      </c>
    </row>
    <row r="1456" spans="37:37" x14ac:dyDescent="0.2">
      <c r="AK1456" s="685">
        <f t="shared" si="37"/>
        <v>0</v>
      </c>
    </row>
    <row r="1457" spans="37:37" x14ac:dyDescent="0.2">
      <c r="AK1457" s="685">
        <f t="shared" si="37"/>
        <v>0</v>
      </c>
    </row>
    <row r="1458" spans="37:37" x14ac:dyDescent="0.2">
      <c r="AK1458" s="685">
        <f t="shared" si="37"/>
        <v>0</v>
      </c>
    </row>
    <row r="1459" spans="37:37" x14ac:dyDescent="0.2">
      <c r="AK1459" s="685">
        <f t="shared" si="37"/>
        <v>0</v>
      </c>
    </row>
    <row r="1460" spans="37:37" x14ac:dyDescent="0.2">
      <c r="AK1460" s="685">
        <f t="shared" si="37"/>
        <v>0</v>
      </c>
    </row>
    <row r="1461" spans="37:37" x14ac:dyDescent="0.2">
      <c r="AK1461" s="685">
        <f t="shared" si="37"/>
        <v>0</v>
      </c>
    </row>
    <row r="1462" spans="37:37" x14ac:dyDescent="0.2">
      <c r="AK1462" s="685">
        <f t="shared" si="37"/>
        <v>0</v>
      </c>
    </row>
    <row r="1463" spans="37:37" x14ac:dyDescent="0.2">
      <c r="AK1463" s="685">
        <f t="shared" si="37"/>
        <v>0</v>
      </c>
    </row>
    <row r="1464" spans="37:37" x14ac:dyDescent="0.2">
      <c r="AK1464" s="685">
        <f t="shared" si="37"/>
        <v>0</v>
      </c>
    </row>
    <row r="1465" spans="37:37" x14ac:dyDescent="0.2">
      <c r="AK1465" s="685">
        <f t="shared" si="37"/>
        <v>0</v>
      </c>
    </row>
    <row r="1466" spans="37:37" x14ac:dyDescent="0.2">
      <c r="AK1466" s="685">
        <f t="shared" si="37"/>
        <v>0</v>
      </c>
    </row>
    <row r="1467" spans="37:37" x14ac:dyDescent="0.2">
      <c r="AK1467" s="685">
        <f t="shared" si="37"/>
        <v>0</v>
      </c>
    </row>
    <row r="1468" spans="37:37" x14ac:dyDescent="0.2">
      <c r="AK1468" s="685">
        <f t="shared" si="37"/>
        <v>0</v>
      </c>
    </row>
    <row r="1469" spans="37:37" x14ac:dyDescent="0.2">
      <c r="AK1469" s="685">
        <f t="shared" si="37"/>
        <v>0</v>
      </c>
    </row>
    <row r="1470" spans="37:37" x14ac:dyDescent="0.2">
      <c r="AK1470" s="685">
        <f t="shared" si="37"/>
        <v>0</v>
      </c>
    </row>
    <row r="1471" spans="37:37" x14ac:dyDescent="0.2">
      <c r="AK1471" s="685">
        <f t="shared" si="37"/>
        <v>0</v>
      </c>
    </row>
    <row r="1472" spans="37:37" x14ac:dyDescent="0.2">
      <c r="AK1472" s="685">
        <f t="shared" si="37"/>
        <v>0</v>
      </c>
    </row>
    <row r="1473" spans="37:37" x14ac:dyDescent="0.2">
      <c r="AK1473" s="685">
        <f t="shared" si="37"/>
        <v>0</v>
      </c>
    </row>
    <row r="1474" spans="37:37" x14ac:dyDescent="0.2">
      <c r="AK1474" s="685">
        <f t="shared" si="37"/>
        <v>0</v>
      </c>
    </row>
    <row r="1475" spans="37:37" x14ac:dyDescent="0.2">
      <c r="AK1475" s="685">
        <f t="shared" si="37"/>
        <v>0</v>
      </c>
    </row>
    <row r="1476" spans="37:37" x14ac:dyDescent="0.2">
      <c r="AK1476" s="685">
        <f t="shared" si="37"/>
        <v>0</v>
      </c>
    </row>
    <row r="1477" spans="37:37" x14ac:dyDescent="0.2">
      <c r="AK1477" s="685">
        <f t="shared" si="37"/>
        <v>0</v>
      </c>
    </row>
    <row r="1478" spans="37:37" x14ac:dyDescent="0.2">
      <c r="AK1478" s="685">
        <f t="shared" si="37"/>
        <v>0</v>
      </c>
    </row>
    <row r="1479" spans="37:37" x14ac:dyDescent="0.2">
      <c r="AK1479" s="685">
        <f t="shared" si="37"/>
        <v>0</v>
      </c>
    </row>
    <row r="1480" spans="37:37" x14ac:dyDescent="0.2">
      <c r="AK1480" s="685">
        <f t="shared" si="37"/>
        <v>0</v>
      </c>
    </row>
    <row r="1481" spans="37:37" x14ac:dyDescent="0.2">
      <c r="AK1481" s="685">
        <f t="shared" si="37"/>
        <v>0</v>
      </c>
    </row>
    <row r="1482" spans="37:37" x14ac:dyDescent="0.2">
      <c r="AK1482" s="685">
        <f t="shared" si="37"/>
        <v>0</v>
      </c>
    </row>
    <row r="1483" spans="37:37" x14ac:dyDescent="0.2">
      <c r="AK1483" s="685">
        <f t="shared" si="37"/>
        <v>0</v>
      </c>
    </row>
    <row r="1484" spans="37:37" x14ac:dyDescent="0.2">
      <c r="AK1484" s="685">
        <f t="shared" si="37"/>
        <v>0</v>
      </c>
    </row>
    <row r="1485" spans="37:37" x14ac:dyDescent="0.2">
      <c r="AK1485" s="685">
        <f t="shared" si="37"/>
        <v>0</v>
      </c>
    </row>
    <row r="1486" spans="37:37" x14ac:dyDescent="0.2">
      <c r="AK1486" s="685">
        <f t="shared" si="37"/>
        <v>0</v>
      </c>
    </row>
    <row r="1487" spans="37:37" x14ac:dyDescent="0.2">
      <c r="AK1487" s="685">
        <f t="shared" si="37"/>
        <v>0</v>
      </c>
    </row>
    <row r="1488" spans="37:37" x14ac:dyDescent="0.2">
      <c r="AK1488" s="685">
        <f t="shared" si="37"/>
        <v>0</v>
      </c>
    </row>
    <row r="1489" spans="37:37" x14ac:dyDescent="0.2">
      <c r="AK1489" s="685">
        <f t="shared" si="37"/>
        <v>0</v>
      </c>
    </row>
    <row r="1490" spans="37:37" x14ac:dyDescent="0.2">
      <c r="AK1490" s="685">
        <f t="shared" si="37"/>
        <v>0</v>
      </c>
    </row>
    <row r="1491" spans="37:37" x14ac:dyDescent="0.2">
      <c r="AK1491" s="685">
        <f t="shared" si="37"/>
        <v>0</v>
      </c>
    </row>
    <row r="1492" spans="37:37" x14ac:dyDescent="0.2">
      <c r="AK1492" s="685">
        <f t="shared" si="37"/>
        <v>0</v>
      </c>
    </row>
    <row r="1493" spans="37:37" x14ac:dyDescent="0.2">
      <c r="AK1493" s="685">
        <f t="shared" si="37"/>
        <v>0</v>
      </c>
    </row>
    <row r="1494" spans="37:37" x14ac:dyDescent="0.2">
      <c r="AK1494" s="685">
        <f t="shared" si="37"/>
        <v>0</v>
      </c>
    </row>
    <row r="1495" spans="37:37" x14ac:dyDescent="0.2">
      <c r="AK1495" s="685">
        <f t="shared" si="37"/>
        <v>0</v>
      </c>
    </row>
    <row r="1496" spans="37:37" x14ac:dyDescent="0.2">
      <c r="AK1496" s="685">
        <f t="shared" ref="AK1496:AK1559" si="38">SUM(O1496:AJ1496)</f>
        <v>0</v>
      </c>
    </row>
    <row r="1497" spans="37:37" x14ac:dyDescent="0.2">
      <c r="AK1497" s="685">
        <f t="shared" si="38"/>
        <v>0</v>
      </c>
    </row>
    <row r="1498" spans="37:37" x14ac:dyDescent="0.2">
      <c r="AK1498" s="685">
        <f t="shared" si="38"/>
        <v>0</v>
      </c>
    </row>
    <row r="1499" spans="37:37" x14ac:dyDescent="0.2">
      <c r="AK1499" s="685">
        <f t="shared" si="38"/>
        <v>0</v>
      </c>
    </row>
    <row r="1500" spans="37:37" x14ac:dyDescent="0.2">
      <c r="AK1500" s="685">
        <f t="shared" si="38"/>
        <v>0</v>
      </c>
    </row>
    <row r="1501" spans="37:37" x14ac:dyDescent="0.2">
      <c r="AK1501" s="685">
        <f t="shared" si="38"/>
        <v>0</v>
      </c>
    </row>
    <row r="1502" spans="37:37" x14ac:dyDescent="0.2">
      <c r="AK1502" s="685">
        <f t="shared" si="38"/>
        <v>0</v>
      </c>
    </row>
    <row r="1503" spans="37:37" x14ac:dyDescent="0.2">
      <c r="AK1503" s="685">
        <f t="shared" si="38"/>
        <v>0</v>
      </c>
    </row>
    <row r="1504" spans="37:37" x14ac:dyDescent="0.2">
      <c r="AK1504" s="685">
        <f t="shared" si="38"/>
        <v>0</v>
      </c>
    </row>
    <row r="1505" spans="37:37" x14ac:dyDescent="0.2">
      <c r="AK1505" s="685">
        <f t="shared" si="38"/>
        <v>0</v>
      </c>
    </row>
    <row r="1506" spans="37:37" x14ac:dyDescent="0.2">
      <c r="AK1506" s="685">
        <f t="shared" si="38"/>
        <v>0</v>
      </c>
    </row>
    <row r="1507" spans="37:37" x14ac:dyDescent="0.2">
      <c r="AK1507" s="685">
        <f t="shared" si="38"/>
        <v>0</v>
      </c>
    </row>
    <row r="1508" spans="37:37" x14ac:dyDescent="0.2">
      <c r="AK1508" s="685">
        <f t="shared" si="38"/>
        <v>0</v>
      </c>
    </row>
    <row r="1509" spans="37:37" x14ac:dyDescent="0.2">
      <c r="AK1509" s="685">
        <f t="shared" si="38"/>
        <v>0</v>
      </c>
    </row>
    <row r="1510" spans="37:37" x14ac:dyDescent="0.2">
      <c r="AK1510" s="685">
        <f t="shared" si="38"/>
        <v>0</v>
      </c>
    </row>
    <row r="1511" spans="37:37" x14ac:dyDescent="0.2">
      <c r="AK1511" s="685">
        <f t="shared" si="38"/>
        <v>0</v>
      </c>
    </row>
    <row r="1512" spans="37:37" x14ac:dyDescent="0.2">
      <c r="AK1512" s="685">
        <f t="shared" si="38"/>
        <v>0</v>
      </c>
    </row>
    <row r="1513" spans="37:37" x14ac:dyDescent="0.2">
      <c r="AK1513" s="685">
        <f t="shared" si="38"/>
        <v>0</v>
      </c>
    </row>
    <row r="1514" spans="37:37" x14ac:dyDescent="0.2">
      <c r="AK1514" s="685">
        <f t="shared" si="38"/>
        <v>0</v>
      </c>
    </row>
    <row r="1515" spans="37:37" x14ac:dyDescent="0.2">
      <c r="AK1515" s="685">
        <f t="shared" si="38"/>
        <v>0</v>
      </c>
    </row>
    <row r="1516" spans="37:37" x14ac:dyDescent="0.2">
      <c r="AK1516" s="685">
        <f t="shared" si="38"/>
        <v>0</v>
      </c>
    </row>
    <row r="1517" spans="37:37" x14ac:dyDescent="0.2">
      <c r="AK1517" s="685">
        <f t="shared" si="38"/>
        <v>0</v>
      </c>
    </row>
    <row r="1518" spans="37:37" x14ac:dyDescent="0.2">
      <c r="AK1518" s="685">
        <f t="shared" si="38"/>
        <v>0</v>
      </c>
    </row>
    <row r="1519" spans="37:37" x14ac:dyDescent="0.2">
      <c r="AK1519" s="685">
        <f t="shared" si="38"/>
        <v>0</v>
      </c>
    </row>
    <row r="1520" spans="37:37" x14ac:dyDescent="0.2">
      <c r="AK1520" s="685">
        <f t="shared" si="38"/>
        <v>0</v>
      </c>
    </row>
    <row r="1521" spans="37:37" x14ac:dyDescent="0.2">
      <c r="AK1521" s="685">
        <f t="shared" si="38"/>
        <v>0</v>
      </c>
    </row>
    <row r="1522" spans="37:37" x14ac:dyDescent="0.2">
      <c r="AK1522" s="685">
        <f t="shared" si="38"/>
        <v>0</v>
      </c>
    </row>
    <row r="1523" spans="37:37" x14ac:dyDescent="0.2">
      <c r="AK1523" s="685">
        <f t="shared" si="38"/>
        <v>0</v>
      </c>
    </row>
    <row r="1524" spans="37:37" x14ac:dyDescent="0.2">
      <c r="AK1524" s="685">
        <f t="shared" si="38"/>
        <v>0</v>
      </c>
    </row>
    <row r="1525" spans="37:37" x14ac:dyDescent="0.2">
      <c r="AK1525" s="685">
        <f t="shared" si="38"/>
        <v>0</v>
      </c>
    </row>
    <row r="1526" spans="37:37" x14ac:dyDescent="0.2">
      <c r="AK1526" s="685">
        <f t="shared" si="38"/>
        <v>0</v>
      </c>
    </row>
    <row r="1527" spans="37:37" x14ac:dyDescent="0.2">
      <c r="AK1527" s="685">
        <f t="shared" si="38"/>
        <v>0</v>
      </c>
    </row>
    <row r="1528" spans="37:37" x14ac:dyDescent="0.2">
      <c r="AK1528" s="685">
        <f t="shared" si="38"/>
        <v>0</v>
      </c>
    </row>
    <row r="1529" spans="37:37" x14ac:dyDescent="0.2">
      <c r="AK1529" s="685">
        <f t="shared" si="38"/>
        <v>0</v>
      </c>
    </row>
    <row r="1530" spans="37:37" x14ac:dyDescent="0.2">
      <c r="AK1530" s="685">
        <f t="shared" si="38"/>
        <v>0</v>
      </c>
    </row>
    <row r="1531" spans="37:37" x14ac:dyDescent="0.2">
      <c r="AK1531" s="685">
        <f t="shared" si="38"/>
        <v>0</v>
      </c>
    </row>
    <row r="1532" spans="37:37" x14ac:dyDescent="0.2">
      <c r="AK1532" s="685">
        <f t="shared" si="38"/>
        <v>0</v>
      </c>
    </row>
    <row r="1533" spans="37:37" x14ac:dyDescent="0.2">
      <c r="AK1533" s="685">
        <f t="shared" si="38"/>
        <v>0</v>
      </c>
    </row>
    <row r="1534" spans="37:37" x14ac:dyDescent="0.2">
      <c r="AK1534" s="685">
        <f t="shared" si="38"/>
        <v>0</v>
      </c>
    </row>
    <row r="1535" spans="37:37" x14ac:dyDescent="0.2">
      <c r="AK1535" s="685">
        <f t="shared" si="38"/>
        <v>0</v>
      </c>
    </row>
    <row r="1536" spans="37:37" x14ac:dyDescent="0.2">
      <c r="AK1536" s="685">
        <f t="shared" si="38"/>
        <v>0</v>
      </c>
    </row>
    <row r="1537" spans="37:37" x14ac:dyDescent="0.2">
      <c r="AK1537" s="685">
        <f t="shared" si="38"/>
        <v>0</v>
      </c>
    </row>
    <row r="1538" spans="37:37" x14ac:dyDescent="0.2">
      <c r="AK1538" s="685">
        <f t="shared" si="38"/>
        <v>0</v>
      </c>
    </row>
    <row r="1539" spans="37:37" x14ac:dyDescent="0.2">
      <c r="AK1539" s="685">
        <f t="shared" si="38"/>
        <v>0</v>
      </c>
    </row>
    <row r="1540" spans="37:37" x14ac:dyDescent="0.2">
      <c r="AK1540" s="685">
        <f t="shared" si="38"/>
        <v>0</v>
      </c>
    </row>
    <row r="1541" spans="37:37" x14ac:dyDescent="0.2">
      <c r="AK1541" s="685">
        <f t="shared" si="38"/>
        <v>0</v>
      </c>
    </row>
    <row r="1542" spans="37:37" x14ac:dyDescent="0.2">
      <c r="AK1542" s="685">
        <f t="shared" si="38"/>
        <v>0</v>
      </c>
    </row>
    <row r="1543" spans="37:37" x14ac:dyDescent="0.2">
      <c r="AK1543" s="685">
        <f t="shared" si="38"/>
        <v>0</v>
      </c>
    </row>
    <row r="1544" spans="37:37" x14ac:dyDescent="0.2">
      <c r="AK1544" s="685">
        <f t="shared" si="38"/>
        <v>0</v>
      </c>
    </row>
    <row r="1545" spans="37:37" x14ac:dyDescent="0.2">
      <c r="AK1545" s="685">
        <f t="shared" si="38"/>
        <v>0</v>
      </c>
    </row>
    <row r="1546" spans="37:37" x14ac:dyDescent="0.2">
      <c r="AK1546" s="685">
        <f t="shared" si="38"/>
        <v>0</v>
      </c>
    </row>
    <row r="1547" spans="37:37" x14ac:dyDescent="0.2">
      <c r="AK1547" s="685">
        <f t="shared" si="38"/>
        <v>0</v>
      </c>
    </row>
    <row r="1548" spans="37:37" x14ac:dyDescent="0.2">
      <c r="AK1548" s="685">
        <f t="shared" si="38"/>
        <v>0</v>
      </c>
    </row>
    <row r="1549" spans="37:37" x14ac:dyDescent="0.2">
      <c r="AK1549" s="685">
        <f t="shared" si="38"/>
        <v>0</v>
      </c>
    </row>
    <row r="1550" spans="37:37" x14ac:dyDescent="0.2">
      <c r="AK1550" s="685">
        <f t="shared" si="38"/>
        <v>0</v>
      </c>
    </row>
    <row r="1551" spans="37:37" x14ac:dyDescent="0.2">
      <c r="AK1551" s="685">
        <f t="shared" si="38"/>
        <v>0</v>
      </c>
    </row>
    <row r="1552" spans="37:37" x14ac:dyDescent="0.2">
      <c r="AK1552" s="685">
        <f t="shared" si="38"/>
        <v>0</v>
      </c>
    </row>
    <row r="1553" spans="37:37" x14ac:dyDescent="0.2">
      <c r="AK1553" s="685">
        <f t="shared" si="38"/>
        <v>0</v>
      </c>
    </row>
    <row r="1554" spans="37:37" x14ac:dyDescent="0.2">
      <c r="AK1554" s="685">
        <f t="shared" si="38"/>
        <v>0</v>
      </c>
    </row>
    <row r="1555" spans="37:37" x14ac:dyDescent="0.2">
      <c r="AK1555" s="685">
        <f t="shared" si="38"/>
        <v>0</v>
      </c>
    </row>
    <row r="1556" spans="37:37" x14ac:dyDescent="0.2">
      <c r="AK1556" s="685">
        <f t="shared" si="38"/>
        <v>0</v>
      </c>
    </row>
    <row r="1557" spans="37:37" x14ac:dyDescent="0.2">
      <c r="AK1557" s="685">
        <f t="shared" si="38"/>
        <v>0</v>
      </c>
    </row>
    <row r="1558" spans="37:37" x14ac:dyDescent="0.2">
      <c r="AK1558" s="685">
        <f t="shared" si="38"/>
        <v>0</v>
      </c>
    </row>
    <row r="1559" spans="37:37" x14ac:dyDescent="0.2">
      <c r="AK1559" s="685">
        <f t="shared" si="38"/>
        <v>0</v>
      </c>
    </row>
    <row r="1560" spans="37:37" x14ac:dyDescent="0.2">
      <c r="AK1560" s="685">
        <f t="shared" ref="AK1560:AK1623" si="39">SUM(O1560:AJ1560)</f>
        <v>0</v>
      </c>
    </row>
    <row r="1561" spans="37:37" x14ac:dyDescent="0.2">
      <c r="AK1561" s="685">
        <f t="shared" si="39"/>
        <v>0</v>
      </c>
    </row>
    <row r="1562" spans="37:37" x14ac:dyDescent="0.2">
      <c r="AK1562" s="685">
        <f t="shared" si="39"/>
        <v>0</v>
      </c>
    </row>
    <row r="1563" spans="37:37" x14ac:dyDescent="0.2">
      <c r="AK1563" s="685">
        <f t="shared" si="39"/>
        <v>0</v>
      </c>
    </row>
    <row r="1564" spans="37:37" x14ac:dyDescent="0.2">
      <c r="AK1564" s="685">
        <f t="shared" si="39"/>
        <v>0</v>
      </c>
    </row>
    <row r="1565" spans="37:37" x14ac:dyDescent="0.2">
      <c r="AK1565" s="685">
        <f t="shared" si="39"/>
        <v>0</v>
      </c>
    </row>
    <row r="1566" spans="37:37" x14ac:dyDescent="0.2">
      <c r="AK1566" s="685">
        <f t="shared" si="39"/>
        <v>0</v>
      </c>
    </row>
    <row r="1567" spans="37:37" x14ac:dyDescent="0.2">
      <c r="AK1567" s="685">
        <f t="shared" si="39"/>
        <v>0</v>
      </c>
    </row>
    <row r="1568" spans="37:37" x14ac:dyDescent="0.2">
      <c r="AK1568" s="685">
        <f t="shared" si="39"/>
        <v>0</v>
      </c>
    </row>
    <row r="1569" spans="37:37" x14ac:dyDescent="0.2">
      <c r="AK1569" s="685">
        <f t="shared" si="39"/>
        <v>0</v>
      </c>
    </row>
    <row r="1570" spans="37:37" x14ac:dyDescent="0.2">
      <c r="AK1570" s="685">
        <f t="shared" si="39"/>
        <v>0</v>
      </c>
    </row>
    <row r="1571" spans="37:37" x14ac:dyDescent="0.2">
      <c r="AK1571" s="685">
        <f t="shared" si="39"/>
        <v>0</v>
      </c>
    </row>
    <row r="1572" spans="37:37" x14ac:dyDescent="0.2">
      <c r="AK1572" s="685">
        <f t="shared" si="39"/>
        <v>0</v>
      </c>
    </row>
    <row r="1573" spans="37:37" x14ac:dyDescent="0.2">
      <c r="AK1573" s="685">
        <f t="shared" si="39"/>
        <v>0</v>
      </c>
    </row>
    <row r="1574" spans="37:37" x14ac:dyDescent="0.2">
      <c r="AK1574" s="685">
        <f t="shared" si="39"/>
        <v>0</v>
      </c>
    </row>
    <row r="1575" spans="37:37" x14ac:dyDescent="0.2">
      <c r="AK1575" s="685">
        <f t="shared" si="39"/>
        <v>0</v>
      </c>
    </row>
    <row r="1576" spans="37:37" x14ac:dyDescent="0.2">
      <c r="AK1576" s="685">
        <f t="shared" si="39"/>
        <v>0</v>
      </c>
    </row>
    <row r="1577" spans="37:37" x14ac:dyDescent="0.2">
      <c r="AK1577" s="685">
        <f t="shared" si="39"/>
        <v>0</v>
      </c>
    </row>
    <row r="1578" spans="37:37" x14ac:dyDescent="0.2">
      <c r="AK1578" s="685">
        <f t="shared" si="39"/>
        <v>0</v>
      </c>
    </row>
    <row r="1579" spans="37:37" x14ac:dyDescent="0.2">
      <c r="AK1579" s="685">
        <f t="shared" si="39"/>
        <v>0</v>
      </c>
    </row>
    <row r="1580" spans="37:37" x14ac:dyDescent="0.2">
      <c r="AK1580" s="685">
        <f t="shared" si="39"/>
        <v>0</v>
      </c>
    </row>
    <row r="1581" spans="37:37" x14ac:dyDescent="0.2">
      <c r="AK1581" s="685">
        <f t="shared" si="39"/>
        <v>0</v>
      </c>
    </row>
    <row r="1582" spans="37:37" x14ac:dyDescent="0.2">
      <c r="AK1582" s="685">
        <f t="shared" si="39"/>
        <v>0</v>
      </c>
    </row>
    <row r="1583" spans="37:37" x14ac:dyDescent="0.2">
      <c r="AK1583" s="685">
        <f t="shared" si="39"/>
        <v>0</v>
      </c>
    </row>
    <row r="1584" spans="37:37" x14ac:dyDescent="0.2">
      <c r="AK1584" s="685">
        <f t="shared" si="39"/>
        <v>0</v>
      </c>
    </row>
    <row r="1585" spans="37:37" x14ac:dyDescent="0.2">
      <c r="AK1585" s="685">
        <f t="shared" si="39"/>
        <v>0</v>
      </c>
    </row>
    <row r="1586" spans="37:37" x14ac:dyDescent="0.2">
      <c r="AK1586" s="685">
        <f t="shared" si="39"/>
        <v>0</v>
      </c>
    </row>
    <row r="1587" spans="37:37" x14ac:dyDescent="0.2">
      <c r="AK1587" s="685">
        <f t="shared" si="39"/>
        <v>0</v>
      </c>
    </row>
    <row r="1588" spans="37:37" x14ac:dyDescent="0.2">
      <c r="AK1588" s="685">
        <f t="shared" si="39"/>
        <v>0</v>
      </c>
    </row>
    <row r="1589" spans="37:37" x14ac:dyDescent="0.2">
      <c r="AK1589" s="685">
        <f t="shared" si="39"/>
        <v>0</v>
      </c>
    </row>
    <row r="1590" spans="37:37" x14ac:dyDescent="0.2">
      <c r="AK1590" s="685">
        <f t="shared" si="39"/>
        <v>0</v>
      </c>
    </row>
    <row r="1591" spans="37:37" x14ac:dyDescent="0.2">
      <c r="AK1591" s="685">
        <f t="shared" si="39"/>
        <v>0</v>
      </c>
    </row>
    <row r="1592" spans="37:37" x14ac:dyDescent="0.2">
      <c r="AK1592" s="685">
        <f t="shared" si="39"/>
        <v>0</v>
      </c>
    </row>
    <row r="1593" spans="37:37" x14ac:dyDescent="0.2">
      <c r="AK1593" s="685">
        <f t="shared" si="39"/>
        <v>0</v>
      </c>
    </row>
    <row r="1594" spans="37:37" x14ac:dyDescent="0.2">
      <c r="AK1594" s="685">
        <f t="shared" si="39"/>
        <v>0</v>
      </c>
    </row>
    <row r="1595" spans="37:37" x14ac:dyDescent="0.2">
      <c r="AK1595" s="685">
        <f t="shared" si="39"/>
        <v>0</v>
      </c>
    </row>
    <row r="1596" spans="37:37" x14ac:dyDescent="0.2">
      <c r="AK1596" s="685">
        <f t="shared" si="39"/>
        <v>0</v>
      </c>
    </row>
    <row r="1597" spans="37:37" x14ac:dyDescent="0.2">
      <c r="AK1597" s="685">
        <f t="shared" si="39"/>
        <v>0</v>
      </c>
    </row>
    <row r="1598" spans="37:37" x14ac:dyDescent="0.2">
      <c r="AK1598" s="685">
        <f t="shared" si="39"/>
        <v>0</v>
      </c>
    </row>
    <row r="1599" spans="37:37" x14ac:dyDescent="0.2">
      <c r="AK1599" s="685">
        <f t="shared" si="39"/>
        <v>0</v>
      </c>
    </row>
    <row r="1600" spans="37:37" x14ac:dyDescent="0.2">
      <c r="AK1600" s="685">
        <f t="shared" si="39"/>
        <v>0</v>
      </c>
    </row>
    <row r="1601" spans="37:37" x14ac:dyDescent="0.2">
      <c r="AK1601" s="685">
        <f t="shared" si="39"/>
        <v>0</v>
      </c>
    </row>
    <row r="1602" spans="37:37" x14ac:dyDescent="0.2">
      <c r="AK1602" s="685">
        <f t="shared" si="39"/>
        <v>0</v>
      </c>
    </row>
    <row r="1603" spans="37:37" x14ac:dyDescent="0.2">
      <c r="AK1603" s="685">
        <f t="shared" si="39"/>
        <v>0</v>
      </c>
    </row>
    <row r="1604" spans="37:37" x14ac:dyDescent="0.2">
      <c r="AK1604" s="685">
        <f t="shared" si="39"/>
        <v>0</v>
      </c>
    </row>
    <row r="1605" spans="37:37" x14ac:dyDescent="0.2">
      <c r="AK1605" s="685">
        <f t="shared" si="39"/>
        <v>0</v>
      </c>
    </row>
    <row r="1606" spans="37:37" x14ac:dyDescent="0.2">
      <c r="AK1606" s="685">
        <f t="shared" si="39"/>
        <v>0</v>
      </c>
    </row>
    <row r="1607" spans="37:37" x14ac:dyDescent="0.2">
      <c r="AK1607" s="685">
        <f t="shared" si="39"/>
        <v>0</v>
      </c>
    </row>
    <row r="1608" spans="37:37" x14ac:dyDescent="0.2">
      <c r="AK1608" s="685">
        <f t="shared" si="39"/>
        <v>0</v>
      </c>
    </row>
    <row r="1609" spans="37:37" x14ac:dyDescent="0.2">
      <c r="AK1609" s="685">
        <f t="shared" si="39"/>
        <v>0</v>
      </c>
    </row>
    <row r="1610" spans="37:37" x14ac:dyDescent="0.2">
      <c r="AK1610" s="685">
        <f t="shared" si="39"/>
        <v>0</v>
      </c>
    </row>
    <row r="1611" spans="37:37" x14ac:dyDescent="0.2">
      <c r="AK1611" s="685">
        <f t="shared" si="39"/>
        <v>0</v>
      </c>
    </row>
    <row r="1612" spans="37:37" x14ac:dyDescent="0.2">
      <c r="AK1612" s="685">
        <f t="shared" si="39"/>
        <v>0</v>
      </c>
    </row>
    <row r="1613" spans="37:37" x14ac:dyDescent="0.2">
      <c r="AK1613" s="685">
        <f t="shared" si="39"/>
        <v>0</v>
      </c>
    </row>
    <row r="1614" spans="37:37" x14ac:dyDescent="0.2">
      <c r="AK1614" s="685">
        <f t="shared" si="39"/>
        <v>0</v>
      </c>
    </row>
    <row r="1615" spans="37:37" x14ac:dyDescent="0.2">
      <c r="AK1615" s="685">
        <f t="shared" si="39"/>
        <v>0</v>
      </c>
    </row>
    <row r="1616" spans="37:37" x14ac:dyDescent="0.2">
      <c r="AK1616" s="685">
        <f t="shared" si="39"/>
        <v>0</v>
      </c>
    </row>
    <row r="1617" spans="37:37" x14ac:dyDescent="0.2">
      <c r="AK1617" s="685">
        <f t="shared" si="39"/>
        <v>0</v>
      </c>
    </row>
    <row r="1618" spans="37:37" x14ac:dyDescent="0.2">
      <c r="AK1618" s="685">
        <f t="shared" si="39"/>
        <v>0</v>
      </c>
    </row>
    <row r="1619" spans="37:37" x14ac:dyDescent="0.2">
      <c r="AK1619" s="685">
        <f t="shared" si="39"/>
        <v>0</v>
      </c>
    </row>
    <row r="1620" spans="37:37" x14ac:dyDescent="0.2">
      <c r="AK1620" s="685">
        <f t="shared" si="39"/>
        <v>0</v>
      </c>
    </row>
    <row r="1621" spans="37:37" x14ac:dyDescent="0.2">
      <c r="AK1621" s="685">
        <f t="shared" si="39"/>
        <v>0</v>
      </c>
    </row>
    <row r="1622" spans="37:37" x14ac:dyDescent="0.2">
      <c r="AK1622" s="685">
        <f t="shared" si="39"/>
        <v>0</v>
      </c>
    </row>
    <row r="1623" spans="37:37" x14ac:dyDescent="0.2">
      <c r="AK1623" s="685">
        <f t="shared" si="39"/>
        <v>0</v>
      </c>
    </row>
    <row r="1624" spans="37:37" x14ac:dyDescent="0.2">
      <c r="AK1624" s="685">
        <f t="shared" ref="AK1624:AK1687" si="40">SUM(O1624:AJ1624)</f>
        <v>0</v>
      </c>
    </row>
    <row r="1625" spans="37:37" x14ac:dyDescent="0.2">
      <c r="AK1625" s="685">
        <f t="shared" si="40"/>
        <v>0</v>
      </c>
    </row>
    <row r="1626" spans="37:37" x14ac:dyDescent="0.2">
      <c r="AK1626" s="685">
        <f t="shared" si="40"/>
        <v>0</v>
      </c>
    </row>
    <row r="1627" spans="37:37" x14ac:dyDescent="0.2">
      <c r="AK1627" s="685">
        <f t="shared" si="40"/>
        <v>0</v>
      </c>
    </row>
    <row r="1628" spans="37:37" x14ac:dyDescent="0.2">
      <c r="AK1628" s="685">
        <f t="shared" si="40"/>
        <v>0</v>
      </c>
    </row>
    <row r="1629" spans="37:37" x14ac:dyDescent="0.2">
      <c r="AK1629" s="685">
        <f t="shared" si="40"/>
        <v>0</v>
      </c>
    </row>
    <row r="1630" spans="37:37" x14ac:dyDescent="0.2">
      <c r="AK1630" s="685">
        <f t="shared" si="40"/>
        <v>0</v>
      </c>
    </row>
    <row r="1631" spans="37:37" x14ac:dyDescent="0.2">
      <c r="AK1631" s="685">
        <f t="shared" si="40"/>
        <v>0</v>
      </c>
    </row>
    <row r="1632" spans="37:37" x14ac:dyDescent="0.2">
      <c r="AK1632" s="685">
        <f t="shared" si="40"/>
        <v>0</v>
      </c>
    </row>
    <row r="1633" spans="37:37" x14ac:dyDescent="0.2">
      <c r="AK1633" s="685">
        <f t="shared" si="40"/>
        <v>0</v>
      </c>
    </row>
    <row r="1634" spans="37:37" x14ac:dyDescent="0.2">
      <c r="AK1634" s="685">
        <f t="shared" si="40"/>
        <v>0</v>
      </c>
    </row>
    <row r="1635" spans="37:37" x14ac:dyDescent="0.2">
      <c r="AK1635" s="685">
        <f t="shared" si="40"/>
        <v>0</v>
      </c>
    </row>
    <row r="1636" spans="37:37" x14ac:dyDescent="0.2">
      <c r="AK1636" s="685">
        <f t="shared" si="40"/>
        <v>0</v>
      </c>
    </row>
    <row r="1637" spans="37:37" x14ac:dyDescent="0.2">
      <c r="AK1637" s="685">
        <f t="shared" si="40"/>
        <v>0</v>
      </c>
    </row>
    <row r="1638" spans="37:37" x14ac:dyDescent="0.2">
      <c r="AK1638" s="685">
        <f t="shared" si="40"/>
        <v>0</v>
      </c>
    </row>
    <row r="1639" spans="37:37" x14ac:dyDescent="0.2">
      <c r="AK1639" s="685">
        <f t="shared" si="40"/>
        <v>0</v>
      </c>
    </row>
    <row r="1640" spans="37:37" x14ac:dyDescent="0.2">
      <c r="AK1640" s="685">
        <f t="shared" si="40"/>
        <v>0</v>
      </c>
    </row>
    <row r="1641" spans="37:37" x14ac:dyDescent="0.2">
      <c r="AK1641" s="685">
        <f t="shared" si="40"/>
        <v>0</v>
      </c>
    </row>
    <row r="1642" spans="37:37" x14ac:dyDescent="0.2">
      <c r="AK1642" s="685">
        <f t="shared" si="40"/>
        <v>0</v>
      </c>
    </row>
    <row r="1643" spans="37:37" x14ac:dyDescent="0.2">
      <c r="AK1643" s="685">
        <f t="shared" si="40"/>
        <v>0</v>
      </c>
    </row>
    <row r="1644" spans="37:37" x14ac:dyDescent="0.2">
      <c r="AK1644" s="685">
        <f t="shared" si="40"/>
        <v>0</v>
      </c>
    </row>
    <row r="1645" spans="37:37" x14ac:dyDescent="0.2">
      <c r="AK1645" s="685">
        <f t="shared" si="40"/>
        <v>0</v>
      </c>
    </row>
    <row r="1646" spans="37:37" x14ac:dyDescent="0.2">
      <c r="AK1646" s="685">
        <f t="shared" si="40"/>
        <v>0</v>
      </c>
    </row>
    <row r="1647" spans="37:37" x14ac:dyDescent="0.2">
      <c r="AK1647" s="685">
        <f t="shared" si="40"/>
        <v>0</v>
      </c>
    </row>
    <row r="1648" spans="37:37" x14ac:dyDescent="0.2">
      <c r="AK1648" s="685">
        <f t="shared" si="40"/>
        <v>0</v>
      </c>
    </row>
    <row r="1649" spans="37:37" x14ac:dyDescent="0.2">
      <c r="AK1649" s="685">
        <f t="shared" si="40"/>
        <v>0</v>
      </c>
    </row>
    <row r="1650" spans="37:37" x14ac:dyDescent="0.2">
      <c r="AK1650" s="685">
        <f t="shared" si="40"/>
        <v>0</v>
      </c>
    </row>
    <row r="1651" spans="37:37" x14ac:dyDescent="0.2">
      <c r="AK1651" s="685">
        <f t="shared" si="40"/>
        <v>0</v>
      </c>
    </row>
    <row r="1652" spans="37:37" x14ac:dyDescent="0.2">
      <c r="AK1652" s="685">
        <f t="shared" si="40"/>
        <v>0</v>
      </c>
    </row>
    <row r="1653" spans="37:37" x14ac:dyDescent="0.2">
      <c r="AK1653" s="685">
        <f t="shared" si="40"/>
        <v>0</v>
      </c>
    </row>
    <row r="1654" spans="37:37" x14ac:dyDescent="0.2">
      <c r="AK1654" s="685">
        <f t="shared" si="40"/>
        <v>0</v>
      </c>
    </row>
    <row r="1655" spans="37:37" x14ac:dyDescent="0.2">
      <c r="AK1655" s="685">
        <f t="shared" si="40"/>
        <v>0</v>
      </c>
    </row>
    <row r="1656" spans="37:37" x14ac:dyDescent="0.2">
      <c r="AK1656" s="685">
        <f t="shared" si="40"/>
        <v>0</v>
      </c>
    </row>
    <row r="1657" spans="37:37" x14ac:dyDescent="0.2">
      <c r="AK1657" s="685">
        <f t="shared" si="40"/>
        <v>0</v>
      </c>
    </row>
    <row r="1658" spans="37:37" x14ac:dyDescent="0.2">
      <c r="AK1658" s="685">
        <f t="shared" si="40"/>
        <v>0</v>
      </c>
    </row>
    <row r="1659" spans="37:37" x14ac:dyDescent="0.2">
      <c r="AK1659" s="685">
        <f t="shared" si="40"/>
        <v>0</v>
      </c>
    </row>
    <row r="1660" spans="37:37" x14ac:dyDescent="0.2">
      <c r="AK1660" s="685">
        <f t="shared" si="40"/>
        <v>0</v>
      </c>
    </row>
    <row r="1661" spans="37:37" x14ac:dyDescent="0.2">
      <c r="AK1661" s="685">
        <f t="shared" si="40"/>
        <v>0</v>
      </c>
    </row>
    <row r="1662" spans="37:37" x14ac:dyDescent="0.2">
      <c r="AK1662" s="685">
        <f t="shared" si="40"/>
        <v>0</v>
      </c>
    </row>
    <row r="1663" spans="37:37" x14ac:dyDescent="0.2">
      <c r="AK1663" s="685">
        <f t="shared" si="40"/>
        <v>0</v>
      </c>
    </row>
    <row r="1664" spans="37:37" x14ac:dyDescent="0.2">
      <c r="AK1664" s="685">
        <f t="shared" si="40"/>
        <v>0</v>
      </c>
    </row>
    <row r="1665" spans="37:37" x14ac:dyDescent="0.2">
      <c r="AK1665" s="685">
        <f t="shared" si="40"/>
        <v>0</v>
      </c>
    </row>
    <row r="1666" spans="37:37" x14ac:dyDescent="0.2">
      <c r="AK1666" s="685">
        <f t="shared" si="40"/>
        <v>0</v>
      </c>
    </row>
    <row r="1667" spans="37:37" x14ac:dyDescent="0.2">
      <c r="AK1667" s="685">
        <f t="shared" si="40"/>
        <v>0</v>
      </c>
    </row>
    <row r="1668" spans="37:37" x14ac:dyDescent="0.2">
      <c r="AK1668" s="685">
        <f t="shared" si="40"/>
        <v>0</v>
      </c>
    </row>
    <row r="1669" spans="37:37" x14ac:dyDescent="0.2">
      <c r="AK1669" s="685">
        <f t="shared" si="40"/>
        <v>0</v>
      </c>
    </row>
    <row r="1670" spans="37:37" x14ac:dyDescent="0.2">
      <c r="AK1670" s="685">
        <f t="shared" si="40"/>
        <v>0</v>
      </c>
    </row>
    <row r="1671" spans="37:37" x14ac:dyDescent="0.2">
      <c r="AK1671" s="685">
        <f t="shared" si="40"/>
        <v>0</v>
      </c>
    </row>
    <row r="1672" spans="37:37" x14ac:dyDescent="0.2">
      <c r="AK1672" s="685">
        <f t="shared" si="40"/>
        <v>0</v>
      </c>
    </row>
    <row r="1673" spans="37:37" x14ac:dyDescent="0.2">
      <c r="AK1673" s="685">
        <f t="shared" si="40"/>
        <v>0</v>
      </c>
    </row>
    <row r="1674" spans="37:37" x14ac:dyDescent="0.2">
      <c r="AK1674" s="685">
        <f t="shared" si="40"/>
        <v>0</v>
      </c>
    </row>
    <row r="1675" spans="37:37" x14ac:dyDescent="0.2">
      <c r="AK1675" s="685">
        <f t="shared" si="40"/>
        <v>0</v>
      </c>
    </row>
    <row r="1676" spans="37:37" x14ac:dyDescent="0.2">
      <c r="AK1676" s="685">
        <f t="shared" si="40"/>
        <v>0</v>
      </c>
    </row>
    <row r="1677" spans="37:37" x14ac:dyDescent="0.2">
      <c r="AK1677" s="685">
        <f t="shared" si="40"/>
        <v>0</v>
      </c>
    </row>
    <row r="1678" spans="37:37" x14ac:dyDescent="0.2">
      <c r="AK1678" s="685">
        <f t="shared" si="40"/>
        <v>0</v>
      </c>
    </row>
    <row r="1679" spans="37:37" x14ac:dyDescent="0.2">
      <c r="AK1679" s="685">
        <f t="shared" si="40"/>
        <v>0</v>
      </c>
    </row>
    <row r="1680" spans="37:37" x14ac:dyDescent="0.2">
      <c r="AK1680" s="685">
        <f t="shared" si="40"/>
        <v>0</v>
      </c>
    </row>
    <row r="1681" spans="37:37" x14ac:dyDescent="0.2">
      <c r="AK1681" s="685">
        <f t="shared" si="40"/>
        <v>0</v>
      </c>
    </row>
    <row r="1682" spans="37:37" x14ac:dyDescent="0.2">
      <c r="AK1682" s="685">
        <f t="shared" si="40"/>
        <v>0</v>
      </c>
    </row>
    <row r="1683" spans="37:37" x14ac:dyDescent="0.2">
      <c r="AK1683" s="685">
        <f t="shared" si="40"/>
        <v>0</v>
      </c>
    </row>
    <row r="1684" spans="37:37" x14ac:dyDescent="0.2">
      <c r="AK1684" s="685">
        <f t="shared" si="40"/>
        <v>0</v>
      </c>
    </row>
    <row r="1685" spans="37:37" x14ac:dyDescent="0.2">
      <c r="AK1685" s="685">
        <f t="shared" si="40"/>
        <v>0</v>
      </c>
    </row>
    <row r="1686" spans="37:37" x14ac:dyDescent="0.2">
      <c r="AK1686" s="685">
        <f t="shared" si="40"/>
        <v>0</v>
      </c>
    </row>
    <row r="1687" spans="37:37" x14ac:dyDescent="0.2">
      <c r="AK1687" s="685">
        <f t="shared" si="40"/>
        <v>0</v>
      </c>
    </row>
    <row r="1688" spans="37:37" x14ac:dyDescent="0.2">
      <c r="AK1688" s="685">
        <f t="shared" ref="AK1688:AK1751" si="41">SUM(O1688:AJ1688)</f>
        <v>0</v>
      </c>
    </row>
    <row r="1689" spans="37:37" x14ac:dyDescent="0.2">
      <c r="AK1689" s="685">
        <f t="shared" si="41"/>
        <v>0</v>
      </c>
    </row>
    <row r="1690" spans="37:37" x14ac:dyDescent="0.2">
      <c r="AK1690" s="685">
        <f t="shared" si="41"/>
        <v>0</v>
      </c>
    </row>
    <row r="1691" spans="37:37" x14ac:dyDescent="0.2">
      <c r="AK1691" s="685">
        <f t="shared" si="41"/>
        <v>0</v>
      </c>
    </row>
    <row r="1692" spans="37:37" x14ac:dyDescent="0.2">
      <c r="AK1692" s="685">
        <f t="shared" si="41"/>
        <v>0</v>
      </c>
    </row>
    <row r="1693" spans="37:37" x14ac:dyDescent="0.2">
      <c r="AK1693" s="685">
        <f t="shared" si="41"/>
        <v>0</v>
      </c>
    </row>
    <row r="1694" spans="37:37" x14ac:dyDescent="0.2">
      <c r="AK1694" s="685">
        <f t="shared" si="41"/>
        <v>0</v>
      </c>
    </row>
    <row r="1695" spans="37:37" x14ac:dyDescent="0.2">
      <c r="AK1695" s="685">
        <f t="shared" si="41"/>
        <v>0</v>
      </c>
    </row>
    <row r="1696" spans="37:37" x14ac:dyDescent="0.2">
      <c r="AK1696" s="685">
        <f t="shared" si="41"/>
        <v>0</v>
      </c>
    </row>
    <row r="1697" spans="37:37" x14ac:dyDescent="0.2">
      <c r="AK1697" s="685">
        <f t="shared" si="41"/>
        <v>0</v>
      </c>
    </row>
    <row r="1698" spans="37:37" x14ac:dyDescent="0.2">
      <c r="AK1698" s="685">
        <f t="shared" si="41"/>
        <v>0</v>
      </c>
    </row>
    <row r="1699" spans="37:37" x14ac:dyDescent="0.2">
      <c r="AK1699" s="685">
        <f t="shared" si="41"/>
        <v>0</v>
      </c>
    </row>
    <row r="1700" spans="37:37" x14ac:dyDescent="0.2">
      <c r="AK1700" s="685">
        <f t="shared" si="41"/>
        <v>0</v>
      </c>
    </row>
    <row r="1701" spans="37:37" x14ac:dyDescent="0.2">
      <c r="AK1701" s="685">
        <f t="shared" si="41"/>
        <v>0</v>
      </c>
    </row>
    <row r="1702" spans="37:37" x14ac:dyDescent="0.2">
      <c r="AK1702" s="685">
        <f t="shared" si="41"/>
        <v>0</v>
      </c>
    </row>
    <row r="1703" spans="37:37" x14ac:dyDescent="0.2">
      <c r="AK1703" s="685">
        <f t="shared" si="41"/>
        <v>0</v>
      </c>
    </row>
    <row r="1704" spans="37:37" x14ac:dyDescent="0.2">
      <c r="AK1704" s="685">
        <f t="shared" si="41"/>
        <v>0</v>
      </c>
    </row>
    <row r="1705" spans="37:37" x14ac:dyDescent="0.2">
      <c r="AK1705" s="685">
        <f t="shared" si="41"/>
        <v>0</v>
      </c>
    </row>
    <row r="1706" spans="37:37" x14ac:dyDescent="0.2">
      <c r="AK1706" s="685">
        <f t="shared" si="41"/>
        <v>0</v>
      </c>
    </row>
    <row r="1707" spans="37:37" x14ac:dyDescent="0.2">
      <c r="AK1707" s="685">
        <f t="shared" si="41"/>
        <v>0</v>
      </c>
    </row>
    <row r="1708" spans="37:37" x14ac:dyDescent="0.2">
      <c r="AK1708" s="685">
        <f t="shared" si="41"/>
        <v>0</v>
      </c>
    </row>
    <row r="1709" spans="37:37" x14ac:dyDescent="0.2">
      <c r="AK1709" s="685">
        <f t="shared" si="41"/>
        <v>0</v>
      </c>
    </row>
    <row r="1710" spans="37:37" x14ac:dyDescent="0.2">
      <c r="AK1710" s="685">
        <f t="shared" si="41"/>
        <v>0</v>
      </c>
    </row>
    <row r="1711" spans="37:37" x14ac:dyDescent="0.2">
      <c r="AK1711" s="685">
        <f t="shared" si="41"/>
        <v>0</v>
      </c>
    </row>
    <row r="1712" spans="37:37" x14ac:dyDescent="0.2">
      <c r="AK1712" s="685">
        <f t="shared" si="41"/>
        <v>0</v>
      </c>
    </row>
    <row r="1713" spans="37:37" x14ac:dyDescent="0.2">
      <c r="AK1713" s="685">
        <f t="shared" si="41"/>
        <v>0</v>
      </c>
    </row>
    <row r="1714" spans="37:37" x14ac:dyDescent="0.2">
      <c r="AK1714" s="685">
        <f t="shared" si="41"/>
        <v>0</v>
      </c>
    </row>
    <row r="1715" spans="37:37" x14ac:dyDescent="0.2">
      <c r="AK1715" s="685">
        <f t="shared" si="41"/>
        <v>0</v>
      </c>
    </row>
    <row r="1716" spans="37:37" x14ac:dyDescent="0.2">
      <c r="AK1716" s="685">
        <f t="shared" si="41"/>
        <v>0</v>
      </c>
    </row>
    <row r="1717" spans="37:37" x14ac:dyDescent="0.2">
      <c r="AK1717" s="685">
        <f t="shared" si="41"/>
        <v>0</v>
      </c>
    </row>
    <row r="1718" spans="37:37" x14ac:dyDescent="0.2">
      <c r="AK1718" s="685">
        <f t="shared" si="41"/>
        <v>0</v>
      </c>
    </row>
    <row r="1719" spans="37:37" x14ac:dyDescent="0.2">
      <c r="AK1719" s="685">
        <f t="shared" si="41"/>
        <v>0</v>
      </c>
    </row>
    <row r="1720" spans="37:37" x14ac:dyDescent="0.2">
      <c r="AK1720" s="685">
        <f t="shared" si="41"/>
        <v>0</v>
      </c>
    </row>
    <row r="1721" spans="37:37" x14ac:dyDescent="0.2">
      <c r="AK1721" s="685">
        <f t="shared" si="41"/>
        <v>0</v>
      </c>
    </row>
    <row r="1722" spans="37:37" x14ac:dyDescent="0.2">
      <c r="AK1722" s="685">
        <f t="shared" si="41"/>
        <v>0</v>
      </c>
    </row>
    <row r="1723" spans="37:37" x14ac:dyDescent="0.2">
      <c r="AK1723" s="685">
        <f t="shared" si="41"/>
        <v>0</v>
      </c>
    </row>
    <row r="1724" spans="37:37" x14ac:dyDescent="0.2">
      <c r="AK1724" s="685">
        <f t="shared" si="41"/>
        <v>0</v>
      </c>
    </row>
    <row r="1725" spans="37:37" x14ac:dyDescent="0.2">
      <c r="AK1725" s="685">
        <f t="shared" si="41"/>
        <v>0</v>
      </c>
    </row>
    <row r="1726" spans="37:37" x14ac:dyDescent="0.2">
      <c r="AK1726" s="685">
        <f t="shared" si="41"/>
        <v>0</v>
      </c>
    </row>
    <row r="1727" spans="37:37" x14ac:dyDescent="0.2">
      <c r="AK1727" s="685">
        <f t="shared" si="41"/>
        <v>0</v>
      </c>
    </row>
    <row r="1728" spans="37:37" x14ac:dyDescent="0.2">
      <c r="AK1728" s="685">
        <f t="shared" si="41"/>
        <v>0</v>
      </c>
    </row>
    <row r="1729" spans="37:37" x14ac:dyDescent="0.2">
      <c r="AK1729" s="685">
        <f t="shared" si="41"/>
        <v>0</v>
      </c>
    </row>
    <row r="1730" spans="37:37" x14ac:dyDescent="0.2">
      <c r="AK1730" s="685">
        <f t="shared" si="41"/>
        <v>0</v>
      </c>
    </row>
    <row r="1731" spans="37:37" x14ac:dyDescent="0.2">
      <c r="AK1731" s="685">
        <f t="shared" si="41"/>
        <v>0</v>
      </c>
    </row>
    <row r="1732" spans="37:37" x14ac:dyDescent="0.2">
      <c r="AK1732" s="685">
        <f t="shared" si="41"/>
        <v>0</v>
      </c>
    </row>
    <row r="1733" spans="37:37" x14ac:dyDescent="0.2">
      <c r="AK1733" s="685">
        <f t="shared" si="41"/>
        <v>0</v>
      </c>
    </row>
    <row r="1734" spans="37:37" x14ac:dyDescent="0.2">
      <c r="AK1734" s="685">
        <f t="shared" si="41"/>
        <v>0</v>
      </c>
    </row>
    <row r="1735" spans="37:37" x14ac:dyDescent="0.2">
      <c r="AK1735" s="685">
        <f t="shared" si="41"/>
        <v>0</v>
      </c>
    </row>
    <row r="1736" spans="37:37" x14ac:dyDescent="0.2">
      <c r="AK1736" s="685">
        <f t="shared" si="41"/>
        <v>0</v>
      </c>
    </row>
    <row r="1737" spans="37:37" x14ac:dyDescent="0.2">
      <c r="AK1737" s="685">
        <f t="shared" si="41"/>
        <v>0</v>
      </c>
    </row>
    <row r="1738" spans="37:37" x14ac:dyDescent="0.2">
      <c r="AK1738" s="685">
        <f t="shared" si="41"/>
        <v>0</v>
      </c>
    </row>
    <row r="1739" spans="37:37" x14ac:dyDescent="0.2">
      <c r="AK1739" s="685">
        <f t="shared" si="41"/>
        <v>0</v>
      </c>
    </row>
    <row r="1740" spans="37:37" x14ac:dyDescent="0.2">
      <c r="AK1740" s="685">
        <f t="shared" si="41"/>
        <v>0</v>
      </c>
    </row>
    <row r="1741" spans="37:37" x14ac:dyDescent="0.2">
      <c r="AK1741" s="685">
        <f t="shared" si="41"/>
        <v>0</v>
      </c>
    </row>
    <row r="1742" spans="37:37" x14ac:dyDescent="0.2">
      <c r="AK1742" s="685">
        <f t="shared" si="41"/>
        <v>0</v>
      </c>
    </row>
    <row r="1743" spans="37:37" x14ac:dyDescent="0.2">
      <c r="AK1743" s="685">
        <f t="shared" si="41"/>
        <v>0</v>
      </c>
    </row>
    <row r="1744" spans="37:37" x14ac:dyDescent="0.2">
      <c r="AK1744" s="685">
        <f t="shared" si="41"/>
        <v>0</v>
      </c>
    </row>
    <row r="1745" spans="37:37" x14ac:dyDescent="0.2">
      <c r="AK1745" s="685">
        <f t="shared" si="41"/>
        <v>0</v>
      </c>
    </row>
    <row r="1746" spans="37:37" x14ac:dyDescent="0.2">
      <c r="AK1746" s="685">
        <f t="shared" si="41"/>
        <v>0</v>
      </c>
    </row>
    <row r="1747" spans="37:37" x14ac:dyDescent="0.2">
      <c r="AK1747" s="685">
        <f t="shared" si="41"/>
        <v>0</v>
      </c>
    </row>
    <row r="1748" spans="37:37" x14ac:dyDescent="0.2">
      <c r="AK1748" s="685">
        <f t="shared" si="41"/>
        <v>0</v>
      </c>
    </row>
    <row r="1749" spans="37:37" x14ac:dyDescent="0.2">
      <c r="AK1749" s="685">
        <f t="shared" si="41"/>
        <v>0</v>
      </c>
    </row>
    <row r="1750" spans="37:37" x14ac:dyDescent="0.2">
      <c r="AK1750" s="685">
        <f t="shared" si="41"/>
        <v>0</v>
      </c>
    </row>
    <row r="1751" spans="37:37" x14ac:dyDescent="0.2">
      <c r="AK1751" s="685">
        <f t="shared" si="41"/>
        <v>0</v>
      </c>
    </row>
    <row r="1752" spans="37:37" x14ac:dyDescent="0.2">
      <c r="AK1752" s="685">
        <f t="shared" ref="AK1752:AK1815" si="42">SUM(O1752:AJ1752)</f>
        <v>0</v>
      </c>
    </row>
    <row r="1753" spans="37:37" x14ac:dyDescent="0.2">
      <c r="AK1753" s="685">
        <f t="shared" si="42"/>
        <v>0</v>
      </c>
    </row>
    <row r="1754" spans="37:37" x14ac:dyDescent="0.2">
      <c r="AK1754" s="685">
        <f t="shared" si="42"/>
        <v>0</v>
      </c>
    </row>
    <row r="1755" spans="37:37" x14ac:dyDescent="0.2">
      <c r="AK1755" s="685">
        <f t="shared" si="42"/>
        <v>0</v>
      </c>
    </row>
    <row r="1756" spans="37:37" x14ac:dyDescent="0.2">
      <c r="AK1756" s="685">
        <f t="shared" si="42"/>
        <v>0</v>
      </c>
    </row>
    <row r="1757" spans="37:37" x14ac:dyDescent="0.2">
      <c r="AK1757" s="685">
        <f t="shared" si="42"/>
        <v>0</v>
      </c>
    </row>
    <row r="1758" spans="37:37" x14ac:dyDescent="0.2">
      <c r="AK1758" s="685">
        <f t="shared" si="42"/>
        <v>0</v>
      </c>
    </row>
    <row r="1759" spans="37:37" x14ac:dyDescent="0.2">
      <c r="AK1759" s="685">
        <f t="shared" si="42"/>
        <v>0</v>
      </c>
    </row>
    <row r="1760" spans="37:37" x14ac:dyDescent="0.2">
      <c r="AK1760" s="685">
        <f t="shared" si="42"/>
        <v>0</v>
      </c>
    </row>
    <row r="1761" spans="37:37" x14ac:dyDescent="0.2">
      <c r="AK1761" s="685">
        <f t="shared" si="42"/>
        <v>0</v>
      </c>
    </row>
    <row r="1762" spans="37:37" x14ac:dyDescent="0.2">
      <c r="AK1762" s="685">
        <f t="shared" si="42"/>
        <v>0</v>
      </c>
    </row>
    <row r="1763" spans="37:37" x14ac:dyDescent="0.2">
      <c r="AK1763" s="685">
        <f t="shared" si="42"/>
        <v>0</v>
      </c>
    </row>
    <row r="1764" spans="37:37" x14ac:dyDescent="0.2">
      <c r="AK1764" s="685">
        <f t="shared" si="42"/>
        <v>0</v>
      </c>
    </row>
    <row r="1765" spans="37:37" x14ac:dyDescent="0.2">
      <c r="AK1765" s="685">
        <f t="shared" si="42"/>
        <v>0</v>
      </c>
    </row>
    <row r="1766" spans="37:37" x14ac:dyDescent="0.2">
      <c r="AK1766" s="685">
        <f t="shared" si="42"/>
        <v>0</v>
      </c>
    </row>
    <row r="1767" spans="37:37" x14ac:dyDescent="0.2">
      <c r="AK1767" s="685">
        <f t="shared" si="42"/>
        <v>0</v>
      </c>
    </row>
    <row r="1768" spans="37:37" x14ac:dyDescent="0.2">
      <c r="AK1768" s="685">
        <f t="shared" si="42"/>
        <v>0</v>
      </c>
    </row>
    <row r="1769" spans="37:37" x14ac:dyDescent="0.2">
      <c r="AK1769" s="685">
        <f t="shared" si="42"/>
        <v>0</v>
      </c>
    </row>
    <row r="1770" spans="37:37" x14ac:dyDescent="0.2">
      <c r="AK1770" s="685">
        <f t="shared" si="42"/>
        <v>0</v>
      </c>
    </row>
    <row r="1771" spans="37:37" x14ac:dyDescent="0.2">
      <c r="AK1771" s="685">
        <f t="shared" si="42"/>
        <v>0</v>
      </c>
    </row>
    <row r="1772" spans="37:37" x14ac:dyDescent="0.2">
      <c r="AK1772" s="685">
        <f t="shared" si="42"/>
        <v>0</v>
      </c>
    </row>
    <row r="1773" spans="37:37" x14ac:dyDescent="0.2">
      <c r="AK1773" s="685">
        <f t="shared" si="42"/>
        <v>0</v>
      </c>
    </row>
    <row r="1774" spans="37:37" x14ac:dyDescent="0.2">
      <c r="AK1774" s="685">
        <f t="shared" si="42"/>
        <v>0</v>
      </c>
    </row>
    <row r="1775" spans="37:37" x14ac:dyDescent="0.2">
      <c r="AK1775" s="685">
        <f t="shared" si="42"/>
        <v>0</v>
      </c>
    </row>
    <row r="1776" spans="37:37" x14ac:dyDescent="0.2">
      <c r="AK1776" s="685">
        <f t="shared" si="42"/>
        <v>0</v>
      </c>
    </row>
    <row r="1777" spans="37:37" x14ac:dyDescent="0.2">
      <c r="AK1777" s="685">
        <f t="shared" si="42"/>
        <v>0</v>
      </c>
    </row>
    <row r="1778" spans="37:37" x14ac:dyDescent="0.2">
      <c r="AK1778" s="685">
        <f t="shared" si="42"/>
        <v>0</v>
      </c>
    </row>
    <row r="1779" spans="37:37" x14ac:dyDescent="0.2">
      <c r="AK1779" s="685">
        <f t="shared" si="42"/>
        <v>0</v>
      </c>
    </row>
    <row r="1780" spans="37:37" x14ac:dyDescent="0.2">
      <c r="AK1780" s="685">
        <f t="shared" si="42"/>
        <v>0</v>
      </c>
    </row>
    <row r="1781" spans="37:37" x14ac:dyDescent="0.2">
      <c r="AK1781" s="685">
        <f t="shared" si="42"/>
        <v>0</v>
      </c>
    </row>
    <row r="1782" spans="37:37" x14ac:dyDescent="0.2">
      <c r="AK1782" s="685">
        <f t="shared" si="42"/>
        <v>0</v>
      </c>
    </row>
    <row r="1783" spans="37:37" x14ac:dyDescent="0.2">
      <c r="AK1783" s="685">
        <f t="shared" si="42"/>
        <v>0</v>
      </c>
    </row>
    <row r="1784" spans="37:37" x14ac:dyDescent="0.2">
      <c r="AK1784" s="685">
        <f t="shared" si="42"/>
        <v>0</v>
      </c>
    </row>
    <row r="1785" spans="37:37" x14ac:dyDescent="0.2">
      <c r="AK1785" s="685">
        <f t="shared" si="42"/>
        <v>0</v>
      </c>
    </row>
    <row r="1786" spans="37:37" x14ac:dyDescent="0.2">
      <c r="AK1786" s="685">
        <f t="shared" si="42"/>
        <v>0</v>
      </c>
    </row>
    <row r="1787" spans="37:37" x14ac:dyDescent="0.2">
      <c r="AK1787" s="685">
        <f t="shared" si="42"/>
        <v>0</v>
      </c>
    </row>
    <row r="1788" spans="37:37" x14ac:dyDescent="0.2">
      <c r="AK1788" s="685">
        <f t="shared" si="42"/>
        <v>0</v>
      </c>
    </row>
    <row r="1789" spans="37:37" x14ac:dyDescent="0.2">
      <c r="AK1789" s="685">
        <f t="shared" si="42"/>
        <v>0</v>
      </c>
    </row>
    <row r="1790" spans="37:37" x14ac:dyDescent="0.2">
      <c r="AK1790" s="685">
        <f t="shared" si="42"/>
        <v>0</v>
      </c>
    </row>
    <row r="1791" spans="37:37" x14ac:dyDescent="0.2">
      <c r="AK1791" s="685">
        <f t="shared" si="42"/>
        <v>0</v>
      </c>
    </row>
    <row r="1792" spans="37:37" x14ac:dyDescent="0.2">
      <c r="AK1792" s="685">
        <f t="shared" si="42"/>
        <v>0</v>
      </c>
    </row>
    <row r="1793" spans="37:37" x14ac:dyDescent="0.2">
      <c r="AK1793" s="685">
        <f t="shared" si="42"/>
        <v>0</v>
      </c>
    </row>
    <row r="1794" spans="37:37" x14ac:dyDescent="0.2">
      <c r="AK1794" s="685">
        <f t="shared" si="42"/>
        <v>0</v>
      </c>
    </row>
    <row r="1795" spans="37:37" x14ac:dyDescent="0.2">
      <c r="AK1795" s="685">
        <f t="shared" si="42"/>
        <v>0</v>
      </c>
    </row>
    <row r="1796" spans="37:37" x14ac:dyDescent="0.2">
      <c r="AK1796" s="685">
        <f t="shared" si="42"/>
        <v>0</v>
      </c>
    </row>
    <row r="1797" spans="37:37" x14ac:dyDescent="0.2">
      <c r="AK1797" s="685">
        <f t="shared" si="42"/>
        <v>0</v>
      </c>
    </row>
    <row r="1798" spans="37:37" x14ac:dyDescent="0.2">
      <c r="AK1798" s="685">
        <f t="shared" si="42"/>
        <v>0</v>
      </c>
    </row>
    <row r="1799" spans="37:37" x14ac:dyDescent="0.2">
      <c r="AK1799" s="685">
        <f t="shared" si="42"/>
        <v>0</v>
      </c>
    </row>
    <row r="1800" spans="37:37" x14ac:dyDescent="0.2">
      <c r="AK1800" s="685">
        <f t="shared" si="42"/>
        <v>0</v>
      </c>
    </row>
    <row r="1801" spans="37:37" x14ac:dyDescent="0.2">
      <c r="AK1801" s="685">
        <f t="shared" si="42"/>
        <v>0</v>
      </c>
    </row>
    <row r="1802" spans="37:37" x14ac:dyDescent="0.2">
      <c r="AK1802" s="685">
        <f t="shared" si="42"/>
        <v>0</v>
      </c>
    </row>
    <row r="1803" spans="37:37" x14ac:dyDescent="0.2">
      <c r="AK1803" s="685">
        <f t="shared" si="42"/>
        <v>0</v>
      </c>
    </row>
    <row r="1804" spans="37:37" x14ac:dyDescent="0.2">
      <c r="AK1804" s="685">
        <f t="shared" si="42"/>
        <v>0</v>
      </c>
    </row>
    <row r="1805" spans="37:37" x14ac:dyDescent="0.2">
      <c r="AK1805" s="685">
        <f t="shared" si="42"/>
        <v>0</v>
      </c>
    </row>
    <row r="1806" spans="37:37" x14ac:dyDescent="0.2">
      <c r="AK1806" s="685">
        <f t="shared" si="42"/>
        <v>0</v>
      </c>
    </row>
    <row r="1807" spans="37:37" x14ac:dyDescent="0.2">
      <c r="AK1807" s="685">
        <f t="shared" si="42"/>
        <v>0</v>
      </c>
    </row>
    <row r="1808" spans="37:37" x14ac:dyDescent="0.2">
      <c r="AK1808" s="685">
        <f t="shared" si="42"/>
        <v>0</v>
      </c>
    </row>
    <row r="1809" spans="37:37" x14ac:dyDescent="0.2">
      <c r="AK1809" s="685">
        <f t="shared" si="42"/>
        <v>0</v>
      </c>
    </row>
    <row r="1810" spans="37:37" x14ac:dyDescent="0.2">
      <c r="AK1810" s="685">
        <f t="shared" si="42"/>
        <v>0</v>
      </c>
    </row>
    <row r="1811" spans="37:37" x14ac:dyDescent="0.2">
      <c r="AK1811" s="685">
        <f t="shared" si="42"/>
        <v>0</v>
      </c>
    </row>
    <row r="1812" spans="37:37" x14ac:dyDescent="0.2">
      <c r="AK1812" s="685">
        <f t="shared" si="42"/>
        <v>0</v>
      </c>
    </row>
    <row r="1813" spans="37:37" x14ac:dyDescent="0.2">
      <c r="AK1813" s="685">
        <f t="shared" si="42"/>
        <v>0</v>
      </c>
    </row>
    <row r="1814" spans="37:37" x14ac:dyDescent="0.2">
      <c r="AK1814" s="685">
        <f t="shared" si="42"/>
        <v>0</v>
      </c>
    </row>
    <row r="1815" spans="37:37" x14ac:dyDescent="0.2">
      <c r="AK1815" s="685">
        <f t="shared" si="42"/>
        <v>0</v>
      </c>
    </row>
    <row r="1816" spans="37:37" x14ac:dyDescent="0.2">
      <c r="AK1816" s="685">
        <f t="shared" ref="AK1816:AK1879" si="43">SUM(O1816:AJ1816)</f>
        <v>0</v>
      </c>
    </row>
    <row r="1817" spans="37:37" x14ac:dyDescent="0.2">
      <c r="AK1817" s="685">
        <f t="shared" si="43"/>
        <v>0</v>
      </c>
    </row>
    <row r="1818" spans="37:37" x14ac:dyDescent="0.2">
      <c r="AK1818" s="685">
        <f t="shared" si="43"/>
        <v>0</v>
      </c>
    </row>
    <row r="1819" spans="37:37" x14ac:dyDescent="0.2">
      <c r="AK1819" s="685">
        <f t="shared" si="43"/>
        <v>0</v>
      </c>
    </row>
    <row r="1820" spans="37:37" x14ac:dyDescent="0.2">
      <c r="AK1820" s="685">
        <f t="shared" si="43"/>
        <v>0</v>
      </c>
    </row>
    <row r="1821" spans="37:37" x14ac:dyDescent="0.2">
      <c r="AK1821" s="685">
        <f t="shared" si="43"/>
        <v>0</v>
      </c>
    </row>
    <row r="1822" spans="37:37" x14ac:dyDescent="0.2">
      <c r="AK1822" s="685">
        <f t="shared" si="43"/>
        <v>0</v>
      </c>
    </row>
    <row r="1823" spans="37:37" x14ac:dyDescent="0.2">
      <c r="AK1823" s="685">
        <f t="shared" si="43"/>
        <v>0</v>
      </c>
    </row>
    <row r="1824" spans="37:37" x14ac:dyDescent="0.2">
      <c r="AK1824" s="685">
        <f t="shared" si="43"/>
        <v>0</v>
      </c>
    </row>
    <row r="1825" spans="37:37" x14ac:dyDescent="0.2">
      <c r="AK1825" s="685">
        <f t="shared" si="43"/>
        <v>0</v>
      </c>
    </row>
    <row r="1826" spans="37:37" x14ac:dyDescent="0.2">
      <c r="AK1826" s="685">
        <f t="shared" si="43"/>
        <v>0</v>
      </c>
    </row>
    <row r="1827" spans="37:37" x14ac:dyDescent="0.2">
      <c r="AK1827" s="685">
        <f t="shared" si="43"/>
        <v>0</v>
      </c>
    </row>
    <row r="1828" spans="37:37" x14ac:dyDescent="0.2">
      <c r="AK1828" s="685">
        <f t="shared" si="43"/>
        <v>0</v>
      </c>
    </row>
    <row r="1829" spans="37:37" x14ac:dyDescent="0.2">
      <c r="AK1829" s="685">
        <f t="shared" si="43"/>
        <v>0</v>
      </c>
    </row>
    <row r="1830" spans="37:37" x14ac:dyDescent="0.2">
      <c r="AK1830" s="685">
        <f t="shared" si="43"/>
        <v>0</v>
      </c>
    </row>
    <row r="1831" spans="37:37" x14ac:dyDescent="0.2">
      <c r="AK1831" s="685">
        <f t="shared" si="43"/>
        <v>0</v>
      </c>
    </row>
    <row r="1832" spans="37:37" x14ac:dyDescent="0.2">
      <c r="AK1832" s="685">
        <f t="shared" si="43"/>
        <v>0</v>
      </c>
    </row>
    <row r="1833" spans="37:37" x14ac:dyDescent="0.2">
      <c r="AK1833" s="685">
        <f t="shared" si="43"/>
        <v>0</v>
      </c>
    </row>
    <row r="1834" spans="37:37" x14ac:dyDescent="0.2">
      <c r="AK1834" s="685">
        <f t="shared" si="43"/>
        <v>0</v>
      </c>
    </row>
    <row r="1835" spans="37:37" x14ac:dyDescent="0.2">
      <c r="AK1835" s="685">
        <f t="shared" si="43"/>
        <v>0</v>
      </c>
    </row>
    <row r="1836" spans="37:37" x14ac:dyDescent="0.2">
      <c r="AK1836" s="685">
        <f t="shared" si="43"/>
        <v>0</v>
      </c>
    </row>
    <row r="1837" spans="37:37" x14ac:dyDescent="0.2">
      <c r="AK1837" s="685">
        <f t="shared" si="43"/>
        <v>0</v>
      </c>
    </row>
    <row r="1838" spans="37:37" x14ac:dyDescent="0.2">
      <c r="AK1838" s="685">
        <f t="shared" si="43"/>
        <v>0</v>
      </c>
    </row>
    <row r="1839" spans="37:37" x14ac:dyDescent="0.2">
      <c r="AK1839" s="685">
        <f t="shared" si="43"/>
        <v>0</v>
      </c>
    </row>
    <row r="1840" spans="37:37" x14ac:dyDescent="0.2">
      <c r="AK1840" s="685">
        <f t="shared" si="43"/>
        <v>0</v>
      </c>
    </row>
    <row r="1841" spans="37:37" x14ac:dyDescent="0.2">
      <c r="AK1841" s="685">
        <f t="shared" si="43"/>
        <v>0</v>
      </c>
    </row>
    <row r="1842" spans="37:37" x14ac:dyDescent="0.2">
      <c r="AK1842" s="685">
        <f t="shared" si="43"/>
        <v>0</v>
      </c>
    </row>
    <row r="1843" spans="37:37" x14ac:dyDescent="0.2">
      <c r="AK1843" s="685">
        <f t="shared" si="43"/>
        <v>0</v>
      </c>
    </row>
    <row r="1844" spans="37:37" x14ac:dyDescent="0.2">
      <c r="AK1844" s="685">
        <f t="shared" si="43"/>
        <v>0</v>
      </c>
    </row>
    <row r="1845" spans="37:37" x14ac:dyDescent="0.2">
      <c r="AK1845" s="685">
        <f t="shared" si="43"/>
        <v>0</v>
      </c>
    </row>
    <row r="1846" spans="37:37" x14ac:dyDescent="0.2">
      <c r="AK1846" s="685">
        <f t="shared" si="43"/>
        <v>0</v>
      </c>
    </row>
    <row r="1847" spans="37:37" x14ac:dyDescent="0.2">
      <c r="AK1847" s="685">
        <f t="shared" si="43"/>
        <v>0</v>
      </c>
    </row>
    <row r="1848" spans="37:37" x14ac:dyDescent="0.2">
      <c r="AK1848" s="685">
        <f t="shared" si="43"/>
        <v>0</v>
      </c>
    </row>
    <row r="1849" spans="37:37" x14ac:dyDescent="0.2">
      <c r="AK1849" s="685">
        <f t="shared" si="43"/>
        <v>0</v>
      </c>
    </row>
    <row r="1850" spans="37:37" x14ac:dyDescent="0.2">
      <c r="AK1850" s="685">
        <f t="shared" si="43"/>
        <v>0</v>
      </c>
    </row>
    <row r="1851" spans="37:37" x14ac:dyDescent="0.2">
      <c r="AK1851" s="685">
        <f t="shared" si="43"/>
        <v>0</v>
      </c>
    </row>
    <row r="1852" spans="37:37" x14ac:dyDescent="0.2">
      <c r="AK1852" s="685">
        <f t="shared" si="43"/>
        <v>0</v>
      </c>
    </row>
    <row r="1853" spans="37:37" x14ac:dyDescent="0.2">
      <c r="AK1853" s="685">
        <f t="shared" si="43"/>
        <v>0</v>
      </c>
    </row>
    <row r="1854" spans="37:37" x14ac:dyDescent="0.2">
      <c r="AK1854" s="685">
        <f t="shared" si="43"/>
        <v>0</v>
      </c>
    </row>
    <row r="1855" spans="37:37" x14ac:dyDescent="0.2">
      <c r="AK1855" s="685">
        <f t="shared" si="43"/>
        <v>0</v>
      </c>
    </row>
    <row r="1856" spans="37:37" x14ac:dyDescent="0.2">
      <c r="AK1856" s="685">
        <f t="shared" si="43"/>
        <v>0</v>
      </c>
    </row>
    <row r="1857" spans="37:37" x14ac:dyDescent="0.2">
      <c r="AK1857" s="685">
        <f t="shared" si="43"/>
        <v>0</v>
      </c>
    </row>
    <row r="1858" spans="37:37" x14ac:dyDescent="0.2">
      <c r="AK1858" s="685">
        <f t="shared" si="43"/>
        <v>0</v>
      </c>
    </row>
    <row r="1859" spans="37:37" x14ac:dyDescent="0.2">
      <c r="AK1859" s="685">
        <f t="shared" si="43"/>
        <v>0</v>
      </c>
    </row>
    <row r="1860" spans="37:37" x14ac:dyDescent="0.2">
      <c r="AK1860" s="685">
        <f t="shared" si="43"/>
        <v>0</v>
      </c>
    </row>
    <row r="1861" spans="37:37" x14ac:dyDescent="0.2">
      <c r="AK1861" s="685">
        <f t="shared" si="43"/>
        <v>0</v>
      </c>
    </row>
    <row r="1862" spans="37:37" x14ac:dyDescent="0.2">
      <c r="AK1862" s="685">
        <f t="shared" si="43"/>
        <v>0</v>
      </c>
    </row>
    <row r="1863" spans="37:37" x14ac:dyDescent="0.2">
      <c r="AK1863" s="685">
        <f t="shared" si="43"/>
        <v>0</v>
      </c>
    </row>
    <row r="1864" spans="37:37" x14ac:dyDescent="0.2">
      <c r="AK1864" s="685">
        <f t="shared" si="43"/>
        <v>0</v>
      </c>
    </row>
    <row r="1865" spans="37:37" x14ac:dyDescent="0.2">
      <c r="AK1865" s="685">
        <f t="shared" si="43"/>
        <v>0</v>
      </c>
    </row>
    <row r="1866" spans="37:37" x14ac:dyDescent="0.2">
      <c r="AK1866" s="685">
        <f t="shared" si="43"/>
        <v>0</v>
      </c>
    </row>
    <row r="1867" spans="37:37" x14ac:dyDescent="0.2">
      <c r="AK1867" s="685">
        <f t="shared" si="43"/>
        <v>0</v>
      </c>
    </row>
    <row r="1868" spans="37:37" x14ac:dyDescent="0.2">
      <c r="AK1868" s="685">
        <f t="shared" si="43"/>
        <v>0</v>
      </c>
    </row>
    <row r="1869" spans="37:37" x14ac:dyDescent="0.2">
      <c r="AK1869" s="685">
        <f t="shared" si="43"/>
        <v>0</v>
      </c>
    </row>
    <row r="1870" spans="37:37" x14ac:dyDescent="0.2">
      <c r="AK1870" s="685">
        <f t="shared" si="43"/>
        <v>0</v>
      </c>
    </row>
    <row r="1871" spans="37:37" x14ac:dyDescent="0.2">
      <c r="AK1871" s="685">
        <f t="shared" si="43"/>
        <v>0</v>
      </c>
    </row>
    <row r="1872" spans="37:37" x14ac:dyDescent="0.2">
      <c r="AK1872" s="685">
        <f t="shared" si="43"/>
        <v>0</v>
      </c>
    </row>
    <row r="1873" spans="37:37" x14ac:dyDescent="0.2">
      <c r="AK1873" s="685">
        <f t="shared" si="43"/>
        <v>0</v>
      </c>
    </row>
    <row r="1874" spans="37:37" x14ac:dyDescent="0.2">
      <c r="AK1874" s="685">
        <f t="shared" si="43"/>
        <v>0</v>
      </c>
    </row>
    <row r="1875" spans="37:37" x14ac:dyDescent="0.2">
      <c r="AK1875" s="685">
        <f t="shared" si="43"/>
        <v>0</v>
      </c>
    </row>
    <row r="1876" spans="37:37" x14ac:dyDescent="0.2">
      <c r="AK1876" s="685">
        <f t="shared" si="43"/>
        <v>0</v>
      </c>
    </row>
    <row r="1877" spans="37:37" x14ac:dyDescent="0.2">
      <c r="AK1877" s="685">
        <f t="shared" si="43"/>
        <v>0</v>
      </c>
    </row>
    <row r="1878" spans="37:37" x14ac:dyDescent="0.2">
      <c r="AK1878" s="685">
        <f t="shared" si="43"/>
        <v>0</v>
      </c>
    </row>
    <row r="1879" spans="37:37" x14ac:dyDescent="0.2">
      <c r="AK1879" s="685">
        <f t="shared" si="43"/>
        <v>0</v>
      </c>
    </row>
    <row r="1880" spans="37:37" x14ac:dyDescent="0.2">
      <c r="AK1880" s="685">
        <f t="shared" ref="AK1880:AK1943" si="44">SUM(O1880:AJ1880)</f>
        <v>0</v>
      </c>
    </row>
    <row r="1881" spans="37:37" x14ac:dyDescent="0.2">
      <c r="AK1881" s="685">
        <f t="shared" si="44"/>
        <v>0</v>
      </c>
    </row>
    <row r="1882" spans="37:37" x14ac:dyDescent="0.2">
      <c r="AK1882" s="685">
        <f t="shared" si="44"/>
        <v>0</v>
      </c>
    </row>
    <row r="1883" spans="37:37" x14ac:dyDescent="0.2">
      <c r="AK1883" s="685">
        <f t="shared" si="44"/>
        <v>0</v>
      </c>
    </row>
    <row r="1884" spans="37:37" x14ac:dyDescent="0.2">
      <c r="AK1884" s="685">
        <f t="shared" si="44"/>
        <v>0</v>
      </c>
    </row>
    <row r="1885" spans="37:37" x14ac:dyDescent="0.2">
      <c r="AK1885" s="685">
        <f t="shared" si="44"/>
        <v>0</v>
      </c>
    </row>
    <row r="1886" spans="37:37" x14ac:dyDescent="0.2">
      <c r="AK1886" s="685">
        <f t="shared" si="44"/>
        <v>0</v>
      </c>
    </row>
    <row r="1887" spans="37:37" x14ac:dyDescent="0.2">
      <c r="AK1887" s="685">
        <f t="shared" si="44"/>
        <v>0</v>
      </c>
    </row>
    <row r="1888" spans="37:37" x14ac:dyDescent="0.2">
      <c r="AK1888" s="685">
        <f t="shared" si="44"/>
        <v>0</v>
      </c>
    </row>
    <row r="1889" spans="37:37" x14ac:dyDescent="0.2">
      <c r="AK1889" s="685">
        <f t="shared" si="44"/>
        <v>0</v>
      </c>
    </row>
    <row r="1890" spans="37:37" x14ac:dyDescent="0.2">
      <c r="AK1890" s="685">
        <f t="shared" si="44"/>
        <v>0</v>
      </c>
    </row>
    <row r="1891" spans="37:37" x14ac:dyDescent="0.2">
      <c r="AK1891" s="685">
        <f t="shared" si="44"/>
        <v>0</v>
      </c>
    </row>
    <row r="1892" spans="37:37" x14ac:dyDescent="0.2">
      <c r="AK1892" s="685">
        <f t="shared" si="44"/>
        <v>0</v>
      </c>
    </row>
    <row r="1893" spans="37:37" x14ac:dyDescent="0.2">
      <c r="AK1893" s="685">
        <f t="shared" si="44"/>
        <v>0</v>
      </c>
    </row>
    <row r="1894" spans="37:37" x14ac:dyDescent="0.2">
      <c r="AK1894" s="685">
        <f t="shared" si="44"/>
        <v>0</v>
      </c>
    </row>
    <row r="1895" spans="37:37" x14ac:dyDescent="0.2">
      <c r="AK1895" s="685">
        <f t="shared" si="44"/>
        <v>0</v>
      </c>
    </row>
    <row r="1896" spans="37:37" x14ac:dyDescent="0.2">
      <c r="AK1896" s="685">
        <f t="shared" si="44"/>
        <v>0</v>
      </c>
    </row>
    <row r="1897" spans="37:37" x14ac:dyDescent="0.2">
      <c r="AK1897" s="685">
        <f t="shared" si="44"/>
        <v>0</v>
      </c>
    </row>
    <row r="1898" spans="37:37" x14ac:dyDescent="0.2">
      <c r="AK1898" s="685">
        <f t="shared" si="44"/>
        <v>0</v>
      </c>
    </row>
    <row r="1899" spans="37:37" x14ac:dyDescent="0.2">
      <c r="AK1899" s="685">
        <f t="shared" si="44"/>
        <v>0</v>
      </c>
    </row>
    <row r="1900" spans="37:37" x14ac:dyDescent="0.2">
      <c r="AK1900" s="685">
        <f t="shared" si="44"/>
        <v>0</v>
      </c>
    </row>
    <row r="1901" spans="37:37" x14ac:dyDescent="0.2">
      <c r="AK1901" s="685">
        <f t="shared" si="44"/>
        <v>0</v>
      </c>
    </row>
    <row r="1902" spans="37:37" x14ac:dyDescent="0.2">
      <c r="AK1902" s="685">
        <f t="shared" si="44"/>
        <v>0</v>
      </c>
    </row>
    <row r="1903" spans="37:37" x14ac:dyDescent="0.2">
      <c r="AK1903" s="685">
        <f t="shared" si="44"/>
        <v>0</v>
      </c>
    </row>
    <row r="1904" spans="37:37" x14ac:dyDescent="0.2">
      <c r="AK1904" s="685">
        <f t="shared" si="44"/>
        <v>0</v>
      </c>
    </row>
    <row r="1905" spans="37:37" x14ac:dyDescent="0.2">
      <c r="AK1905" s="685">
        <f t="shared" si="44"/>
        <v>0</v>
      </c>
    </row>
    <row r="1906" spans="37:37" x14ac:dyDescent="0.2">
      <c r="AK1906" s="685">
        <f t="shared" si="44"/>
        <v>0</v>
      </c>
    </row>
    <row r="1907" spans="37:37" x14ac:dyDescent="0.2">
      <c r="AK1907" s="685">
        <f t="shared" si="44"/>
        <v>0</v>
      </c>
    </row>
    <row r="1908" spans="37:37" x14ac:dyDescent="0.2">
      <c r="AK1908" s="685">
        <f t="shared" si="44"/>
        <v>0</v>
      </c>
    </row>
    <row r="1909" spans="37:37" x14ac:dyDescent="0.2">
      <c r="AK1909" s="685">
        <f t="shared" si="44"/>
        <v>0</v>
      </c>
    </row>
    <row r="1910" spans="37:37" x14ac:dyDescent="0.2">
      <c r="AK1910" s="685">
        <f t="shared" si="44"/>
        <v>0</v>
      </c>
    </row>
    <row r="1911" spans="37:37" x14ac:dyDescent="0.2">
      <c r="AK1911" s="685">
        <f t="shared" si="44"/>
        <v>0</v>
      </c>
    </row>
    <row r="1912" spans="37:37" x14ac:dyDescent="0.2">
      <c r="AK1912" s="685">
        <f t="shared" si="44"/>
        <v>0</v>
      </c>
    </row>
    <row r="1913" spans="37:37" x14ac:dyDescent="0.2">
      <c r="AK1913" s="685">
        <f t="shared" si="44"/>
        <v>0</v>
      </c>
    </row>
    <row r="1914" spans="37:37" x14ac:dyDescent="0.2">
      <c r="AK1914" s="685">
        <f t="shared" si="44"/>
        <v>0</v>
      </c>
    </row>
    <row r="1915" spans="37:37" x14ac:dyDescent="0.2">
      <c r="AK1915" s="685">
        <f t="shared" si="44"/>
        <v>0</v>
      </c>
    </row>
    <row r="1916" spans="37:37" x14ac:dyDescent="0.2">
      <c r="AK1916" s="685">
        <f t="shared" si="44"/>
        <v>0</v>
      </c>
    </row>
    <row r="1917" spans="37:37" x14ac:dyDescent="0.2">
      <c r="AK1917" s="685">
        <f t="shared" si="44"/>
        <v>0</v>
      </c>
    </row>
    <row r="1918" spans="37:37" x14ac:dyDescent="0.2">
      <c r="AK1918" s="685">
        <f t="shared" si="44"/>
        <v>0</v>
      </c>
    </row>
    <row r="1919" spans="37:37" x14ac:dyDescent="0.2">
      <c r="AK1919" s="685">
        <f t="shared" si="44"/>
        <v>0</v>
      </c>
    </row>
    <row r="1920" spans="37:37" x14ac:dyDescent="0.2">
      <c r="AK1920" s="685">
        <f t="shared" si="44"/>
        <v>0</v>
      </c>
    </row>
    <row r="1921" spans="37:37" x14ac:dyDescent="0.2">
      <c r="AK1921" s="685">
        <f t="shared" si="44"/>
        <v>0</v>
      </c>
    </row>
    <row r="1922" spans="37:37" x14ac:dyDescent="0.2">
      <c r="AK1922" s="685">
        <f t="shared" si="44"/>
        <v>0</v>
      </c>
    </row>
    <row r="1923" spans="37:37" x14ac:dyDescent="0.2">
      <c r="AK1923" s="685">
        <f t="shared" si="44"/>
        <v>0</v>
      </c>
    </row>
    <row r="1924" spans="37:37" x14ac:dyDescent="0.2">
      <c r="AK1924" s="685">
        <f t="shared" si="44"/>
        <v>0</v>
      </c>
    </row>
    <row r="1925" spans="37:37" x14ac:dyDescent="0.2">
      <c r="AK1925" s="685">
        <f t="shared" si="44"/>
        <v>0</v>
      </c>
    </row>
    <row r="1926" spans="37:37" x14ac:dyDescent="0.2">
      <c r="AK1926" s="685">
        <f t="shared" si="44"/>
        <v>0</v>
      </c>
    </row>
    <row r="1927" spans="37:37" x14ac:dyDescent="0.2">
      <c r="AK1927" s="685">
        <f t="shared" si="44"/>
        <v>0</v>
      </c>
    </row>
    <row r="1928" spans="37:37" x14ac:dyDescent="0.2">
      <c r="AK1928" s="685">
        <f t="shared" si="44"/>
        <v>0</v>
      </c>
    </row>
    <row r="1929" spans="37:37" x14ac:dyDescent="0.2">
      <c r="AK1929" s="685">
        <f t="shared" si="44"/>
        <v>0</v>
      </c>
    </row>
    <row r="1930" spans="37:37" x14ac:dyDescent="0.2">
      <c r="AK1930" s="685">
        <f t="shared" si="44"/>
        <v>0</v>
      </c>
    </row>
    <row r="1931" spans="37:37" x14ac:dyDescent="0.2">
      <c r="AK1931" s="685">
        <f t="shared" si="44"/>
        <v>0</v>
      </c>
    </row>
    <row r="1932" spans="37:37" x14ac:dyDescent="0.2">
      <c r="AK1932" s="685">
        <f t="shared" si="44"/>
        <v>0</v>
      </c>
    </row>
    <row r="1933" spans="37:37" x14ac:dyDescent="0.2">
      <c r="AK1933" s="685">
        <f t="shared" si="44"/>
        <v>0</v>
      </c>
    </row>
    <row r="1934" spans="37:37" x14ac:dyDescent="0.2">
      <c r="AK1934" s="685">
        <f t="shared" si="44"/>
        <v>0</v>
      </c>
    </row>
    <row r="1935" spans="37:37" x14ac:dyDescent="0.2">
      <c r="AK1935" s="685">
        <f t="shared" si="44"/>
        <v>0</v>
      </c>
    </row>
    <row r="1936" spans="37:37" x14ac:dyDescent="0.2">
      <c r="AK1936" s="685">
        <f t="shared" si="44"/>
        <v>0</v>
      </c>
    </row>
    <row r="1937" spans="37:37" x14ac:dyDescent="0.2">
      <c r="AK1937" s="685">
        <f t="shared" si="44"/>
        <v>0</v>
      </c>
    </row>
    <row r="1938" spans="37:37" x14ac:dyDescent="0.2">
      <c r="AK1938" s="685">
        <f t="shared" si="44"/>
        <v>0</v>
      </c>
    </row>
    <row r="1939" spans="37:37" x14ac:dyDescent="0.2">
      <c r="AK1939" s="685">
        <f t="shared" si="44"/>
        <v>0</v>
      </c>
    </row>
    <row r="1940" spans="37:37" x14ac:dyDescent="0.2">
      <c r="AK1940" s="685">
        <f t="shared" si="44"/>
        <v>0</v>
      </c>
    </row>
    <row r="1941" spans="37:37" x14ac:dyDescent="0.2">
      <c r="AK1941" s="685">
        <f t="shared" si="44"/>
        <v>0</v>
      </c>
    </row>
    <row r="1942" spans="37:37" x14ac:dyDescent="0.2">
      <c r="AK1942" s="685">
        <f t="shared" si="44"/>
        <v>0</v>
      </c>
    </row>
    <row r="1943" spans="37:37" x14ac:dyDescent="0.2">
      <c r="AK1943" s="685">
        <f t="shared" si="44"/>
        <v>0</v>
      </c>
    </row>
    <row r="1944" spans="37:37" x14ac:dyDescent="0.2">
      <c r="AK1944" s="685">
        <f t="shared" ref="AK1944:AK2007" si="45">SUM(O1944:AJ1944)</f>
        <v>0</v>
      </c>
    </row>
    <row r="1945" spans="37:37" x14ac:dyDescent="0.2">
      <c r="AK1945" s="685">
        <f t="shared" si="45"/>
        <v>0</v>
      </c>
    </row>
    <row r="1946" spans="37:37" x14ac:dyDescent="0.2">
      <c r="AK1946" s="685">
        <f t="shared" si="45"/>
        <v>0</v>
      </c>
    </row>
    <row r="1947" spans="37:37" x14ac:dyDescent="0.2">
      <c r="AK1947" s="685">
        <f t="shared" si="45"/>
        <v>0</v>
      </c>
    </row>
    <row r="1948" spans="37:37" x14ac:dyDescent="0.2">
      <c r="AK1948" s="685">
        <f t="shared" si="45"/>
        <v>0</v>
      </c>
    </row>
    <row r="1949" spans="37:37" x14ac:dyDescent="0.2">
      <c r="AK1949" s="685">
        <f t="shared" si="45"/>
        <v>0</v>
      </c>
    </row>
    <row r="1950" spans="37:37" x14ac:dyDescent="0.2">
      <c r="AK1950" s="685">
        <f t="shared" si="45"/>
        <v>0</v>
      </c>
    </row>
    <row r="1951" spans="37:37" x14ac:dyDescent="0.2">
      <c r="AK1951" s="685">
        <f t="shared" si="45"/>
        <v>0</v>
      </c>
    </row>
    <row r="1952" spans="37:37" x14ac:dyDescent="0.2">
      <c r="AK1952" s="685">
        <f t="shared" si="45"/>
        <v>0</v>
      </c>
    </row>
    <row r="1953" spans="37:37" x14ac:dyDescent="0.2">
      <c r="AK1953" s="685">
        <f t="shared" si="45"/>
        <v>0</v>
      </c>
    </row>
    <row r="1954" spans="37:37" x14ac:dyDescent="0.2">
      <c r="AK1954" s="685">
        <f t="shared" si="45"/>
        <v>0</v>
      </c>
    </row>
    <row r="1955" spans="37:37" x14ac:dyDescent="0.2">
      <c r="AK1955" s="685">
        <f t="shared" si="45"/>
        <v>0</v>
      </c>
    </row>
    <row r="1956" spans="37:37" x14ac:dyDescent="0.2">
      <c r="AK1956" s="685">
        <f t="shared" si="45"/>
        <v>0</v>
      </c>
    </row>
    <row r="1957" spans="37:37" x14ac:dyDescent="0.2">
      <c r="AK1957" s="685">
        <f t="shared" si="45"/>
        <v>0</v>
      </c>
    </row>
    <row r="1958" spans="37:37" x14ac:dyDescent="0.2">
      <c r="AK1958" s="685">
        <f t="shared" si="45"/>
        <v>0</v>
      </c>
    </row>
    <row r="1959" spans="37:37" x14ac:dyDescent="0.2">
      <c r="AK1959" s="685">
        <f t="shared" si="45"/>
        <v>0</v>
      </c>
    </row>
    <row r="1960" spans="37:37" x14ac:dyDescent="0.2">
      <c r="AK1960" s="685">
        <f t="shared" si="45"/>
        <v>0</v>
      </c>
    </row>
    <row r="1961" spans="37:37" x14ac:dyDescent="0.2">
      <c r="AK1961" s="685">
        <f t="shared" si="45"/>
        <v>0</v>
      </c>
    </row>
    <row r="1962" spans="37:37" x14ac:dyDescent="0.2">
      <c r="AK1962" s="685">
        <f t="shared" si="45"/>
        <v>0</v>
      </c>
    </row>
    <row r="1963" spans="37:37" x14ac:dyDescent="0.2">
      <c r="AK1963" s="685">
        <f t="shared" si="45"/>
        <v>0</v>
      </c>
    </row>
    <row r="1964" spans="37:37" x14ac:dyDescent="0.2">
      <c r="AK1964" s="685">
        <f t="shared" si="45"/>
        <v>0</v>
      </c>
    </row>
    <row r="1965" spans="37:37" x14ac:dyDescent="0.2">
      <c r="AK1965" s="685">
        <f t="shared" si="45"/>
        <v>0</v>
      </c>
    </row>
    <row r="1966" spans="37:37" x14ac:dyDescent="0.2">
      <c r="AK1966" s="685">
        <f t="shared" si="45"/>
        <v>0</v>
      </c>
    </row>
    <row r="1967" spans="37:37" x14ac:dyDescent="0.2">
      <c r="AK1967" s="685">
        <f t="shared" si="45"/>
        <v>0</v>
      </c>
    </row>
    <row r="1968" spans="37:37" x14ac:dyDescent="0.2">
      <c r="AK1968" s="685">
        <f t="shared" si="45"/>
        <v>0</v>
      </c>
    </row>
    <row r="1969" spans="37:37" x14ac:dyDescent="0.2">
      <c r="AK1969" s="685">
        <f t="shared" si="45"/>
        <v>0</v>
      </c>
    </row>
    <row r="1970" spans="37:37" x14ac:dyDescent="0.2">
      <c r="AK1970" s="685">
        <f t="shared" si="45"/>
        <v>0</v>
      </c>
    </row>
    <row r="1971" spans="37:37" x14ac:dyDescent="0.2">
      <c r="AK1971" s="685">
        <f t="shared" si="45"/>
        <v>0</v>
      </c>
    </row>
    <row r="1972" spans="37:37" x14ac:dyDescent="0.2">
      <c r="AK1972" s="685">
        <f t="shared" si="45"/>
        <v>0</v>
      </c>
    </row>
    <row r="1973" spans="37:37" x14ac:dyDescent="0.2">
      <c r="AK1973" s="685">
        <f t="shared" si="45"/>
        <v>0</v>
      </c>
    </row>
    <row r="1974" spans="37:37" x14ac:dyDescent="0.2">
      <c r="AK1974" s="685">
        <f t="shared" si="45"/>
        <v>0</v>
      </c>
    </row>
    <row r="1975" spans="37:37" x14ac:dyDescent="0.2">
      <c r="AK1975" s="685">
        <f t="shared" si="45"/>
        <v>0</v>
      </c>
    </row>
    <row r="1976" spans="37:37" x14ac:dyDescent="0.2">
      <c r="AK1976" s="685">
        <f t="shared" si="45"/>
        <v>0</v>
      </c>
    </row>
    <row r="1977" spans="37:37" x14ac:dyDescent="0.2">
      <c r="AK1977" s="685">
        <f t="shared" si="45"/>
        <v>0</v>
      </c>
    </row>
    <row r="1978" spans="37:37" x14ac:dyDescent="0.2">
      <c r="AK1978" s="685">
        <f t="shared" si="45"/>
        <v>0</v>
      </c>
    </row>
    <row r="1979" spans="37:37" x14ac:dyDescent="0.2">
      <c r="AK1979" s="685">
        <f t="shared" si="45"/>
        <v>0</v>
      </c>
    </row>
    <row r="1980" spans="37:37" x14ac:dyDescent="0.2">
      <c r="AK1980" s="685">
        <f t="shared" si="45"/>
        <v>0</v>
      </c>
    </row>
    <row r="1981" spans="37:37" x14ac:dyDescent="0.2">
      <c r="AK1981" s="685">
        <f t="shared" si="45"/>
        <v>0</v>
      </c>
    </row>
    <row r="1982" spans="37:37" x14ac:dyDescent="0.2">
      <c r="AK1982" s="685">
        <f t="shared" si="45"/>
        <v>0</v>
      </c>
    </row>
    <row r="1983" spans="37:37" x14ac:dyDescent="0.2">
      <c r="AK1983" s="685">
        <f t="shared" si="45"/>
        <v>0</v>
      </c>
    </row>
    <row r="1984" spans="37:37" x14ac:dyDescent="0.2">
      <c r="AK1984" s="685">
        <f t="shared" si="45"/>
        <v>0</v>
      </c>
    </row>
    <row r="1985" spans="37:37" x14ac:dyDescent="0.2">
      <c r="AK1985" s="685">
        <f t="shared" si="45"/>
        <v>0</v>
      </c>
    </row>
    <row r="1986" spans="37:37" x14ac:dyDescent="0.2">
      <c r="AK1986" s="685">
        <f t="shared" si="45"/>
        <v>0</v>
      </c>
    </row>
    <row r="1987" spans="37:37" x14ac:dyDescent="0.2">
      <c r="AK1987" s="685">
        <f t="shared" si="45"/>
        <v>0</v>
      </c>
    </row>
    <row r="1988" spans="37:37" x14ac:dyDescent="0.2">
      <c r="AK1988" s="685">
        <f t="shared" si="45"/>
        <v>0</v>
      </c>
    </row>
    <row r="1989" spans="37:37" x14ac:dyDescent="0.2">
      <c r="AK1989" s="685">
        <f t="shared" si="45"/>
        <v>0</v>
      </c>
    </row>
    <row r="1990" spans="37:37" x14ac:dyDescent="0.2">
      <c r="AK1990" s="685">
        <f t="shared" si="45"/>
        <v>0</v>
      </c>
    </row>
    <row r="1991" spans="37:37" x14ac:dyDescent="0.2">
      <c r="AK1991" s="685">
        <f t="shared" si="45"/>
        <v>0</v>
      </c>
    </row>
    <row r="1992" spans="37:37" x14ac:dyDescent="0.2">
      <c r="AK1992" s="685">
        <f t="shared" si="45"/>
        <v>0</v>
      </c>
    </row>
    <row r="1993" spans="37:37" x14ac:dyDescent="0.2">
      <c r="AK1993" s="685">
        <f t="shared" si="45"/>
        <v>0</v>
      </c>
    </row>
    <row r="1994" spans="37:37" x14ac:dyDescent="0.2">
      <c r="AK1994" s="685">
        <f t="shared" si="45"/>
        <v>0</v>
      </c>
    </row>
    <row r="1995" spans="37:37" x14ac:dyDescent="0.2">
      <c r="AK1995" s="685">
        <f t="shared" si="45"/>
        <v>0</v>
      </c>
    </row>
    <row r="1996" spans="37:37" x14ac:dyDescent="0.2">
      <c r="AK1996" s="685">
        <f t="shared" si="45"/>
        <v>0</v>
      </c>
    </row>
    <row r="1997" spans="37:37" x14ac:dyDescent="0.2">
      <c r="AK1997" s="685">
        <f t="shared" si="45"/>
        <v>0</v>
      </c>
    </row>
    <row r="1998" spans="37:37" x14ac:dyDescent="0.2">
      <c r="AK1998" s="685">
        <f t="shared" si="45"/>
        <v>0</v>
      </c>
    </row>
    <row r="1999" spans="37:37" x14ac:dyDescent="0.2">
      <c r="AK1999" s="685">
        <f t="shared" si="45"/>
        <v>0</v>
      </c>
    </row>
    <row r="2000" spans="37:37" x14ac:dyDescent="0.2">
      <c r="AK2000" s="685">
        <f t="shared" si="45"/>
        <v>0</v>
      </c>
    </row>
    <row r="2001" spans="37:37" x14ac:dyDescent="0.2">
      <c r="AK2001" s="685">
        <f t="shared" si="45"/>
        <v>0</v>
      </c>
    </row>
    <row r="2002" spans="37:37" x14ac:dyDescent="0.2">
      <c r="AK2002" s="685">
        <f t="shared" si="45"/>
        <v>0</v>
      </c>
    </row>
    <row r="2003" spans="37:37" x14ac:dyDescent="0.2">
      <c r="AK2003" s="685">
        <f t="shared" si="45"/>
        <v>0</v>
      </c>
    </row>
    <row r="2004" spans="37:37" x14ac:dyDescent="0.2">
      <c r="AK2004" s="685">
        <f t="shared" si="45"/>
        <v>0</v>
      </c>
    </row>
    <row r="2005" spans="37:37" x14ac:dyDescent="0.2">
      <c r="AK2005" s="685">
        <f t="shared" si="45"/>
        <v>0</v>
      </c>
    </row>
    <row r="2006" spans="37:37" x14ac:dyDescent="0.2">
      <c r="AK2006" s="685">
        <f t="shared" si="45"/>
        <v>0</v>
      </c>
    </row>
    <row r="2007" spans="37:37" x14ac:dyDescent="0.2">
      <c r="AK2007" s="685">
        <f t="shared" si="45"/>
        <v>0</v>
      </c>
    </row>
    <row r="2008" spans="37:37" x14ac:dyDescent="0.2">
      <c r="AK2008" s="685">
        <f t="shared" ref="AK2008:AK2071" si="46">SUM(O2008:AJ2008)</f>
        <v>0</v>
      </c>
    </row>
    <row r="2009" spans="37:37" x14ac:dyDescent="0.2">
      <c r="AK2009" s="685">
        <f t="shared" si="46"/>
        <v>0</v>
      </c>
    </row>
    <row r="2010" spans="37:37" x14ac:dyDescent="0.2">
      <c r="AK2010" s="685">
        <f t="shared" si="46"/>
        <v>0</v>
      </c>
    </row>
    <row r="2011" spans="37:37" x14ac:dyDescent="0.2">
      <c r="AK2011" s="685">
        <f t="shared" si="46"/>
        <v>0</v>
      </c>
    </row>
    <row r="2012" spans="37:37" x14ac:dyDescent="0.2">
      <c r="AK2012" s="685">
        <f t="shared" si="46"/>
        <v>0</v>
      </c>
    </row>
    <row r="2013" spans="37:37" x14ac:dyDescent="0.2">
      <c r="AK2013" s="685">
        <f t="shared" si="46"/>
        <v>0</v>
      </c>
    </row>
    <row r="2014" spans="37:37" x14ac:dyDescent="0.2">
      <c r="AK2014" s="685">
        <f t="shared" si="46"/>
        <v>0</v>
      </c>
    </row>
    <row r="2015" spans="37:37" x14ac:dyDescent="0.2">
      <c r="AK2015" s="685">
        <f t="shared" si="46"/>
        <v>0</v>
      </c>
    </row>
    <row r="2016" spans="37:37" x14ac:dyDescent="0.2">
      <c r="AK2016" s="685">
        <f t="shared" si="46"/>
        <v>0</v>
      </c>
    </row>
    <row r="2017" spans="37:37" x14ac:dyDescent="0.2">
      <c r="AK2017" s="685">
        <f t="shared" si="46"/>
        <v>0</v>
      </c>
    </row>
    <row r="2018" spans="37:37" x14ac:dyDescent="0.2">
      <c r="AK2018" s="685">
        <f t="shared" si="46"/>
        <v>0</v>
      </c>
    </row>
    <row r="2019" spans="37:37" x14ac:dyDescent="0.2">
      <c r="AK2019" s="685">
        <f t="shared" si="46"/>
        <v>0</v>
      </c>
    </row>
    <row r="2020" spans="37:37" x14ac:dyDescent="0.2">
      <c r="AK2020" s="685">
        <f t="shared" si="46"/>
        <v>0</v>
      </c>
    </row>
    <row r="2021" spans="37:37" x14ac:dyDescent="0.2">
      <c r="AK2021" s="685">
        <f t="shared" si="46"/>
        <v>0</v>
      </c>
    </row>
    <row r="2022" spans="37:37" x14ac:dyDescent="0.2">
      <c r="AK2022" s="685">
        <f t="shared" si="46"/>
        <v>0</v>
      </c>
    </row>
    <row r="2023" spans="37:37" x14ac:dyDescent="0.2">
      <c r="AK2023" s="685">
        <f t="shared" si="46"/>
        <v>0</v>
      </c>
    </row>
    <row r="2024" spans="37:37" x14ac:dyDescent="0.2">
      <c r="AK2024" s="685">
        <f t="shared" si="46"/>
        <v>0</v>
      </c>
    </row>
    <row r="2025" spans="37:37" x14ac:dyDescent="0.2">
      <c r="AK2025" s="685">
        <f t="shared" si="46"/>
        <v>0</v>
      </c>
    </row>
    <row r="2026" spans="37:37" x14ac:dyDescent="0.2">
      <c r="AK2026" s="685">
        <f t="shared" si="46"/>
        <v>0</v>
      </c>
    </row>
    <row r="2027" spans="37:37" x14ac:dyDescent="0.2">
      <c r="AK2027" s="685">
        <f t="shared" si="46"/>
        <v>0</v>
      </c>
    </row>
    <row r="2028" spans="37:37" x14ac:dyDescent="0.2">
      <c r="AK2028" s="685">
        <f t="shared" si="46"/>
        <v>0</v>
      </c>
    </row>
    <row r="2029" spans="37:37" x14ac:dyDescent="0.2">
      <c r="AK2029" s="685">
        <f t="shared" si="46"/>
        <v>0</v>
      </c>
    </row>
    <row r="2030" spans="37:37" x14ac:dyDescent="0.2">
      <c r="AK2030" s="685">
        <f t="shared" si="46"/>
        <v>0</v>
      </c>
    </row>
    <row r="2031" spans="37:37" x14ac:dyDescent="0.2">
      <c r="AK2031" s="685">
        <f t="shared" si="46"/>
        <v>0</v>
      </c>
    </row>
    <row r="2032" spans="37:37" x14ac:dyDescent="0.2">
      <c r="AK2032" s="685">
        <f t="shared" si="46"/>
        <v>0</v>
      </c>
    </row>
    <row r="2033" spans="37:37" x14ac:dyDescent="0.2">
      <c r="AK2033" s="685">
        <f t="shared" si="46"/>
        <v>0</v>
      </c>
    </row>
    <row r="2034" spans="37:37" x14ac:dyDescent="0.2">
      <c r="AK2034" s="685">
        <f t="shared" si="46"/>
        <v>0</v>
      </c>
    </row>
    <row r="2035" spans="37:37" x14ac:dyDescent="0.2">
      <c r="AK2035" s="685">
        <f t="shared" si="46"/>
        <v>0</v>
      </c>
    </row>
    <row r="2036" spans="37:37" x14ac:dyDescent="0.2">
      <c r="AK2036" s="685">
        <f t="shared" si="46"/>
        <v>0</v>
      </c>
    </row>
    <row r="2037" spans="37:37" x14ac:dyDescent="0.2">
      <c r="AK2037" s="685">
        <f t="shared" si="46"/>
        <v>0</v>
      </c>
    </row>
    <row r="2038" spans="37:37" x14ac:dyDescent="0.2">
      <c r="AK2038" s="685">
        <f t="shared" si="46"/>
        <v>0</v>
      </c>
    </row>
    <row r="2039" spans="37:37" x14ac:dyDescent="0.2">
      <c r="AK2039" s="685">
        <f t="shared" si="46"/>
        <v>0</v>
      </c>
    </row>
    <row r="2040" spans="37:37" x14ac:dyDescent="0.2">
      <c r="AK2040" s="685">
        <f t="shared" si="46"/>
        <v>0</v>
      </c>
    </row>
    <row r="2041" spans="37:37" x14ac:dyDescent="0.2">
      <c r="AK2041" s="685">
        <f t="shared" si="46"/>
        <v>0</v>
      </c>
    </row>
    <row r="2042" spans="37:37" x14ac:dyDescent="0.2">
      <c r="AK2042" s="685">
        <f t="shared" si="46"/>
        <v>0</v>
      </c>
    </row>
    <row r="2043" spans="37:37" x14ac:dyDescent="0.2">
      <c r="AK2043" s="685">
        <f t="shared" si="46"/>
        <v>0</v>
      </c>
    </row>
    <row r="2044" spans="37:37" x14ac:dyDescent="0.2">
      <c r="AK2044" s="685">
        <f t="shared" si="46"/>
        <v>0</v>
      </c>
    </row>
    <row r="2045" spans="37:37" x14ac:dyDescent="0.2">
      <c r="AK2045" s="685">
        <f t="shared" si="46"/>
        <v>0</v>
      </c>
    </row>
    <row r="2046" spans="37:37" x14ac:dyDescent="0.2">
      <c r="AK2046" s="685">
        <f t="shared" si="46"/>
        <v>0</v>
      </c>
    </row>
    <row r="2047" spans="37:37" x14ac:dyDescent="0.2">
      <c r="AK2047" s="685">
        <f t="shared" si="46"/>
        <v>0</v>
      </c>
    </row>
    <row r="2048" spans="37:37" x14ac:dyDescent="0.2">
      <c r="AK2048" s="685">
        <f t="shared" si="46"/>
        <v>0</v>
      </c>
    </row>
    <row r="2049" spans="37:37" x14ac:dyDescent="0.2">
      <c r="AK2049" s="685">
        <f t="shared" si="46"/>
        <v>0</v>
      </c>
    </row>
    <row r="2050" spans="37:37" x14ac:dyDescent="0.2">
      <c r="AK2050" s="685">
        <f t="shared" si="46"/>
        <v>0</v>
      </c>
    </row>
    <row r="2051" spans="37:37" x14ac:dyDescent="0.2">
      <c r="AK2051" s="685">
        <f t="shared" si="46"/>
        <v>0</v>
      </c>
    </row>
    <row r="2052" spans="37:37" x14ac:dyDescent="0.2">
      <c r="AK2052" s="685">
        <f t="shared" si="46"/>
        <v>0</v>
      </c>
    </row>
    <row r="2053" spans="37:37" x14ac:dyDescent="0.2">
      <c r="AK2053" s="685">
        <f t="shared" si="46"/>
        <v>0</v>
      </c>
    </row>
    <row r="2054" spans="37:37" x14ac:dyDescent="0.2">
      <c r="AK2054" s="685">
        <f t="shared" si="46"/>
        <v>0</v>
      </c>
    </row>
    <row r="2055" spans="37:37" x14ac:dyDescent="0.2">
      <c r="AK2055" s="685">
        <f t="shared" si="46"/>
        <v>0</v>
      </c>
    </row>
    <row r="2056" spans="37:37" x14ac:dyDescent="0.2">
      <c r="AK2056" s="685">
        <f t="shared" si="46"/>
        <v>0</v>
      </c>
    </row>
    <row r="2057" spans="37:37" x14ac:dyDescent="0.2">
      <c r="AK2057" s="685">
        <f t="shared" si="46"/>
        <v>0</v>
      </c>
    </row>
    <row r="2058" spans="37:37" x14ac:dyDescent="0.2">
      <c r="AK2058" s="685">
        <f t="shared" si="46"/>
        <v>0</v>
      </c>
    </row>
    <row r="2059" spans="37:37" x14ac:dyDescent="0.2">
      <c r="AK2059" s="685">
        <f t="shared" si="46"/>
        <v>0</v>
      </c>
    </row>
    <row r="2060" spans="37:37" x14ac:dyDescent="0.2">
      <c r="AK2060" s="685">
        <f t="shared" si="46"/>
        <v>0</v>
      </c>
    </row>
    <row r="2061" spans="37:37" x14ac:dyDescent="0.2">
      <c r="AK2061" s="685">
        <f t="shared" si="46"/>
        <v>0</v>
      </c>
    </row>
    <row r="2062" spans="37:37" x14ac:dyDescent="0.2">
      <c r="AK2062" s="685">
        <f t="shared" si="46"/>
        <v>0</v>
      </c>
    </row>
    <row r="2063" spans="37:37" x14ac:dyDescent="0.2">
      <c r="AK2063" s="685">
        <f t="shared" si="46"/>
        <v>0</v>
      </c>
    </row>
    <row r="2064" spans="37:37" x14ac:dyDescent="0.2">
      <c r="AK2064" s="685">
        <f t="shared" si="46"/>
        <v>0</v>
      </c>
    </row>
    <row r="2065" spans="37:37" x14ac:dyDescent="0.2">
      <c r="AK2065" s="685">
        <f t="shared" si="46"/>
        <v>0</v>
      </c>
    </row>
    <row r="2066" spans="37:37" x14ac:dyDescent="0.2">
      <c r="AK2066" s="685">
        <f t="shared" si="46"/>
        <v>0</v>
      </c>
    </row>
    <row r="2067" spans="37:37" x14ac:dyDescent="0.2">
      <c r="AK2067" s="685">
        <f t="shared" si="46"/>
        <v>0</v>
      </c>
    </row>
    <row r="2068" spans="37:37" x14ac:dyDescent="0.2">
      <c r="AK2068" s="685">
        <f t="shared" si="46"/>
        <v>0</v>
      </c>
    </row>
    <row r="2069" spans="37:37" x14ac:dyDescent="0.2">
      <c r="AK2069" s="685">
        <f t="shared" si="46"/>
        <v>0</v>
      </c>
    </row>
    <row r="2070" spans="37:37" x14ac:dyDescent="0.2">
      <c r="AK2070" s="685">
        <f t="shared" si="46"/>
        <v>0</v>
      </c>
    </row>
    <row r="2071" spans="37:37" x14ac:dyDescent="0.2">
      <c r="AK2071" s="685">
        <f t="shared" si="46"/>
        <v>0</v>
      </c>
    </row>
    <row r="2072" spans="37:37" x14ac:dyDescent="0.2">
      <c r="AK2072" s="685">
        <f t="shared" ref="AK2072:AK2135" si="47">SUM(O2072:AJ2072)</f>
        <v>0</v>
      </c>
    </row>
    <row r="2073" spans="37:37" x14ac:dyDescent="0.2">
      <c r="AK2073" s="685">
        <f t="shared" si="47"/>
        <v>0</v>
      </c>
    </row>
    <row r="2074" spans="37:37" x14ac:dyDescent="0.2">
      <c r="AK2074" s="685">
        <f t="shared" si="47"/>
        <v>0</v>
      </c>
    </row>
    <row r="2075" spans="37:37" x14ac:dyDescent="0.2">
      <c r="AK2075" s="685">
        <f t="shared" si="47"/>
        <v>0</v>
      </c>
    </row>
    <row r="2076" spans="37:37" x14ac:dyDescent="0.2">
      <c r="AK2076" s="685">
        <f t="shared" si="47"/>
        <v>0</v>
      </c>
    </row>
    <row r="2077" spans="37:37" x14ac:dyDescent="0.2">
      <c r="AK2077" s="685">
        <f t="shared" si="47"/>
        <v>0</v>
      </c>
    </row>
    <row r="2078" spans="37:37" x14ac:dyDescent="0.2">
      <c r="AK2078" s="685">
        <f t="shared" si="47"/>
        <v>0</v>
      </c>
    </row>
    <row r="2079" spans="37:37" x14ac:dyDescent="0.2">
      <c r="AK2079" s="685">
        <f t="shared" si="47"/>
        <v>0</v>
      </c>
    </row>
    <row r="2080" spans="37:37" x14ac:dyDescent="0.2">
      <c r="AK2080" s="685">
        <f t="shared" si="47"/>
        <v>0</v>
      </c>
    </row>
    <row r="2081" spans="37:37" x14ac:dyDescent="0.2">
      <c r="AK2081" s="685">
        <f t="shared" si="47"/>
        <v>0</v>
      </c>
    </row>
    <row r="2082" spans="37:37" x14ac:dyDescent="0.2">
      <c r="AK2082" s="685">
        <f t="shared" si="47"/>
        <v>0</v>
      </c>
    </row>
    <row r="2083" spans="37:37" x14ac:dyDescent="0.2">
      <c r="AK2083" s="685">
        <f t="shared" si="47"/>
        <v>0</v>
      </c>
    </row>
    <row r="2084" spans="37:37" x14ac:dyDescent="0.2">
      <c r="AK2084" s="685">
        <f t="shared" si="47"/>
        <v>0</v>
      </c>
    </row>
    <row r="2085" spans="37:37" x14ac:dyDescent="0.2">
      <c r="AK2085" s="685">
        <f t="shared" si="47"/>
        <v>0</v>
      </c>
    </row>
    <row r="2086" spans="37:37" x14ac:dyDescent="0.2">
      <c r="AK2086" s="685">
        <f t="shared" si="47"/>
        <v>0</v>
      </c>
    </row>
    <row r="2087" spans="37:37" x14ac:dyDescent="0.2">
      <c r="AK2087" s="685">
        <f t="shared" si="47"/>
        <v>0</v>
      </c>
    </row>
    <row r="2088" spans="37:37" x14ac:dyDescent="0.2">
      <c r="AK2088" s="685">
        <f t="shared" si="47"/>
        <v>0</v>
      </c>
    </row>
    <row r="2089" spans="37:37" x14ac:dyDescent="0.2">
      <c r="AK2089" s="685">
        <f t="shared" si="47"/>
        <v>0</v>
      </c>
    </row>
    <row r="2090" spans="37:37" x14ac:dyDescent="0.2">
      <c r="AK2090" s="685">
        <f t="shared" si="47"/>
        <v>0</v>
      </c>
    </row>
    <row r="2091" spans="37:37" x14ac:dyDescent="0.2">
      <c r="AK2091" s="685">
        <f t="shared" si="47"/>
        <v>0</v>
      </c>
    </row>
    <row r="2092" spans="37:37" x14ac:dyDescent="0.2">
      <c r="AK2092" s="685">
        <f t="shared" si="47"/>
        <v>0</v>
      </c>
    </row>
    <row r="2093" spans="37:37" x14ac:dyDescent="0.2">
      <c r="AK2093" s="685">
        <f t="shared" si="47"/>
        <v>0</v>
      </c>
    </row>
    <row r="2094" spans="37:37" x14ac:dyDescent="0.2">
      <c r="AK2094" s="685">
        <f t="shared" si="47"/>
        <v>0</v>
      </c>
    </row>
    <row r="2095" spans="37:37" x14ac:dyDescent="0.2">
      <c r="AK2095" s="685">
        <f t="shared" si="47"/>
        <v>0</v>
      </c>
    </row>
    <row r="2096" spans="37:37" x14ac:dyDescent="0.2">
      <c r="AK2096" s="685">
        <f t="shared" si="47"/>
        <v>0</v>
      </c>
    </row>
    <row r="2097" spans="37:37" x14ac:dyDescent="0.2">
      <c r="AK2097" s="685">
        <f t="shared" si="47"/>
        <v>0</v>
      </c>
    </row>
    <row r="2098" spans="37:37" x14ac:dyDescent="0.2">
      <c r="AK2098" s="685">
        <f t="shared" si="47"/>
        <v>0</v>
      </c>
    </row>
    <row r="2099" spans="37:37" x14ac:dyDescent="0.2">
      <c r="AK2099" s="685">
        <f t="shared" si="47"/>
        <v>0</v>
      </c>
    </row>
    <row r="2100" spans="37:37" x14ac:dyDescent="0.2">
      <c r="AK2100" s="685">
        <f t="shared" si="47"/>
        <v>0</v>
      </c>
    </row>
    <row r="2101" spans="37:37" x14ac:dyDescent="0.2">
      <c r="AK2101" s="685">
        <f t="shared" si="47"/>
        <v>0</v>
      </c>
    </row>
    <row r="2102" spans="37:37" x14ac:dyDescent="0.2">
      <c r="AK2102" s="685">
        <f t="shared" si="47"/>
        <v>0</v>
      </c>
    </row>
    <row r="2103" spans="37:37" x14ac:dyDescent="0.2">
      <c r="AK2103" s="685">
        <f t="shared" si="47"/>
        <v>0</v>
      </c>
    </row>
    <row r="2104" spans="37:37" x14ac:dyDescent="0.2">
      <c r="AK2104" s="685">
        <f t="shared" si="47"/>
        <v>0</v>
      </c>
    </row>
    <row r="2105" spans="37:37" x14ac:dyDescent="0.2">
      <c r="AK2105" s="685">
        <f t="shared" si="47"/>
        <v>0</v>
      </c>
    </row>
    <row r="2106" spans="37:37" x14ac:dyDescent="0.2">
      <c r="AK2106" s="685">
        <f t="shared" si="47"/>
        <v>0</v>
      </c>
    </row>
    <row r="2107" spans="37:37" x14ac:dyDescent="0.2">
      <c r="AK2107" s="685">
        <f t="shared" si="47"/>
        <v>0</v>
      </c>
    </row>
    <row r="2108" spans="37:37" x14ac:dyDescent="0.2">
      <c r="AK2108" s="685">
        <f t="shared" si="47"/>
        <v>0</v>
      </c>
    </row>
    <row r="2109" spans="37:37" x14ac:dyDescent="0.2">
      <c r="AK2109" s="685">
        <f t="shared" si="47"/>
        <v>0</v>
      </c>
    </row>
    <row r="2110" spans="37:37" x14ac:dyDescent="0.2">
      <c r="AK2110" s="685">
        <f t="shared" si="47"/>
        <v>0</v>
      </c>
    </row>
    <row r="2111" spans="37:37" x14ac:dyDescent="0.2">
      <c r="AK2111" s="685">
        <f t="shared" si="47"/>
        <v>0</v>
      </c>
    </row>
    <row r="2112" spans="37:37" x14ac:dyDescent="0.2">
      <c r="AK2112" s="685">
        <f t="shared" si="47"/>
        <v>0</v>
      </c>
    </row>
    <row r="2113" spans="37:37" x14ac:dyDescent="0.2">
      <c r="AK2113" s="685">
        <f t="shared" si="47"/>
        <v>0</v>
      </c>
    </row>
    <row r="2114" spans="37:37" x14ac:dyDescent="0.2">
      <c r="AK2114" s="685">
        <f t="shared" si="47"/>
        <v>0</v>
      </c>
    </row>
    <row r="2115" spans="37:37" x14ac:dyDescent="0.2">
      <c r="AK2115" s="685">
        <f t="shared" si="47"/>
        <v>0</v>
      </c>
    </row>
    <row r="2116" spans="37:37" x14ac:dyDescent="0.2">
      <c r="AK2116" s="685">
        <f t="shared" si="47"/>
        <v>0</v>
      </c>
    </row>
    <row r="2117" spans="37:37" x14ac:dyDescent="0.2">
      <c r="AK2117" s="685">
        <f t="shared" si="47"/>
        <v>0</v>
      </c>
    </row>
    <row r="2118" spans="37:37" x14ac:dyDescent="0.2">
      <c r="AK2118" s="685">
        <f t="shared" si="47"/>
        <v>0</v>
      </c>
    </row>
    <row r="2119" spans="37:37" x14ac:dyDescent="0.2">
      <c r="AK2119" s="685">
        <f t="shared" si="47"/>
        <v>0</v>
      </c>
    </row>
    <row r="2120" spans="37:37" x14ac:dyDescent="0.2">
      <c r="AK2120" s="685">
        <f t="shared" si="47"/>
        <v>0</v>
      </c>
    </row>
    <row r="2121" spans="37:37" x14ac:dyDescent="0.2">
      <c r="AK2121" s="685">
        <f t="shared" si="47"/>
        <v>0</v>
      </c>
    </row>
    <row r="2122" spans="37:37" x14ac:dyDescent="0.2">
      <c r="AK2122" s="685">
        <f t="shared" si="47"/>
        <v>0</v>
      </c>
    </row>
    <row r="2123" spans="37:37" x14ac:dyDescent="0.2">
      <c r="AK2123" s="685">
        <f t="shared" si="47"/>
        <v>0</v>
      </c>
    </row>
    <row r="2124" spans="37:37" x14ac:dyDescent="0.2">
      <c r="AK2124" s="685">
        <f t="shared" si="47"/>
        <v>0</v>
      </c>
    </row>
    <row r="2125" spans="37:37" x14ac:dyDescent="0.2">
      <c r="AK2125" s="685">
        <f t="shared" si="47"/>
        <v>0</v>
      </c>
    </row>
    <row r="2126" spans="37:37" x14ac:dyDescent="0.2">
      <c r="AK2126" s="685">
        <f t="shared" si="47"/>
        <v>0</v>
      </c>
    </row>
    <row r="2127" spans="37:37" x14ac:dyDescent="0.2">
      <c r="AK2127" s="685">
        <f t="shared" si="47"/>
        <v>0</v>
      </c>
    </row>
    <row r="2128" spans="37:37" x14ac:dyDescent="0.2">
      <c r="AK2128" s="685">
        <f t="shared" si="47"/>
        <v>0</v>
      </c>
    </row>
    <row r="2129" spans="37:37" x14ac:dyDescent="0.2">
      <c r="AK2129" s="685">
        <f t="shared" si="47"/>
        <v>0</v>
      </c>
    </row>
    <row r="2130" spans="37:37" x14ac:dyDescent="0.2">
      <c r="AK2130" s="685">
        <f t="shared" si="47"/>
        <v>0</v>
      </c>
    </row>
    <row r="2131" spans="37:37" x14ac:dyDescent="0.2">
      <c r="AK2131" s="685">
        <f t="shared" si="47"/>
        <v>0</v>
      </c>
    </row>
    <row r="2132" spans="37:37" x14ac:dyDescent="0.2">
      <c r="AK2132" s="685">
        <f t="shared" si="47"/>
        <v>0</v>
      </c>
    </row>
    <row r="2133" spans="37:37" x14ac:dyDescent="0.2">
      <c r="AK2133" s="685">
        <f t="shared" si="47"/>
        <v>0</v>
      </c>
    </row>
    <row r="2134" spans="37:37" x14ac:dyDescent="0.2">
      <c r="AK2134" s="685">
        <f t="shared" si="47"/>
        <v>0</v>
      </c>
    </row>
    <row r="2135" spans="37:37" x14ac:dyDescent="0.2">
      <c r="AK2135" s="685">
        <f t="shared" si="47"/>
        <v>0</v>
      </c>
    </row>
    <row r="2136" spans="37:37" x14ac:dyDescent="0.2">
      <c r="AK2136" s="685">
        <f t="shared" ref="AK2136:AK2199" si="48">SUM(O2136:AJ2136)</f>
        <v>0</v>
      </c>
    </row>
    <row r="2137" spans="37:37" x14ac:dyDescent="0.2">
      <c r="AK2137" s="685">
        <f t="shared" si="48"/>
        <v>0</v>
      </c>
    </row>
    <row r="2138" spans="37:37" x14ac:dyDescent="0.2">
      <c r="AK2138" s="685">
        <f t="shared" si="48"/>
        <v>0</v>
      </c>
    </row>
    <row r="2139" spans="37:37" x14ac:dyDescent="0.2">
      <c r="AK2139" s="685">
        <f t="shared" si="48"/>
        <v>0</v>
      </c>
    </row>
    <row r="2140" spans="37:37" x14ac:dyDescent="0.2">
      <c r="AK2140" s="685">
        <f t="shared" si="48"/>
        <v>0</v>
      </c>
    </row>
    <row r="2141" spans="37:37" x14ac:dyDescent="0.2">
      <c r="AK2141" s="685">
        <f t="shared" si="48"/>
        <v>0</v>
      </c>
    </row>
    <row r="2142" spans="37:37" x14ac:dyDescent="0.2">
      <c r="AK2142" s="685">
        <f t="shared" si="48"/>
        <v>0</v>
      </c>
    </row>
    <row r="2143" spans="37:37" x14ac:dyDescent="0.2">
      <c r="AK2143" s="685">
        <f t="shared" si="48"/>
        <v>0</v>
      </c>
    </row>
    <row r="2144" spans="37:37" x14ac:dyDescent="0.2">
      <c r="AK2144" s="685">
        <f t="shared" si="48"/>
        <v>0</v>
      </c>
    </row>
    <row r="2145" spans="37:37" x14ac:dyDescent="0.2">
      <c r="AK2145" s="685">
        <f t="shared" si="48"/>
        <v>0</v>
      </c>
    </row>
    <row r="2146" spans="37:37" x14ac:dyDescent="0.2">
      <c r="AK2146" s="685">
        <f t="shared" si="48"/>
        <v>0</v>
      </c>
    </row>
    <row r="2147" spans="37:37" x14ac:dyDescent="0.2">
      <c r="AK2147" s="685">
        <f t="shared" si="48"/>
        <v>0</v>
      </c>
    </row>
    <row r="2148" spans="37:37" x14ac:dyDescent="0.2">
      <c r="AK2148" s="685">
        <f t="shared" si="48"/>
        <v>0</v>
      </c>
    </row>
    <row r="2149" spans="37:37" x14ac:dyDescent="0.2">
      <c r="AK2149" s="685">
        <f t="shared" si="48"/>
        <v>0</v>
      </c>
    </row>
    <row r="2150" spans="37:37" x14ac:dyDescent="0.2">
      <c r="AK2150" s="685">
        <f t="shared" si="48"/>
        <v>0</v>
      </c>
    </row>
    <row r="2151" spans="37:37" x14ac:dyDescent="0.2">
      <c r="AK2151" s="685">
        <f t="shared" si="48"/>
        <v>0</v>
      </c>
    </row>
    <row r="2152" spans="37:37" x14ac:dyDescent="0.2">
      <c r="AK2152" s="685">
        <f t="shared" si="48"/>
        <v>0</v>
      </c>
    </row>
    <row r="2153" spans="37:37" x14ac:dyDescent="0.2">
      <c r="AK2153" s="685">
        <f t="shared" si="48"/>
        <v>0</v>
      </c>
    </row>
    <row r="2154" spans="37:37" x14ac:dyDescent="0.2">
      <c r="AK2154" s="685">
        <f t="shared" si="48"/>
        <v>0</v>
      </c>
    </row>
    <row r="2155" spans="37:37" x14ac:dyDescent="0.2">
      <c r="AK2155" s="685">
        <f t="shared" si="48"/>
        <v>0</v>
      </c>
    </row>
    <row r="2156" spans="37:37" x14ac:dyDescent="0.2">
      <c r="AK2156" s="685">
        <f t="shared" si="48"/>
        <v>0</v>
      </c>
    </row>
    <row r="2157" spans="37:37" x14ac:dyDescent="0.2">
      <c r="AK2157" s="685">
        <f t="shared" si="48"/>
        <v>0</v>
      </c>
    </row>
    <row r="2158" spans="37:37" x14ac:dyDescent="0.2">
      <c r="AK2158" s="685">
        <f t="shared" si="48"/>
        <v>0</v>
      </c>
    </row>
    <row r="2159" spans="37:37" x14ac:dyDescent="0.2">
      <c r="AK2159" s="685">
        <f t="shared" si="48"/>
        <v>0</v>
      </c>
    </row>
    <row r="2160" spans="37:37" x14ac:dyDescent="0.2">
      <c r="AK2160" s="685">
        <f t="shared" si="48"/>
        <v>0</v>
      </c>
    </row>
    <row r="2161" spans="37:37" x14ac:dyDescent="0.2">
      <c r="AK2161" s="685">
        <f t="shared" si="48"/>
        <v>0</v>
      </c>
    </row>
    <row r="2162" spans="37:37" x14ac:dyDescent="0.2">
      <c r="AK2162" s="685">
        <f t="shared" si="48"/>
        <v>0</v>
      </c>
    </row>
    <row r="2163" spans="37:37" x14ac:dyDescent="0.2">
      <c r="AK2163" s="685">
        <f t="shared" si="48"/>
        <v>0</v>
      </c>
    </row>
    <row r="2164" spans="37:37" x14ac:dyDescent="0.2">
      <c r="AK2164" s="685">
        <f t="shared" si="48"/>
        <v>0</v>
      </c>
    </row>
    <row r="2165" spans="37:37" x14ac:dyDescent="0.2">
      <c r="AK2165" s="685">
        <f t="shared" si="48"/>
        <v>0</v>
      </c>
    </row>
    <row r="2166" spans="37:37" x14ac:dyDescent="0.2">
      <c r="AK2166" s="685">
        <f t="shared" si="48"/>
        <v>0</v>
      </c>
    </row>
    <row r="2167" spans="37:37" x14ac:dyDescent="0.2">
      <c r="AK2167" s="685">
        <f t="shared" si="48"/>
        <v>0</v>
      </c>
    </row>
    <row r="2168" spans="37:37" x14ac:dyDescent="0.2">
      <c r="AK2168" s="685">
        <f t="shared" si="48"/>
        <v>0</v>
      </c>
    </row>
    <row r="2169" spans="37:37" x14ac:dyDescent="0.2">
      <c r="AK2169" s="685">
        <f t="shared" si="48"/>
        <v>0</v>
      </c>
    </row>
    <row r="2170" spans="37:37" x14ac:dyDescent="0.2">
      <c r="AK2170" s="685">
        <f t="shared" si="48"/>
        <v>0</v>
      </c>
    </row>
    <row r="2171" spans="37:37" x14ac:dyDescent="0.2">
      <c r="AK2171" s="685">
        <f t="shared" si="48"/>
        <v>0</v>
      </c>
    </row>
    <row r="2172" spans="37:37" x14ac:dyDescent="0.2">
      <c r="AK2172" s="685">
        <f t="shared" si="48"/>
        <v>0</v>
      </c>
    </row>
    <row r="2173" spans="37:37" x14ac:dyDescent="0.2">
      <c r="AK2173" s="685">
        <f t="shared" si="48"/>
        <v>0</v>
      </c>
    </row>
    <row r="2174" spans="37:37" x14ac:dyDescent="0.2">
      <c r="AK2174" s="685">
        <f t="shared" si="48"/>
        <v>0</v>
      </c>
    </row>
    <row r="2175" spans="37:37" x14ac:dyDescent="0.2">
      <c r="AK2175" s="685">
        <f t="shared" si="48"/>
        <v>0</v>
      </c>
    </row>
    <row r="2176" spans="37:37" x14ac:dyDescent="0.2">
      <c r="AK2176" s="685">
        <f t="shared" si="48"/>
        <v>0</v>
      </c>
    </row>
    <row r="2177" spans="37:37" x14ac:dyDescent="0.2">
      <c r="AK2177" s="685">
        <f t="shared" si="48"/>
        <v>0</v>
      </c>
    </row>
    <row r="2178" spans="37:37" x14ac:dyDescent="0.2">
      <c r="AK2178" s="685">
        <f t="shared" si="48"/>
        <v>0</v>
      </c>
    </row>
    <row r="2179" spans="37:37" x14ac:dyDescent="0.2">
      <c r="AK2179" s="685">
        <f t="shared" si="48"/>
        <v>0</v>
      </c>
    </row>
    <row r="2180" spans="37:37" x14ac:dyDescent="0.2">
      <c r="AK2180" s="685">
        <f t="shared" si="48"/>
        <v>0</v>
      </c>
    </row>
    <row r="2181" spans="37:37" x14ac:dyDescent="0.2">
      <c r="AK2181" s="685">
        <f t="shared" si="48"/>
        <v>0</v>
      </c>
    </row>
    <row r="2182" spans="37:37" x14ac:dyDescent="0.2">
      <c r="AK2182" s="685">
        <f t="shared" si="48"/>
        <v>0</v>
      </c>
    </row>
    <row r="2183" spans="37:37" x14ac:dyDescent="0.2">
      <c r="AK2183" s="685">
        <f t="shared" si="48"/>
        <v>0</v>
      </c>
    </row>
    <row r="2184" spans="37:37" x14ac:dyDescent="0.2">
      <c r="AK2184" s="685">
        <f t="shared" si="48"/>
        <v>0</v>
      </c>
    </row>
    <row r="2185" spans="37:37" x14ac:dyDescent="0.2">
      <c r="AK2185" s="685">
        <f t="shared" si="48"/>
        <v>0</v>
      </c>
    </row>
    <row r="2186" spans="37:37" x14ac:dyDescent="0.2">
      <c r="AK2186" s="685">
        <f t="shared" si="48"/>
        <v>0</v>
      </c>
    </row>
    <row r="2187" spans="37:37" x14ac:dyDescent="0.2">
      <c r="AK2187" s="685">
        <f t="shared" si="48"/>
        <v>0</v>
      </c>
    </row>
    <row r="2188" spans="37:37" x14ac:dyDescent="0.2">
      <c r="AK2188" s="685">
        <f t="shared" si="48"/>
        <v>0</v>
      </c>
    </row>
    <row r="2189" spans="37:37" x14ac:dyDescent="0.2">
      <c r="AK2189" s="685">
        <f t="shared" si="48"/>
        <v>0</v>
      </c>
    </row>
    <row r="2190" spans="37:37" x14ac:dyDescent="0.2">
      <c r="AK2190" s="685">
        <f t="shared" si="48"/>
        <v>0</v>
      </c>
    </row>
    <row r="2191" spans="37:37" x14ac:dyDescent="0.2">
      <c r="AK2191" s="685">
        <f t="shared" si="48"/>
        <v>0</v>
      </c>
    </row>
    <row r="2192" spans="37:37" x14ac:dyDescent="0.2">
      <c r="AK2192" s="685">
        <f t="shared" si="48"/>
        <v>0</v>
      </c>
    </row>
    <row r="2193" spans="37:37" x14ac:dyDescent="0.2">
      <c r="AK2193" s="685">
        <f t="shared" si="48"/>
        <v>0</v>
      </c>
    </row>
    <row r="2194" spans="37:37" x14ac:dyDescent="0.2">
      <c r="AK2194" s="685">
        <f t="shared" si="48"/>
        <v>0</v>
      </c>
    </row>
    <row r="2195" spans="37:37" x14ac:dyDescent="0.2">
      <c r="AK2195" s="685">
        <f t="shared" si="48"/>
        <v>0</v>
      </c>
    </row>
    <row r="2196" spans="37:37" x14ac:dyDescent="0.2">
      <c r="AK2196" s="685">
        <f t="shared" si="48"/>
        <v>0</v>
      </c>
    </row>
    <row r="2197" spans="37:37" x14ac:dyDescent="0.2">
      <c r="AK2197" s="685">
        <f t="shared" si="48"/>
        <v>0</v>
      </c>
    </row>
    <row r="2198" spans="37:37" x14ac:dyDescent="0.2">
      <c r="AK2198" s="685">
        <f t="shared" si="48"/>
        <v>0</v>
      </c>
    </row>
    <row r="2199" spans="37:37" x14ac:dyDescent="0.2">
      <c r="AK2199" s="685">
        <f t="shared" si="48"/>
        <v>0</v>
      </c>
    </row>
    <row r="2200" spans="37:37" x14ac:dyDescent="0.2">
      <c r="AK2200" s="685">
        <f t="shared" ref="AK2200:AK2263" si="49">SUM(O2200:AJ2200)</f>
        <v>0</v>
      </c>
    </row>
    <row r="2201" spans="37:37" x14ac:dyDescent="0.2">
      <c r="AK2201" s="685">
        <f t="shared" si="49"/>
        <v>0</v>
      </c>
    </row>
    <row r="2202" spans="37:37" x14ac:dyDescent="0.2">
      <c r="AK2202" s="685">
        <f t="shared" si="49"/>
        <v>0</v>
      </c>
    </row>
    <row r="2203" spans="37:37" x14ac:dyDescent="0.2">
      <c r="AK2203" s="685">
        <f t="shared" si="49"/>
        <v>0</v>
      </c>
    </row>
    <row r="2204" spans="37:37" x14ac:dyDescent="0.2">
      <c r="AK2204" s="685">
        <f t="shared" si="49"/>
        <v>0</v>
      </c>
    </row>
    <row r="2205" spans="37:37" x14ac:dyDescent="0.2">
      <c r="AK2205" s="685">
        <f t="shared" si="49"/>
        <v>0</v>
      </c>
    </row>
    <row r="2206" spans="37:37" x14ac:dyDescent="0.2">
      <c r="AK2206" s="685">
        <f t="shared" si="49"/>
        <v>0</v>
      </c>
    </row>
    <row r="2207" spans="37:37" x14ac:dyDescent="0.2">
      <c r="AK2207" s="685">
        <f t="shared" si="49"/>
        <v>0</v>
      </c>
    </row>
    <row r="2208" spans="37:37" x14ac:dyDescent="0.2">
      <c r="AK2208" s="685">
        <f t="shared" si="49"/>
        <v>0</v>
      </c>
    </row>
    <row r="2209" spans="37:37" x14ac:dyDescent="0.2">
      <c r="AK2209" s="685">
        <f t="shared" si="49"/>
        <v>0</v>
      </c>
    </row>
    <row r="2210" spans="37:37" x14ac:dyDescent="0.2">
      <c r="AK2210" s="685">
        <f t="shared" si="49"/>
        <v>0</v>
      </c>
    </row>
    <row r="2211" spans="37:37" x14ac:dyDescent="0.2">
      <c r="AK2211" s="685">
        <f t="shared" si="49"/>
        <v>0</v>
      </c>
    </row>
    <row r="2212" spans="37:37" x14ac:dyDescent="0.2">
      <c r="AK2212" s="685">
        <f t="shared" si="49"/>
        <v>0</v>
      </c>
    </row>
    <row r="2213" spans="37:37" x14ac:dyDescent="0.2">
      <c r="AK2213" s="685">
        <f t="shared" si="49"/>
        <v>0</v>
      </c>
    </row>
    <row r="2214" spans="37:37" x14ac:dyDescent="0.2">
      <c r="AK2214" s="685">
        <f t="shared" si="49"/>
        <v>0</v>
      </c>
    </row>
    <row r="2215" spans="37:37" x14ac:dyDescent="0.2">
      <c r="AK2215" s="685">
        <f t="shared" si="49"/>
        <v>0</v>
      </c>
    </row>
    <row r="2216" spans="37:37" x14ac:dyDescent="0.2">
      <c r="AK2216" s="685">
        <f t="shared" si="49"/>
        <v>0</v>
      </c>
    </row>
    <row r="2217" spans="37:37" x14ac:dyDescent="0.2">
      <c r="AK2217" s="685">
        <f t="shared" si="49"/>
        <v>0</v>
      </c>
    </row>
    <row r="2218" spans="37:37" x14ac:dyDescent="0.2">
      <c r="AK2218" s="685">
        <f t="shared" si="49"/>
        <v>0</v>
      </c>
    </row>
    <row r="2219" spans="37:37" x14ac:dyDescent="0.2">
      <c r="AK2219" s="685">
        <f t="shared" si="49"/>
        <v>0</v>
      </c>
    </row>
    <row r="2220" spans="37:37" x14ac:dyDescent="0.2">
      <c r="AK2220" s="685">
        <f t="shared" si="49"/>
        <v>0</v>
      </c>
    </row>
    <row r="2221" spans="37:37" x14ac:dyDescent="0.2">
      <c r="AK2221" s="685">
        <f t="shared" si="49"/>
        <v>0</v>
      </c>
    </row>
    <row r="2222" spans="37:37" x14ac:dyDescent="0.2">
      <c r="AK2222" s="685">
        <f t="shared" si="49"/>
        <v>0</v>
      </c>
    </row>
    <row r="2223" spans="37:37" x14ac:dyDescent="0.2">
      <c r="AK2223" s="685">
        <f t="shared" si="49"/>
        <v>0</v>
      </c>
    </row>
    <row r="2224" spans="37:37" x14ac:dyDescent="0.2">
      <c r="AK2224" s="685">
        <f t="shared" si="49"/>
        <v>0</v>
      </c>
    </row>
    <row r="2225" spans="37:37" x14ac:dyDescent="0.2">
      <c r="AK2225" s="685">
        <f t="shared" si="49"/>
        <v>0</v>
      </c>
    </row>
    <row r="2226" spans="37:37" x14ac:dyDescent="0.2">
      <c r="AK2226" s="685">
        <f t="shared" si="49"/>
        <v>0</v>
      </c>
    </row>
    <row r="2227" spans="37:37" x14ac:dyDescent="0.2">
      <c r="AK2227" s="685">
        <f t="shared" si="49"/>
        <v>0</v>
      </c>
    </row>
    <row r="2228" spans="37:37" x14ac:dyDescent="0.2">
      <c r="AK2228" s="685">
        <f t="shared" si="49"/>
        <v>0</v>
      </c>
    </row>
    <row r="2229" spans="37:37" x14ac:dyDescent="0.2">
      <c r="AK2229" s="685">
        <f t="shared" si="49"/>
        <v>0</v>
      </c>
    </row>
    <row r="2230" spans="37:37" x14ac:dyDescent="0.2">
      <c r="AK2230" s="685">
        <f t="shared" si="49"/>
        <v>0</v>
      </c>
    </row>
    <row r="2231" spans="37:37" x14ac:dyDescent="0.2">
      <c r="AK2231" s="685">
        <f t="shared" si="49"/>
        <v>0</v>
      </c>
    </row>
    <row r="2232" spans="37:37" x14ac:dyDescent="0.2">
      <c r="AK2232" s="685">
        <f t="shared" si="49"/>
        <v>0</v>
      </c>
    </row>
    <row r="2233" spans="37:37" x14ac:dyDescent="0.2">
      <c r="AK2233" s="685">
        <f t="shared" si="49"/>
        <v>0</v>
      </c>
    </row>
    <row r="2234" spans="37:37" x14ac:dyDescent="0.2">
      <c r="AK2234" s="685">
        <f t="shared" si="49"/>
        <v>0</v>
      </c>
    </row>
    <row r="2235" spans="37:37" x14ac:dyDescent="0.2">
      <c r="AK2235" s="685">
        <f t="shared" si="49"/>
        <v>0</v>
      </c>
    </row>
    <row r="2236" spans="37:37" x14ac:dyDescent="0.2">
      <c r="AK2236" s="685">
        <f t="shared" si="49"/>
        <v>0</v>
      </c>
    </row>
    <row r="2237" spans="37:37" x14ac:dyDescent="0.2">
      <c r="AK2237" s="685">
        <f t="shared" si="49"/>
        <v>0</v>
      </c>
    </row>
    <row r="2238" spans="37:37" x14ac:dyDescent="0.2">
      <c r="AK2238" s="685">
        <f t="shared" si="49"/>
        <v>0</v>
      </c>
    </row>
    <row r="2239" spans="37:37" x14ac:dyDescent="0.2">
      <c r="AK2239" s="685">
        <f t="shared" si="49"/>
        <v>0</v>
      </c>
    </row>
    <row r="2240" spans="37:37" x14ac:dyDescent="0.2">
      <c r="AK2240" s="685">
        <f t="shared" si="49"/>
        <v>0</v>
      </c>
    </row>
    <row r="2241" spans="37:37" x14ac:dyDescent="0.2">
      <c r="AK2241" s="685">
        <f t="shared" si="49"/>
        <v>0</v>
      </c>
    </row>
    <row r="2242" spans="37:37" x14ac:dyDescent="0.2">
      <c r="AK2242" s="685">
        <f t="shared" si="49"/>
        <v>0</v>
      </c>
    </row>
    <row r="2243" spans="37:37" x14ac:dyDescent="0.2">
      <c r="AK2243" s="685">
        <f t="shared" si="49"/>
        <v>0</v>
      </c>
    </row>
    <row r="2244" spans="37:37" x14ac:dyDescent="0.2">
      <c r="AK2244" s="685">
        <f t="shared" si="49"/>
        <v>0</v>
      </c>
    </row>
    <row r="2245" spans="37:37" x14ac:dyDescent="0.2">
      <c r="AK2245" s="685">
        <f t="shared" si="49"/>
        <v>0</v>
      </c>
    </row>
    <row r="2246" spans="37:37" x14ac:dyDescent="0.2">
      <c r="AK2246" s="685">
        <f t="shared" si="49"/>
        <v>0</v>
      </c>
    </row>
    <row r="2247" spans="37:37" x14ac:dyDescent="0.2">
      <c r="AK2247" s="685">
        <f t="shared" si="49"/>
        <v>0</v>
      </c>
    </row>
    <row r="2248" spans="37:37" x14ac:dyDescent="0.2">
      <c r="AK2248" s="685">
        <f t="shared" si="49"/>
        <v>0</v>
      </c>
    </row>
    <row r="2249" spans="37:37" x14ac:dyDescent="0.2">
      <c r="AK2249" s="685">
        <f t="shared" si="49"/>
        <v>0</v>
      </c>
    </row>
    <row r="2250" spans="37:37" x14ac:dyDescent="0.2">
      <c r="AK2250" s="685">
        <f t="shared" si="49"/>
        <v>0</v>
      </c>
    </row>
    <row r="2251" spans="37:37" x14ac:dyDescent="0.2">
      <c r="AK2251" s="685">
        <f t="shared" si="49"/>
        <v>0</v>
      </c>
    </row>
    <row r="2252" spans="37:37" x14ac:dyDescent="0.2">
      <c r="AK2252" s="685">
        <f t="shared" si="49"/>
        <v>0</v>
      </c>
    </row>
    <row r="2253" spans="37:37" x14ac:dyDescent="0.2">
      <c r="AK2253" s="685">
        <f t="shared" si="49"/>
        <v>0</v>
      </c>
    </row>
    <row r="2254" spans="37:37" x14ac:dyDescent="0.2">
      <c r="AK2254" s="685">
        <f t="shared" si="49"/>
        <v>0</v>
      </c>
    </row>
    <row r="2255" spans="37:37" x14ac:dyDescent="0.2">
      <c r="AK2255" s="685">
        <f t="shared" si="49"/>
        <v>0</v>
      </c>
    </row>
    <row r="2256" spans="37:37" x14ac:dyDescent="0.2">
      <c r="AK2256" s="685">
        <f t="shared" si="49"/>
        <v>0</v>
      </c>
    </row>
    <row r="2257" spans="37:37" x14ac:dyDescent="0.2">
      <c r="AK2257" s="685">
        <f t="shared" si="49"/>
        <v>0</v>
      </c>
    </row>
    <row r="2258" spans="37:37" x14ac:dyDescent="0.2">
      <c r="AK2258" s="685">
        <f t="shared" si="49"/>
        <v>0</v>
      </c>
    </row>
    <row r="2259" spans="37:37" x14ac:dyDescent="0.2">
      <c r="AK2259" s="685">
        <f t="shared" si="49"/>
        <v>0</v>
      </c>
    </row>
    <row r="2260" spans="37:37" x14ac:dyDescent="0.2">
      <c r="AK2260" s="685">
        <f t="shared" si="49"/>
        <v>0</v>
      </c>
    </row>
    <row r="2261" spans="37:37" x14ac:dyDescent="0.2">
      <c r="AK2261" s="685">
        <f t="shared" si="49"/>
        <v>0</v>
      </c>
    </row>
    <row r="2262" spans="37:37" x14ac:dyDescent="0.2">
      <c r="AK2262" s="685">
        <f t="shared" si="49"/>
        <v>0</v>
      </c>
    </row>
    <row r="2263" spans="37:37" x14ac:dyDescent="0.2">
      <c r="AK2263" s="685">
        <f t="shared" si="49"/>
        <v>0</v>
      </c>
    </row>
    <row r="2264" spans="37:37" x14ac:dyDescent="0.2">
      <c r="AK2264" s="685">
        <f t="shared" ref="AK2264:AK2327" si="50">SUM(O2264:AJ2264)</f>
        <v>0</v>
      </c>
    </row>
    <row r="2265" spans="37:37" x14ac:dyDescent="0.2">
      <c r="AK2265" s="685">
        <f t="shared" si="50"/>
        <v>0</v>
      </c>
    </row>
    <row r="2266" spans="37:37" x14ac:dyDescent="0.2">
      <c r="AK2266" s="685">
        <f t="shared" si="50"/>
        <v>0</v>
      </c>
    </row>
    <row r="2267" spans="37:37" x14ac:dyDescent="0.2">
      <c r="AK2267" s="685">
        <f t="shared" si="50"/>
        <v>0</v>
      </c>
    </row>
    <row r="2268" spans="37:37" x14ac:dyDescent="0.2">
      <c r="AK2268" s="685">
        <f t="shared" si="50"/>
        <v>0</v>
      </c>
    </row>
    <row r="2269" spans="37:37" x14ac:dyDescent="0.2">
      <c r="AK2269" s="685">
        <f t="shared" si="50"/>
        <v>0</v>
      </c>
    </row>
    <row r="2270" spans="37:37" x14ac:dyDescent="0.2">
      <c r="AK2270" s="685">
        <f t="shared" si="50"/>
        <v>0</v>
      </c>
    </row>
    <row r="2271" spans="37:37" x14ac:dyDescent="0.2">
      <c r="AK2271" s="685">
        <f t="shared" si="50"/>
        <v>0</v>
      </c>
    </row>
    <row r="2272" spans="37:37" x14ac:dyDescent="0.2">
      <c r="AK2272" s="685">
        <f t="shared" si="50"/>
        <v>0</v>
      </c>
    </row>
    <row r="2273" spans="37:37" x14ac:dyDescent="0.2">
      <c r="AK2273" s="685">
        <f t="shared" si="50"/>
        <v>0</v>
      </c>
    </row>
    <row r="2274" spans="37:37" x14ac:dyDescent="0.2">
      <c r="AK2274" s="685">
        <f t="shared" si="50"/>
        <v>0</v>
      </c>
    </row>
    <row r="2275" spans="37:37" x14ac:dyDescent="0.2">
      <c r="AK2275" s="685">
        <f t="shared" si="50"/>
        <v>0</v>
      </c>
    </row>
    <row r="2276" spans="37:37" x14ac:dyDescent="0.2">
      <c r="AK2276" s="685">
        <f t="shared" si="50"/>
        <v>0</v>
      </c>
    </row>
    <row r="2277" spans="37:37" x14ac:dyDescent="0.2">
      <c r="AK2277" s="685">
        <f t="shared" si="50"/>
        <v>0</v>
      </c>
    </row>
    <row r="2278" spans="37:37" x14ac:dyDescent="0.2">
      <c r="AK2278" s="685">
        <f t="shared" si="50"/>
        <v>0</v>
      </c>
    </row>
    <row r="2279" spans="37:37" x14ac:dyDescent="0.2">
      <c r="AK2279" s="685">
        <f t="shared" si="50"/>
        <v>0</v>
      </c>
    </row>
    <row r="2280" spans="37:37" x14ac:dyDescent="0.2">
      <c r="AK2280" s="685">
        <f t="shared" si="50"/>
        <v>0</v>
      </c>
    </row>
    <row r="2281" spans="37:37" x14ac:dyDescent="0.2">
      <c r="AK2281" s="685">
        <f t="shared" si="50"/>
        <v>0</v>
      </c>
    </row>
    <row r="2282" spans="37:37" x14ac:dyDescent="0.2">
      <c r="AK2282" s="685">
        <f t="shared" si="50"/>
        <v>0</v>
      </c>
    </row>
    <row r="2283" spans="37:37" x14ac:dyDescent="0.2">
      <c r="AK2283" s="685">
        <f t="shared" si="50"/>
        <v>0</v>
      </c>
    </row>
    <row r="2284" spans="37:37" x14ac:dyDescent="0.2">
      <c r="AK2284" s="685">
        <f t="shared" si="50"/>
        <v>0</v>
      </c>
    </row>
    <row r="2285" spans="37:37" x14ac:dyDescent="0.2">
      <c r="AK2285" s="685">
        <f t="shared" si="50"/>
        <v>0</v>
      </c>
    </row>
    <row r="2286" spans="37:37" x14ac:dyDescent="0.2">
      <c r="AK2286" s="685">
        <f t="shared" si="50"/>
        <v>0</v>
      </c>
    </row>
    <row r="2287" spans="37:37" x14ac:dyDescent="0.2">
      <c r="AK2287" s="685">
        <f t="shared" si="50"/>
        <v>0</v>
      </c>
    </row>
    <row r="2288" spans="37:37" x14ac:dyDescent="0.2">
      <c r="AK2288" s="685">
        <f t="shared" si="50"/>
        <v>0</v>
      </c>
    </row>
    <row r="2289" spans="37:37" x14ac:dyDescent="0.2">
      <c r="AK2289" s="685">
        <f t="shared" si="50"/>
        <v>0</v>
      </c>
    </row>
    <row r="2290" spans="37:37" x14ac:dyDescent="0.2">
      <c r="AK2290" s="685">
        <f t="shared" si="50"/>
        <v>0</v>
      </c>
    </row>
    <row r="2291" spans="37:37" x14ac:dyDescent="0.2">
      <c r="AK2291" s="685">
        <f t="shared" si="50"/>
        <v>0</v>
      </c>
    </row>
    <row r="2292" spans="37:37" x14ac:dyDescent="0.2">
      <c r="AK2292" s="685">
        <f t="shared" si="50"/>
        <v>0</v>
      </c>
    </row>
    <row r="2293" spans="37:37" x14ac:dyDescent="0.2">
      <c r="AK2293" s="685">
        <f t="shared" si="50"/>
        <v>0</v>
      </c>
    </row>
    <row r="2294" spans="37:37" x14ac:dyDescent="0.2">
      <c r="AK2294" s="685">
        <f t="shared" si="50"/>
        <v>0</v>
      </c>
    </row>
    <row r="2295" spans="37:37" x14ac:dyDescent="0.2">
      <c r="AK2295" s="685">
        <f t="shared" si="50"/>
        <v>0</v>
      </c>
    </row>
    <row r="2296" spans="37:37" x14ac:dyDescent="0.2">
      <c r="AK2296" s="685">
        <f t="shared" si="50"/>
        <v>0</v>
      </c>
    </row>
    <row r="2297" spans="37:37" x14ac:dyDescent="0.2">
      <c r="AK2297" s="685">
        <f t="shared" si="50"/>
        <v>0</v>
      </c>
    </row>
    <row r="2298" spans="37:37" x14ac:dyDescent="0.2">
      <c r="AK2298" s="685">
        <f t="shared" si="50"/>
        <v>0</v>
      </c>
    </row>
    <row r="2299" spans="37:37" x14ac:dyDescent="0.2">
      <c r="AK2299" s="685">
        <f t="shared" si="50"/>
        <v>0</v>
      </c>
    </row>
    <row r="2300" spans="37:37" x14ac:dyDescent="0.2">
      <c r="AK2300" s="685">
        <f t="shared" si="50"/>
        <v>0</v>
      </c>
    </row>
    <row r="2301" spans="37:37" x14ac:dyDescent="0.2">
      <c r="AK2301" s="685">
        <f t="shared" si="50"/>
        <v>0</v>
      </c>
    </row>
    <row r="2302" spans="37:37" x14ac:dyDescent="0.2">
      <c r="AK2302" s="685">
        <f t="shared" si="50"/>
        <v>0</v>
      </c>
    </row>
    <row r="2303" spans="37:37" x14ac:dyDescent="0.2">
      <c r="AK2303" s="685">
        <f t="shared" si="50"/>
        <v>0</v>
      </c>
    </row>
    <row r="2304" spans="37:37" x14ac:dyDescent="0.2">
      <c r="AK2304" s="685">
        <f t="shared" si="50"/>
        <v>0</v>
      </c>
    </row>
    <row r="2305" spans="37:37" x14ac:dyDescent="0.2">
      <c r="AK2305" s="685">
        <f t="shared" si="50"/>
        <v>0</v>
      </c>
    </row>
    <row r="2306" spans="37:37" x14ac:dyDescent="0.2">
      <c r="AK2306" s="685">
        <f t="shared" si="50"/>
        <v>0</v>
      </c>
    </row>
    <row r="2307" spans="37:37" x14ac:dyDescent="0.2">
      <c r="AK2307" s="685">
        <f t="shared" si="50"/>
        <v>0</v>
      </c>
    </row>
    <row r="2308" spans="37:37" x14ac:dyDescent="0.2">
      <c r="AK2308" s="685">
        <f t="shared" si="50"/>
        <v>0</v>
      </c>
    </row>
    <row r="2309" spans="37:37" x14ac:dyDescent="0.2">
      <c r="AK2309" s="685">
        <f t="shared" si="50"/>
        <v>0</v>
      </c>
    </row>
    <row r="2310" spans="37:37" x14ac:dyDescent="0.2">
      <c r="AK2310" s="685">
        <f t="shared" si="50"/>
        <v>0</v>
      </c>
    </row>
    <row r="2311" spans="37:37" x14ac:dyDescent="0.2">
      <c r="AK2311" s="685">
        <f t="shared" si="50"/>
        <v>0</v>
      </c>
    </row>
    <row r="2312" spans="37:37" x14ac:dyDescent="0.2">
      <c r="AK2312" s="685">
        <f t="shared" si="50"/>
        <v>0</v>
      </c>
    </row>
    <row r="2313" spans="37:37" x14ac:dyDescent="0.2">
      <c r="AK2313" s="685">
        <f t="shared" si="50"/>
        <v>0</v>
      </c>
    </row>
    <row r="2314" spans="37:37" x14ac:dyDescent="0.2">
      <c r="AK2314" s="685">
        <f t="shared" si="50"/>
        <v>0</v>
      </c>
    </row>
    <row r="2315" spans="37:37" x14ac:dyDescent="0.2">
      <c r="AK2315" s="685">
        <f t="shared" si="50"/>
        <v>0</v>
      </c>
    </row>
    <row r="2316" spans="37:37" x14ac:dyDescent="0.2">
      <c r="AK2316" s="685">
        <f t="shared" si="50"/>
        <v>0</v>
      </c>
    </row>
    <row r="2317" spans="37:37" x14ac:dyDescent="0.2">
      <c r="AK2317" s="685">
        <f t="shared" si="50"/>
        <v>0</v>
      </c>
    </row>
    <row r="2318" spans="37:37" x14ac:dyDescent="0.2">
      <c r="AK2318" s="685">
        <f t="shared" si="50"/>
        <v>0</v>
      </c>
    </row>
    <row r="2319" spans="37:37" x14ac:dyDescent="0.2">
      <c r="AK2319" s="685">
        <f t="shared" si="50"/>
        <v>0</v>
      </c>
    </row>
    <row r="2320" spans="37:37" x14ac:dyDescent="0.2">
      <c r="AK2320" s="685">
        <f t="shared" si="50"/>
        <v>0</v>
      </c>
    </row>
    <row r="2321" spans="37:37" x14ac:dyDescent="0.2">
      <c r="AK2321" s="685">
        <f t="shared" si="50"/>
        <v>0</v>
      </c>
    </row>
    <row r="2322" spans="37:37" x14ac:dyDescent="0.2">
      <c r="AK2322" s="685">
        <f t="shared" si="50"/>
        <v>0</v>
      </c>
    </row>
    <row r="2323" spans="37:37" x14ac:dyDescent="0.2">
      <c r="AK2323" s="685">
        <f t="shared" si="50"/>
        <v>0</v>
      </c>
    </row>
    <row r="2324" spans="37:37" x14ac:dyDescent="0.2">
      <c r="AK2324" s="685">
        <f t="shared" si="50"/>
        <v>0</v>
      </c>
    </row>
    <row r="2325" spans="37:37" x14ac:dyDescent="0.2">
      <c r="AK2325" s="685">
        <f t="shared" si="50"/>
        <v>0</v>
      </c>
    </row>
    <row r="2326" spans="37:37" x14ac:dyDescent="0.2">
      <c r="AK2326" s="685">
        <f t="shared" si="50"/>
        <v>0</v>
      </c>
    </row>
    <row r="2327" spans="37:37" x14ac:dyDescent="0.2">
      <c r="AK2327" s="685">
        <f t="shared" si="50"/>
        <v>0</v>
      </c>
    </row>
    <row r="2328" spans="37:37" x14ac:dyDescent="0.2">
      <c r="AK2328" s="685">
        <f t="shared" ref="AK2328:AK2391" si="51">SUM(O2328:AJ2328)</f>
        <v>0</v>
      </c>
    </row>
    <row r="2329" spans="37:37" x14ac:dyDescent="0.2">
      <c r="AK2329" s="685">
        <f t="shared" si="51"/>
        <v>0</v>
      </c>
    </row>
    <row r="2330" spans="37:37" x14ac:dyDescent="0.2">
      <c r="AK2330" s="685">
        <f t="shared" si="51"/>
        <v>0</v>
      </c>
    </row>
    <row r="2331" spans="37:37" x14ac:dyDescent="0.2">
      <c r="AK2331" s="685">
        <f t="shared" si="51"/>
        <v>0</v>
      </c>
    </row>
    <row r="2332" spans="37:37" x14ac:dyDescent="0.2">
      <c r="AK2332" s="685">
        <f t="shared" si="51"/>
        <v>0</v>
      </c>
    </row>
    <row r="2333" spans="37:37" x14ac:dyDescent="0.2">
      <c r="AK2333" s="685">
        <f t="shared" si="51"/>
        <v>0</v>
      </c>
    </row>
    <row r="2334" spans="37:37" x14ac:dyDescent="0.2">
      <c r="AK2334" s="685">
        <f t="shared" si="51"/>
        <v>0</v>
      </c>
    </row>
    <row r="2335" spans="37:37" x14ac:dyDescent="0.2">
      <c r="AK2335" s="685">
        <f t="shared" si="51"/>
        <v>0</v>
      </c>
    </row>
    <row r="2336" spans="37:37" x14ac:dyDescent="0.2">
      <c r="AK2336" s="685">
        <f t="shared" si="51"/>
        <v>0</v>
      </c>
    </row>
    <row r="2337" spans="37:37" x14ac:dyDescent="0.2">
      <c r="AK2337" s="685">
        <f t="shared" si="51"/>
        <v>0</v>
      </c>
    </row>
    <row r="2338" spans="37:37" x14ac:dyDescent="0.2">
      <c r="AK2338" s="685">
        <f t="shared" si="51"/>
        <v>0</v>
      </c>
    </row>
    <row r="2339" spans="37:37" x14ac:dyDescent="0.2">
      <c r="AK2339" s="685">
        <f t="shared" si="51"/>
        <v>0</v>
      </c>
    </row>
    <row r="2340" spans="37:37" x14ac:dyDescent="0.2">
      <c r="AK2340" s="685">
        <f t="shared" si="51"/>
        <v>0</v>
      </c>
    </row>
    <row r="2341" spans="37:37" x14ac:dyDescent="0.2">
      <c r="AK2341" s="685">
        <f t="shared" si="51"/>
        <v>0</v>
      </c>
    </row>
    <row r="2342" spans="37:37" x14ac:dyDescent="0.2">
      <c r="AK2342" s="685">
        <f t="shared" si="51"/>
        <v>0</v>
      </c>
    </row>
    <row r="2343" spans="37:37" x14ac:dyDescent="0.2">
      <c r="AK2343" s="685">
        <f t="shared" si="51"/>
        <v>0</v>
      </c>
    </row>
    <row r="2344" spans="37:37" x14ac:dyDescent="0.2">
      <c r="AK2344" s="685">
        <f t="shared" si="51"/>
        <v>0</v>
      </c>
    </row>
    <row r="2345" spans="37:37" x14ac:dyDescent="0.2">
      <c r="AK2345" s="685">
        <f t="shared" si="51"/>
        <v>0</v>
      </c>
    </row>
    <row r="2346" spans="37:37" x14ac:dyDescent="0.2">
      <c r="AK2346" s="685">
        <f t="shared" si="51"/>
        <v>0</v>
      </c>
    </row>
    <row r="2347" spans="37:37" x14ac:dyDescent="0.2">
      <c r="AK2347" s="685">
        <f t="shared" si="51"/>
        <v>0</v>
      </c>
    </row>
    <row r="2348" spans="37:37" x14ac:dyDescent="0.2">
      <c r="AK2348" s="685">
        <f t="shared" si="51"/>
        <v>0</v>
      </c>
    </row>
    <row r="2349" spans="37:37" x14ac:dyDescent="0.2">
      <c r="AK2349" s="685">
        <f t="shared" si="51"/>
        <v>0</v>
      </c>
    </row>
    <row r="2350" spans="37:37" x14ac:dyDescent="0.2">
      <c r="AK2350" s="685">
        <f t="shared" si="51"/>
        <v>0</v>
      </c>
    </row>
    <row r="2351" spans="37:37" x14ac:dyDescent="0.2">
      <c r="AK2351" s="685">
        <f t="shared" si="51"/>
        <v>0</v>
      </c>
    </row>
    <row r="2352" spans="37:37" x14ac:dyDescent="0.2">
      <c r="AK2352" s="685">
        <f t="shared" si="51"/>
        <v>0</v>
      </c>
    </row>
    <row r="2353" spans="37:37" x14ac:dyDescent="0.2">
      <c r="AK2353" s="685">
        <f t="shared" si="51"/>
        <v>0</v>
      </c>
    </row>
    <row r="2354" spans="37:37" x14ac:dyDescent="0.2">
      <c r="AK2354" s="685">
        <f t="shared" si="51"/>
        <v>0</v>
      </c>
    </row>
    <row r="2355" spans="37:37" x14ac:dyDescent="0.2">
      <c r="AK2355" s="685">
        <f t="shared" si="51"/>
        <v>0</v>
      </c>
    </row>
    <row r="2356" spans="37:37" x14ac:dyDescent="0.2">
      <c r="AK2356" s="685">
        <f t="shared" si="51"/>
        <v>0</v>
      </c>
    </row>
    <row r="2357" spans="37:37" x14ac:dyDescent="0.2">
      <c r="AK2357" s="685">
        <f t="shared" si="51"/>
        <v>0</v>
      </c>
    </row>
    <row r="2358" spans="37:37" x14ac:dyDescent="0.2">
      <c r="AK2358" s="685">
        <f t="shared" si="51"/>
        <v>0</v>
      </c>
    </row>
    <row r="2359" spans="37:37" x14ac:dyDescent="0.2">
      <c r="AK2359" s="685">
        <f t="shared" si="51"/>
        <v>0</v>
      </c>
    </row>
    <row r="2360" spans="37:37" x14ac:dyDescent="0.2">
      <c r="AK2360" s="685">
        <f t="shared" si="51"/>
        <v>0</v>
      </c>
    </row>
    <row r="2361" spans="37:37" x14ac:dyDescent="0.2">
      <c r="AK2361" s="685">
        <f t="shared" si="51"/>
        <v>0</v>
      </c>
    </row>
    <row r="2362" spans="37:37" x14ac:dyDescent="0.2">
      <c r="AK2362" s="685">
        <f t="shared" si="51"/>
        <v>0</v>
      </c>
    </row>
    <row r="2363" spans="37:37" x14ac:dyDescent="0.2">
      <c r="AK2363" s="685">
        <f t="shared" si="51"/>
        <v>0</v>
      </c>
    </row>
    <row r="2364" spans="37:37" x14ac:dyDescent="0.2">
      <c r="AK2364" s="685">
        <f t="shared" si="51"/>
        <v>0</v>
      </c>
    </row>
    <row r="2365" spans="37:37" x14ac:dyDescent="0.2">
      <c r="AK2365" s="685">
        <f t="shared" si="51"/>
        <v>0</v>
      </c>
    </row>
    <row r="2366" spans="37:37" x14ac:dyDescent="0.2">
      <c r="AK2366" s="685">
        <f t="shared" si="51"/>
        <v>0</v>
      </c>
    </row>
    <row r="2367" spans="37:37" x14ac:dyDescent="0.2">
      <c r="AK2367" s="685">
        <f t="shared" si="51"/>
        <v>0</v>
      </c>
    </row>
    <row r="2368" spans="37:37" x14ac:dyDescent="0.2">
      <c r="AK2368" s="685">
        <f t="shared" si="51"/>
        <v>0</v>
      </c>
    </row>
    <row r="2369" spans="37:37" x14ac:dyDescent="0.2">
      <c r="AK2369" s="685">
        <f t="shared" si="51"/>
        <v>0</v>
      </c>
    </row>
    <row r="2370" spans="37:37" x14ac:dyDescent="0.2">
      <c r="AK2370" s="685">
        <f t="shared" si="51"/>
        <v>0</v>
      </c>
    </row>
    <row r="2371" spans="37:37" x14ac:dyDescent="0.2">
      <c r="AK2371" s="685">
        <f t="shared" si="51"/>
        <v>0</v>
      </c>
    </row>
    <row r="2372" spans="37:37" x14ac:dyDescent="0.2">
      <c r="AK2372" s="685">
        <f t="shared" si="51"/>
        <v>0</v>
      </c>
    </row>
    <row r="2373" spans="37:37" x14ac:dyDescent="0.2">
      <c r="AK2373" s="685">
        <f t="shared" si="51"/>
        <v>0</v>
      </c>
    </row>
    <row r="2374" spans="37:37" x14ac:dyDescent="0.2">
      <c r="AK2374" s="685">
        <f t="shared" si="51"/>
        <v>0</v>
      </c>
    </row>
    <row r="2375" spans="37:37" x14ac:dyDescent="0.2">
      <c r="AK2375" s="685">
        <f t="shared" si="51"/>
        <v>0</v>
      </c>
    </row>
    <row r="2376" spans="37:37" x14ac:dyDescent="0.2">
      <c r="AK2376" s="685">
        <f t="shared" si="51"/>
        <v>0</v>
      </c>
    </row>
    <row r="2377" spans="37:37" x14ac:dyDescent="0.2">
      <c r="AK2377" s="685">
        <f t="shared" si="51"/>
        <v>0</v>
      </c>
    </row>
    <row r="2378" spans="37:37" x14ac:dyDescent="0.2">
      <c r="AK2378" s="685">
        <f t="shared" si="51"/>
        <v>0</v>
      </c>
    </row>
    <row r="2379" spans="37:37" x14ac:dyDescent="0.2">
      <c r="AK2379" s="685">
        <f t="shared" si="51"/>
        <v>0</v>
      </c>
    </row>
    <row r="2380" spans="37:37" x14ac:dyDescent="0.2">
      <c r="AK2380" s="685">
        <f t="shared" si="51"/>
        <v>0</v>
      </c>
    </row>
    <row r="2381" spans="37:37" x14ac:dyDescent="0.2">
      <c r="AK2381" s="685">
        <f t="shared" si="51"/>
        <v>0</v>
      </c>
    </row>
    <row r="2382" spans="37:37" x14ac:dyDescent="0.2">
      <c r="AK2382" s="685">
        <f t="shared" si="51"/>
        <v>0</v>
      </c>
    </row>
    <row r="2383" spans="37:37" x14ac:dyDescent="0.2">
      <c r="AK2383" s="685">
        <f t="shared" si="51"/>
        <v>0</v>
      </c>
    </row>
    <row r="2384" spans="37:37" x14ac:dyDescent="0.2">
      <c r="AK2384" s="685">
        <f t="shared" si="51"/>
        <v>0</v>
      </c>
    </row>
    <row r="2385" spans="37:37" x14ac:dyDescent="0.2">
      <c r="AK2385" s="685">
        <f t="shared" si="51"/>
        <v>0</v>
      </c>
    </row>
    <row r="2386" spans="37:37" x14ac:dyDescent="0.2">
      <c r="AK2386" s="685">
        <f t="shared" si="51"/>
        <v>0</v>
      </c>
    </row>
    <row r="2387" spans="37:37" x14ac:dyDescent="0.2">
      <c r="AK2387" s="685">
        <f t="shared" si="51"/>
        <v>0</v>
      </c>
    </row>
    <row r="2388" spans="37:37" x14ac:dyDescent="0.2">
      <c r="AK2388" s="685">
        <f t="shared" si="51"/>
        <v>0</v>
      </c>
    </row>
    <row r="2389" spans="37:37" x14ac:dyDescent="0.2">
      <c r="AK2389" s="685">
        <f t="shared" si="51"/>
        <v>0</v>
      </c>
    </row>
    <row r="2390" spans="37:37" x14ac:dyDescent="0.2">
      <c r="AK2390" s="685">
        <f t="shared" si="51"/>
        <v>0</v>
      </c>
    </row>
    <row r="2391" spans="37:37" x14ac:dyDescent="0.2">
      <c r="AK2391" s="685">
        <f t="shared" si="51"/>
        <v>0</v>
      </c>
    </row>
    <row r="2392" spans="37:37" x14ac:dyDescent="0.2">
      <c r="AK2392" s="685">
        <f t="shared" ref="AK2392:AK2455" si="52">SUM(O2392:AJ2392)</f>
        <v>0</v>
      </c>
    </row>
    <row r="2393" spans="37:37" x14ac:dyDescent="0.2">
      <c r="AK2393" s="685">
        <f t="shared" si="52"/>
        <v>0</v>
      </c>
    </row>
    <row r="2394" spans="37:37" x14ac:dyDescent="0.2">
      <c r="AK2394" s="685">
        <f t="shared" si="52"/>
        <v>0</v>
      </c>
    </row>
    <row r="2395" spans="37:37" x14ac:dyDescent="0.2">
      <c r="AK2395" s="685">
        <f t="shared" si="52"/>
        <v>0</v>
      </c>
    </row>
    <row r="2396" spans="37:37" x14ac:dyDescent="0.2">
      <c r="AK2396" s="685">
        <f t="shared" si="52"/>
        <v>0</v>
      </c>
    </row>
    <row r="2397" spans="37:37" x14ac:dyDescent="0.2">
      <c r="AK2397" s="685">
        <f t="shared" si="52"/>
        <v>0</v>
      </c>
    </row>
    <row r="2398" spans="37:37" x14ac:dyDescent="0.2">
      <c r="AK2398" s="685">
        <f t="shared" si="52"/>
        <v>0</v>
      </c>
    </row>
    <row r="2399" spans="37:37" x14ac:dyDescent="0.2">
      <c r="AK2399" s="685">
        <f t="shared" si="52"/>
        <v>0</v>
      </c>
    </row>
    <row r="2400" spans="37:37" x14ac:dyDescent="0.2">
      <c r="AK2400" s="685">
        <f t="shared" si="52"/>
        <v>0</v>
      </c>
    </row>
    <row r="2401" spans="37:37" x14ac:dyDescent="0.2">
      <c r="AK2401" s="685">
        <f t="shared" si="52"/>
        <v>0</v>
      </c>
    </row>
    <row r="2402" spans="37:37" x14ac:dyDescent="0.2">
      <c r="AK2402" s="685">
        <f t="shared" si="52"/>
        <v>0</v>
      </c>
    </row>
    <row r="2403" spans="37:37" x14ac:dyDescent="0.2">
      <c r="AK2403" s="685">
        <f t="shared" si="52"/>
        <v>0</v>
      </c>
    </row>
    <row r="2404" spans="37:37" x14ac:dyDescent="0.2">
      <c r="AK2404" s="685">
        <f t="shared" si="52"/>
        <v>0</v>
      </c>
    </row>
    <row r="2405" spans="37:37" x14ac:dyDescent="0.2">
      <c r="AK2405" s="685">
        <f t="shared" si="52"/>
        <v>0</v>
      </c>
    </row>
    <row r="2406" spans="37:37" x14ac:dyDescent="0.2">
      <c r="AK2406" s="685">
        <f t="shared" si="52"/>
        <v>0</v>
      </c>
    </row>
    <row r="2407" spans="37:37" x14ac:dyDescent="0.2">
      <c r="AK2407" s="685">
        <f t="shared" si="52"/>
        <v>0</v>
      </c>
    </row>
    <row r="2408" spans="37:37" x14ac:dyDescent="0.2">
      <c r="AK2408" s="685">
        <f t="shared" si="52"/>
        <v>0</v>
      </c>
    </row>
    <row r="2409" spans="37:37" x14ac:dyDescent="0.2">
      <c r="AK2409" s="685">
        <f t="shared" si="52"/>
        <v>0</v>
      </c>
    </row>
    <row r="2410" spans="37:37" x14ac:dyDescent="0.2">
      <c r="AK2410" s="685">
        <f t="shared" si="52"/>
        <v>0</v>
      </c>
    </row>
    <row r="2411" spans="37:37" x14ac:dyDescent="0.2">
      <c r="AK2411" s="685">
        <f t="shared" si="52"/>
        <v>0</v>
      </c>
    </row>
    <row r="2412" spans="37:37" x14ac:dyDescent="0.2">
      <c r="AK2412" s="685">
        <f t="shared" si="52"/>
        <v>0</v>
      </c>
    </row>
    <row r="2413" spans="37:37" x14ac:dyDescent="0.2">
      <c r="AK2413" s="685">
        <f t="shared" si="52"/>
        <v>0</v>
      </c>
    </row>
    <row r="2414" spans="37:37" x14ac:dyDescent="0.2">
      <c r="AK2414" s="685">
        <f t="shared" si="52"/>
        <v>0</v>
      </c>
    </row>
    <row r="2415" spans="37:37" x14ac:dyDescent="0.2">
      <c r="AK2415" s="685">
        <f t="shared" si="52"/>
        <v>0</v>
      </c>
    </row>
    <row r="2416" spans="37:37" x14ac:dyDescent="0.2">
      <c r="AK2416" s="685">
        <f t="shared" si="52"/>
        <v>0</v>
      </c>
    </row>
    <row r="2417" spans="37:37" x14ac:dyDescent="0.2">
      <c r="AK2417" s="685">
        <f t="shared" si="52"/>
        <v>0</v>
      </c>
    </row>
    <row r="2418" spans="37:37" x14ac:dyDescent="0.2">
      <c r="AK2418" s="685">
        <f t="shared" si="52"/>
        <v>0</v>
      </c>
    </row>
    <row r="2419" spans="37:37" x14ac:dyDescent="0.2">
      <c r="AK2419" s="685">
        <f t="shared" si="52"/>
        <v>0</v>
      </c>
    </row>
    <row r="2420" spans="37:37" x14ac:dyDescent="0.2">
      <c r="AK2420" s="685">
        <f t="shared" si="52"/>
        <v>0</v>
      </c>
    </row>
    <row r="2421" spans="37:37" x14ac:dyDescent="0.2">
      <c r="AK2421" s="685">
        <f t="shared" si="52"/>
        <v>0</v>
      </c>
    </row>
    <row r="2422" spans="37:37" x14ac:dyDescent="0.2">
      <c r="AK2422" s="685">
        <f t="shared" si="52"/>
        <v>0</v>
      </c>
    </row>
    <row r="2423" spans="37:37" x14ac:dyDescent="0.2">
      <c r="AK2423" s="685">
        <f t="shared" si="52"/>
        <v>0</v>
      </c>
    </row>
    <row r="2424" spans="37:37" x14ac:dyDescent="0.2">
      <c r="AK2424" s="685">
        <f t="shared" si="52"/>
        <v>0</v>
      </c>
    </row>
    <row r="2425" spans="37:37" x14ac:dyDescent="0.2">
      <c r="AK2425" s="685">
        <f t="shared" si="52"/>
        <v>0</v>
      </c>
    </row>
    <row r="2426" spans="37:37" x14ac:dyDescent="0.2">
      <c r="AK2426" s="685">
        <f t="shared" si="52"/>
        <v>0</v>
      </c>
    </row>
    <row r="2427" spans="37:37" x14ac:dyDescent="0.2">
      <c r="AK2427" s="685">
        <f t="shared" si="52"/>
        <v>0</v>
      </c>
    </row>
    <row r="2428" spans="37:37" x14ac:dyDescent="0.2">
      <c r="AK2428" s="685">
        <f t="shared" si="52"/>
        <v>0</v>
      </c>
    </row>
    <row r="2429" spans="37:37" x14ac:dyDescent="0.2">
      <c r="AK2429" s="685">
        <f t="shared" si="52"/>
        <v>0</v>
      </c>
    </row>
    <row r="2430" spans="37:37" x14ac:dyDescent="0.2">
      <c r="AK2430" s="685">
        <f t="shared" si="52"/>
        <v>0</v>
      </c>
    </row>
    <row r="2431" spans="37:37" x14ac:dyDescent="0.2">
      <c r="AK2431" s="685">
        <f t="shared" si="52"/>
        <v>0</v>
      </c>
    </row>
    <row r="2432" spans="37:37" x14ac:dyDescent="0.2">
      <c r="AK2432" s="685">
        <f t="shared" si="52"/>
        <v>0</v>
      </c>
    </row>
    <row r="2433" spans="37:37" x14ac:dyDescent="0.2">
      <c r="AK2433" s="685">
        <f t="shared" si="52"/>
        <v>0</v>
      </c>
    </row>
    <row r="2434" spans="37:37" x14ac:dyDescent="0.2">
      <c r="AK2434" s="685">
        <f t="shared" si="52"/>
        <v>0</v>
      </c>
    </row>
    <row r="2435" spans="37:37" x14ac:dyDescent="0.2">
      <c r="AK2435" s="685">
        <f t="shared" si="52"/>
        <v>0</v>
      </c>
    </row>
    <row r="2436" spans="37:37" x14ac:dyDescent="0.2">
      <c r="AK2436" s="685">
        <f t="shared" si="52"/>
        <v>0</v>
      </c>
    </row>
    <row r="2437" spans="37:37" x14ac:dyDescent="0.2">
      <c r="AK2437" s="685">
        <f t="shared" si="52"/>
        <v>0</v>
      </c>
    </row>
    <row r="2438" spans="37:37" x14ac:dyDescent="0.2">
      <c r="AK2438" s="685">
        <f t="shared" si="52"/>
        <v>0</v>
      </c>
    </row>
    <row r="2439" spans="37:37" x14ac:dyDescent="0.2">
      <c r="AK2439" s="685">
        <f t="shared" si="52"/>
        <v>0</v>
      </c>
    </row>
    <row r="2440" spans="37:37" x14ac:dyDescent="0.2">
      <c r="AK2440" s="685">
        <f t="shared" si="52"/>
        <v>0</v>
      </c>
    </row>
    <row r="2441" spans="37:37" x14ac:dyDescent="0.2">
      <c r="AK2441" s="685">
        <f t="shared" si="52"/>
        <v>0</v>
      </c>
    </row>
    <row r="2442" spans="37:37" x14ac:dyDescent="0.2">
      <c r="AK2442" s="685">
        <f t="shared" si="52"/>
        <v>0</v>
      </c>
    </row>
    <row r="2443" spans="37:37" x14ac:dyDescent="0.2">
      <c r="AK2443" s="685">
        <f t="shared" si="52"/>
        <v>0</v>
      </c>
    </row>
    <row r="2444" spans="37:37" x14ac:dyDescent="0.2">
      <c r="AK2444" s="685">
        <f t="shared" si="52"/>
        <v>0</v>
      </c>
    </row>
    <row r="2445" spans="37:37" x14ac:dyDescent="0.2">
      <c r="AK2445" s="685">
        <f t="shared" si="52"/>
        <v>0</v>
      </c>
    </row>
    <row r="2446" spans="37:37" x14ac:dyDescent="0.2">
      <c r="AK2446" s="685">
        <f t="shared" si="52"/>
        <v>0</v>
      </c>
    </row>
    <row r="2447" spans="37:37" x14ac:dyDescent="0.2">
      <c r="AK2447" s="685">
        <f t="shared" si="52"/>
        <v>0</v>
      </c>
    </row>
    <row r="2448" spans="37:37" x14ac:dyDescent="0.2">
      <c r="AK2448" s="685">
        <f t="shared" si="52"/>
        <v>0</v>
      </c>
    </row>
    <row r="2449" spans="37:37" x14ac:dyDescent="0.2">
      <c r="AK2449" s="685">
        <f t="shared" si="52"/>
        <v>0</v>
      </c>
    </row>
    <row r="2450" spans="37:37" x14ac:dyDescent="0.2">
      <c r="AK2450" s="685">
        <f t="shared" si="52"/>
        <v>0</v>
      </c>
    </row>
    <row r="2451" spans="37:37" x14ac:dyDescent="0.2">
      <c r="AK2451" s="685">
        <f t="shared" si="52"/>
        <v>0</v>
      </c>
    </row>
    <row r="2452" spans="37:37" x14ac:dyDescent="0.2">
      <c r="AK2452" s="685">
        <f t="shared" si="52"/>
        <v>0</v>
      </c>
    </row>
    <row r="2453" spans="37:37" x14ac:dyDescent="0.2">
      <c r="AK2453" s="685">
        <f t="shared" si="52"/>
        <v>0</v>
      </c>
    </row>
    <row r="2454" spans="37:37" x14ac:dyDescent="0.2">
      <c r="AK2454" s="685">
        <f t="shared" si="52"/>
        <v>0</v>
      </c>
    </row>
    <row r="2455" spans="37:37" x14ac:dyDescent="0.2">
      <c r="AK2455" s="685">
        <f t="shared" si="52"/>
        <v>0</v>
      </c>
    </row>
    <row r="2456" spans="37:37" x14ac:dyDescent="0.2">
      <c r="AK2456" s="685">
        <f t="shared" ref="AK2456:AK2519" si="53">SUM(O2456:AJ2456)</f>
        <v>0</v>
      </c>
    </row>
    <row r="2457" spans="37:37" x14ac:dyDescent="0.2">
      <c r="AK2457" s="685">
        <f t="shared" si="53"/>
        <v>0</v>
      </c>
    </row>
    <row r="2458" spans="37:37" x14ac:dyDescent="0.2">
      <c r="AK2458" s="685">
        <f t="shared" si="53"/>
        <v>0</v>
      </c>
    </row>
    <row r="2459" spans="37:37" x14ac:dyDescent="0.2">
      <c r="AK2459" s="685">
        <f t="shared" si="53"/>
        <v>0</v>
      </c>
    </row>
    <row r="2460" spans="37:37" x14ac:dyDescent="0.2">
      <c r="AK2460" s="685">
        <f t="shared" si="53"/>
        <v>0</v>
      </c>
    </row>
    <row r="2461" spans="37:37" x14ac:dyDescent="0.2">
      <c r="AK2461" s="685">
        <f t="shared" si="53"/>
        <v>0</v>
      </c>
    </row>
    <row r="2462" spans="37:37" x14ac:dyDescent="0.2">
      <c r="AK2462" s="685">
        <f t="shared" si="53"/>
        <v>0</v>
      </c>
    </row>
    <row r="2463" spans="37:37" x14ac:dyDescent="0.2">
      <c r="AK2463" s="685">
        <f t="shared" si="53"/>
        <v>0</v>
      </c>
    </row>
    <row r="2464" spans="37:37" x14ac:dyDescent="0.2">
      <c r="AK2464" s="685">
        <f t="shared" si="53"/>
        <v>0</v>
      </c>
    </row>
    <row r="2465" spans="37:37" x14ac:dyDescent="0.2">
      <c r="AK2465" s="685">
        <f t="shared" si="53"/>
        <v>0</v>
      </c>
    </row>
    <row r="2466" spans="37:37" x14ac:dyDescent="0.2">
      <c r="AK2466" s="685">
        <f t="shared" si="53"/>
        <v>0</v>
      </c>
    </row>
    <row r="2467" spans="37:37" x14ac:dyDescent="0.2">
      <c r="AK2467" s="685">
        <f t="shared" si="53"/>
        <v>0</v>
      </c>
    </row>
    <row r="2468" spans="37:37" x14ac:dyDescent="0.2">
      <c r="AK2468" s="685">
        <f t="shared" si="53"/>
        <v>0</v>
      </c>
    </row>
    <row r="2469" spans="37:37" x14ac:dyDescent="0.2">
      <c r="AK2469" s="685">
        <f t="shared" si="53"/>
        <v>0</v>
      </c>
    </row>
    <row r="2470" spans="37:37" x14ac:dyDescent="0.2">
      <c r="AK2470" s="685">
        <f t="shared" si="53"/>
        <v>0</v>
      </c>
    </row>
    <row r="2471" spans="37:37" x14ac:dyDescent="0.2">
      <c r="AK2471" s="685">
        <f t="shared" si="53"/>
        <v>0</v>
      </c>
    </row>
    <row r="2472" spans="37:37" x14ac:dyDescent="0.2">
      <c r="AK2472" s="685">
        <f t="shared" si="53"/>
        <v>0</v>
      </c>
    </row>
    <row r="2473" spans="37:37" x14ac:dyDescent="0.2">
      <c r="AK2473" s="685">
        <f t="shared" si="53"/>
        <v>0</v>
      </c>
    </row>
    <row r="2474" spans="37:37" x14ac:dyDescent="0.2">
      <c r="AK2474" s="685">
        <f t="shared" si="53"/>
        <v>0</v>
      </c>
    </row>
    <row r="2475" spans="37:37" x14ac:dyDescent="0.2">
      <c r="AK2475" s="685">
        <f t="shared" si="53"/>
        <v>0</v>
      </c>
    </row>
    <row r="2476" spans="37:37" x14ac:dyDescent="0.2">
      <c r="AK2476" s="685">
        <f t="shared" si="53"/>
        <v>0</v>
      </c>
    </row>
    <row r="2477" spans="37:37" x14ac:dyDescent="0.2">
      <c r="AK2477" s="685">
        <f t="shared" si="53"/>
        <v>0</v>
      </c>
    </row>
    <row r="2478" spans="37:37" x14ac:dyDescent="0.2">
      <c r="AK2478" s="685">
        <f t="shared" si="53"/>
        <v>0</v>
      </c>
    </row>
    <row r="2479" spans="37:37" x14ac:dyDescent="0.2">
      <c r="AK2479" s="685">
        <f t="shared" si="53"/>
        <v>0</v>
      </c>
    </row>
    <row r="2480" spans="37:37" x14ac:dyDescent="0.2">
      <c r="AK2480" s="685">
        <f t="shared" si="53"/>
        <v>0</v>
      </c>
    </row>
    <row r="2481" spans="37:37" x14ac:dyDescent="0.2">
      <c r="AK2481" s="685">
        <f t="shared" si="53"/>
        <v>0</v>
      </c>
    </row>
    <row r="2482" spans="37:37" x14ac:dyDescent="0.2">
      <c r="AK2482" s="685">
        <f t="shared" si="53"/>
        <v>0</v>
      </c>
    </row>
    <row r="2483" spans="37:37" x14ac:dyDescent="0.2">
      <c r="AK2483" s="685">
        <f t="shared" si="53"/>
        <v>0</v>
      </c>
    </row>
    <row r="2484" spans="37:37" x14ac:dyDescent="0.2">
      <c r="AK2484" s="685">
        <f t="shared" si="53"/>
        <v>0</v>
      </c>
    </row>
    <row r="2485" spans="37:37" x14ac:dyDescent="0.2">
      <c r="AK2485" s="685">
        <f t="shared" si="53"/>
        <v>0</v>
      </c>
    </row>
    <row r="2486" spans="37:37" x14ac:dyDescent="0.2">
      <c r="AK2486" s="685">
        <f t="shared" si="53"/>
        <v>0</v>
      </c>
    </row>
    <row r="2487" spans="37:37" x14ac:dyDescent="0.2">
      <c r="AK2487" s="685">
        <f t="shared" si="53"/>
        <v>0</v>
      </c>
    </row>
    <row r="2488" spans="37:37" x14ac:dyDescent="0.2">
      <c r="AK2488" s="685">
        <f t="shared" si="53"/>
        <v>0</v>
      </c>
    </row>
    <row r="2489" spans="37:37" x14ac:dyDescent="0.2">
      <c r="AK2489" s="685">
        <f t="shared" si="53"/>
        <v>0</v>
      </c>
    </row>
    <row r="2490" spans="37:37" x14ac:dyDescent="0.2">
      <c r="AK2490" s="685">
        <f t="shared" si="53"/>
        <v>0</v>
      </c>
    </row>
    <row r="2491" spans="37:37" x14ac:dyDescent="0.2">
      <c r="AK2491" s="685">
        <f t="shared" si="53"/>
        <v>0</v>
      </c>
    </row>
    <row r="2492" spans="37:37" x14ac:dyDescent="0.2">
      <c r="AK2492" s="685">
        <f t="shared" si="53"/>
        <v>0</v>
      </c>
    </row>
    <row r="2493" spans="37:37" x14ac:dyDescent="0.2">
      <c r="AK2493" s="685">
        <f t="shared" si="53"/>
        <v>0</v>
      </c>
    </row>
    <row r="2494" spans="37:37" x14ac:dyDescent="0.2">
      <c r="AK2494" s="685">
        <f t="shared" si="53"/>
        <v>0</v>
      </c>
    </row>
    <row r="2495" spans="37:37" x14ac:dyDescent="0.2">
      <c r="AK2495" s="685">
        <f t="shared" si="53"/>
        <v>0</v>
      </c>
    </row>
    <row r="2496" spans="37:37" x14ac:dyDescent="0.2">
      <c r="AK2496" s="685">
        <f t="shared" si="53"/>
        <v>0</v>
      </c>
    </row>
    <row r="2497" spans="37:37" x14ac:dyDescent="0.2">
      <c r="AK2497" s="685">
        <f t="shared" si="53"/>
        <v>0</v>
      </c>
    </row>
    <row r="2498" spans="37:37" x14ac:dyDescent="0.2">
      <c r="AK2498" s="685">
        <f t="shared" si="53"/>
        <v>0</v>
      </c>
    </row>
    <row r="2499" spans="37:37" x14ac:dyDescent="0.2">
      <c r="AK2499" s="685">
        <f t="shared" si="53"/>
        <v>0</v>
      </c>
    </row>
    <row r="2500" spans="37:37" x14ac:dyDescent="0.2">
      <c r="AK2500" s="685">
        <f t="shared" si="53"/>
        <v>0</v>
      </c>
    </row>
    <row r="2501" spans="37:37" x14ac:dyDescent="0.2">
      <c r="AK2501" s="685">
        <f t="shared" si="53"/>
        <v>0</v>
      </c>
    </row>
    <row r="2502" spans="37:37" x14ac:dyDescent="0.2">
      <c r="AK2502" s="685">
        <f t="shared" si="53"/>
        <v>0</v>
      </c>
    </row>
    <row r="2503" spans="37:37" x14ac:dyDescent="0.2">
      <c r="AK2503" s="685">
        <f t="shared" si="53"/>
        <v>0</v>
      </c>
    </row>
    <row r="2504" spans="37:37" x14ac:dyDescent="0.2">
      <c r="AK2504" s="685">
        <f t="shared" si="53"/>
        <v>0</v>
      </c>
    </row>
    <row r="2505" spans="37:37" x14ac:dyDescent="0.2">
      <c r="AK2505" s="685">
        <f t="shared" si="53"/>
        <v>0</v>
      </c>
    </row>
    <row r="2506" spans="37:37" x14ac:dyDescent="0.2">
      <c r="AK2506" s="685">
        <f t="shared" si="53"/>
        <v>0</v>
      </c>
    </row>
    <row r="2507" spans="37:37" x14ac:dyDescent="0.2">
      <c r="AK2507" s="685">
        <f t="shared" si="53"/>
        <v>0</v>
      </c>
    </row>
    <row r="2508" spans="37:37" x14ac:dyDescent="0.2">
      <c r="AK2508" s="685">
        <f t="shared" si="53"/>
        <v>0</v>
      </c>
    </row>
    <row r="2509" spans="37:37" x14ac:dyDescent="0.2">
      <c r="AK2509" s="685">
        <f t="shared" si="53"/>
        <v>0</v>
      </c>
    </row>
    <row r="2510" spans="37:37" x14ac:dyDescent="0.2">
      <c r="AK2510" s="685">
        <f t="shared" si="53"/>
        <v>0</v>
      </c>
    </row>
    <row r="2511" spans="37:37" x14ac:dyDescent="0.2">
      <c r="AK2511" s="685">
        <f t="shared" si="53"/>
        <v>0</v>
      </c>
    </row>
    <row r="2512" spans="37:37" x14ac:dyDescent="0.2">
      <c r="AK2512" s="685">
        <f t="shared" si="53"/>
        <v>0</v>
      </c>
    </row>
    <row r="2513" spans="37:37" x14ac:dyDescent="0.2">
      <c r="AK2513" s="685">
        <f t="shared" si="53"/>
        <v>0</v>
      </c>
    </row>
    <row r="2514" spans="37:37" x14ac:dyDescent="0.2">
      <c r="AK2514" s="685">
        <f t="shared" si="53"/>
        <v>0</v>
      </c>
    </row>
    <row r="2515" spans="37:37" x14ac:dyDescent="0.2">
      <c r="AK2515" s="685">
        <f t="shared" si="53"/>
        <v>0</v>
      </c>
    </row>
    <row r="2516" spans="37:37" x14ac:dyDescent="0.2">
      <c r="AK2516" s="685">
        <f t="shared" si="53"/>
        <v>0</v>
      </c>
    </row>
    <row r="2517" spans="37:37" x14ac:dyDescent="0.2">
      <c r="AK2517" s="685">
        <f t="shared" si="53"/>
        <v>0</v>
      </c>
    </row>
    <row r="2518" spans="37:37" x14ac:dyDescent="0.2">
      <c r="AK2518" s="685">
        <f t="shared" si="53"/>
        <v>0</v>
      </c>
    </row>
    <row r="2519" spans="37:37" x14ac:dyDescent="0.2">
      <c r="AK2519" s="685">
        <f t="shared" si="53"/>
        <v>0</v>
      </c>
    </row>
    <row r="2520" spans="37:37" x14ac:dyDescent="0.2">
      <c r="AK2520" s="685">
        <f t="shared" ref="AK2520:AK2583" si="54">SUM(O2520:AJ2520)</f>
        <v>0</v>
      </c>
    </row>
    <row r="2521" spans="37:37" x14ac:dyDescent="0.2">
      <c r="AK2521" s="685">
        <f t="shared" si="54"/>
        <v>0</v>
      </c>
    </row>
    <row r="2522" spans="37:37" x14ac:dyDescent="0.2">
      <c r="AK2522" s="685">
        <f t="shared" si="54"/>
        <v>0</v>
      </c>
    </row>
    <row r="2523" spans="37:37" x14ac:dyDescent="0.2">
      <c r="AK2523" s="685">
        <f t="shared" si="54"/>
        <v>0</v>
      </c>
    </row>
    <row r="2524" spans="37:37" x14ac:dyDescent="0.2">
      <c r="AK2524" s="685">
        <f t="shared" si="54"/>
        <v>0</v>
      </c>
    </row>
    <row r="2525" spans="37:37" x14ac:dyDescent="0.2">
      <c r="AK2525" s="685">
        <f t="shared" si="54"/>
        <v>0</v>
      </c>
    </row>
    <row r="2526" spans="37:37" x14ac:dyDescent="0.2">
      <c r="AK2526" s="685">
        <f t="shared" si="54"/>
        <v>0</v>
      </c>
    </row>
    <row r="2527" spans="37:37" x14ac:dyDescent="0.2">
      <c r="AK2527" s="685">
        <f t="shared" si="54"/>
        <v>0</v>
      </c>
    </row>
    <row r="2528" spans="37:37" x14ac:dyDescent="0.2">
      <c r="AK2528" s="685">
        <f t="shared" si="54"/>
        <v>0</v>
      </c>
    </row>
    <row r="2529" spans="37:37" x14ac:dyDescent="0.2">
      <c r="AK2529" s="685">
        <f t="shared" si="54"/>
        <v>0</v>
      </c>
    </row>
    <row r="2530" spans="37:37" x14ac:dyDescent="0.2">
      <c r="AK2530" s="685">
        <f t="shared" si="54"/>
        <v>0</v>
      </c>
    </row>
    <row r="2531" spans="37:37" x14ac:dyDescent="0.2">
      <c r="AK2531" s="685">
        <f t="shared" si="54"/>
        <v>0</v>
      </c>
    </row>
    <row r="2532" spans="37:37" x14ac:dyDescent="0.2">
      <c r="AK2532" s="685">
        <f t="shared" si="54"/>
        <v>0</v>
      </c>
    </row>
    <row r="2533" spans="37:37" x14ac:dyDescent="0.2">
      <c r="AK2533" s="685">
        <f t="shared" si="54"/>
        <v>0</v>
      </c>
    </row>
    <row r="2534" spans="37:37" x14ac:dyDescent="0.2">
      <c r="AK2534" s="685">
        <f t="shared" si="54"/>
        <v>0</v>
      </c>
    </row>
    <row r="2535" spans="37:37" x14ac:dyDescent="0.2">
      <c r="AK2535" s="685">
        <f t="shared" si="54"/>
        <v>0</v>
      </c>
    </row>
    <row r="2536" spans="37:37" x14ac:dyDescent="0.2">
      <c r="AK2536" s="685">
        <f t="shared" si="54"/>
        <v>0</v>
      </c>
    </row>
    <row r="2537" spans="37:37" x14ac:dyDescent="0.2">
      <c r="AK2537" s="685">
        <f t="shared" si="54"/>
        <v>0</v>
      </c>
    </row>
    <row r="2538" spans="37:37" x14ac:dyDescent="0.2">
      <c r="AK2538" s="685">
        <f t="shared" si="54"/>
        <v>0</v>
      </c>
    </row>
    <row r="2539" spans="37:37" x14ac:dyDescent="0.2">
      <c r="AK2539" s="685">
        <f t="shared" si="54"/>
        <v>0</v>
      </c>
    </row>
    <row r="2540" spans="37:37" x14ac:dyDescent="0.2">
      <c r="AK2540" s="685">
        <f t="shared" si="54"/>
        <v>0</v>
      </c>
    </row>
    <row r="2541" spans="37:37" x14ac:dyDescent="0.2">
      <c r="AK2541" s="685">
        <f t="shared" si="54"/>
        <v>0</v>
      </c>
    </row>
    <row r="2542" spans="37:37" x14ac:dyDescent="0.2">
      <c r="AK2542" s="685">
        <f t="shared" si="54"/>
        <v>0</v>
      </c>
    </row>
    <row r="2543" spans="37:37" x14ac:dyDescent="0.2">
      <c r="AK2543" s="685">
        <f t="shared" si="54"/>
        <v>0</v>
      </c>
    </row>
    <row r="2544" spans="37:37" x14ac:dyDescent="0.2">
      <c r="AK2544" s="685">
        <f t="shared" si="54"/>
        <v>0</v>
      </c>
    </row>
    <row r="2545" spans="37:37" x14ac:dyDescent="0.2">
      <c r="AK2545" s="685">
        <f t="shared" si="54"/>
        <v>0</v>
      </c>
    </row>
    <row r="2546" spans="37:37" x14ac:dyDescent="0.2">
      <c r="AK2546" s="685">
        <f t="shared" si="54"/>
        <v>0</v>
      </c>
    </row>
    <row r="2547" spans="37:37" x14ac:dyDescent="0.2">
      <c r="AK2547" s="685">
        <f t="shared" si="54"/>
        <v>0</v>
      </c>
    </row>
    <row r="2548" spans="37:37" x14ac:dyDescent="0.2">
      <c r="AK2548" s="685">
        <f t="shared" si="54"/>
        <v>0</v>
      </c>
    </row>
    <row r="2549" spans="37:37" x14ac:dyDescent="0.2">
      <c r="AK2549" s="685">
        <f t="shared" si="54"/>
        <v>0</v>
      </c>
    </row>
    <row r="2550" spans="37:37" x14ac:dyDescent="0.2">
      <c r="AK2550" s="685">
        <f t="shared" si="54"/>
        <v>0</v>
      </c>
    </row>
    <row r="2551" spans="37:37" x14ac:dyDescent="0.2">
      <c r="AK2551" s="685">
        <f t="shared" si="54"/>
        <v>0</v>
      </c>
    </row>
    <row r="2552" spans="37:37" x14ac:dyDescent="0.2">
      <c r="AK2552" s="685">
        <f t="shared" si="54"/>
        <v>0</v>
      </c>
    </row>
    <row r="2553" spans="37:37" x14ac:dyDescent="0.2">
      <c r="AK2553" s="685">
        <f t="shared" si="54"/>
        <v>0</v>
      </c>
    </row>
    <row r="2554" spans="37:37" x14ac:dyDescent="0.2">
      <c r="AK2554" s="685">
        <f t="shared" si="54"/>
        <v>0</v>
      </c>
    </row>
    <row r="2555" spans="37:37" x14ac:dyDescent="0.2">
      <c r="AK2555" s="685">
        <f t="shared" si="54"/>
        <v>0</v>
      </c>
    </row>
    <row r="2556" spans="37:37" x14ac:dyDescent="0.2">
      <c r="AK2556" s="685">
        <f t="shared" si="54"/>
        <v>0</v>
      </c>
    </row>
    <row r="2557" spans="37:37" x14ac:dyDescent="0.2">
      <c r="AK2557" s="685">
        <f t="shared" si="54"/>
        <v>0</v>
      </c>
    </row>
    <row r="2558" spans="37:37" x14ac:dyDescent="0.2">
      <c r="AK2558" s="685">
        <f t="shared" si="54"/>
        <v>0</v>
      </c>
    </row>
    <row r="2559" spans="37:37" x14ac:dyDescent="0.2">
      <c r="AK2559" s="685">
        <f t="shared" si="54"/>
        <v>0</v>
      </c>
    </row>
    <row r="2560" spans="37:37" x14ac:dyDescent="0.2">
      <c r="AK2560" s="685">
        <f t="shared" si="54"/>
        <v>0</v>
      </c>
    </row>
    <row r="2561" spans="37:37" x14ac:dyDescent="0.2">
      <c r="AK2561" s="685">
        <f t="shared" si="54"/>
        <v>0</v>
      </c>
    </row>
    <row r="2562" spans="37:37" x14ac:dyDescent="0.2">
      <c r="AK2562" s="685">
        <f t="shared" si="54"/>
        <v>0</v>
      </c>
    </row>
    <row r="2563" spans="37:37" x14ac:dyDescent="0.2">
      <c r="AK2563" s="685">
        <f t="shared" si="54"/>
        <v>0</v>
      </c>
    </row>
    <row r="2564" spans="37:37" x14ac:dyDescent="0.2">
      <c r="AK2564" s="685">
        <f t="shared" si="54"/>
        <v>0</v>
      </c>
    </row>
    <row r="2565" spans="37:37" x14ac:dyDescent="0.2">
      <c r="AK2565" s="685">
        <f t="shared" si="54"/>
        <v>0</v>
      </c>
    </row>
    <row r="2566" spans="37:37" x14ac:dyDescent="0.2">
      <c r="AK2566" s="685">
        <f t="shared" si="54"/>
        <v>0</v>
      </c>
    </row>
    <row r="2567" spans="37:37" x14ac:dyDescent="0.2">
      <c r="AK2567" s="685">
        <f t="shared" si="54"/>
        <v>0</v>
      </c>
    </row>
    <row r="2568" spans="37:37" x14ac:dyDescent="0.2">
      <c r="AK2568" s="685">
        <f t="shared" si="54"/>
        <v>0</v>
      </c>
    </row>
    <row r="2569" spans="37:37" x14ac:dyDescent="0.2">
      <c r="AK2569" s="685">
        <f t="shared" si="54"/>
        <v>0</v>
      </c>
    </row>
    <row r="2570" spans="37:37" x14ac:dyDescent="0.2">
      <c r="AK2570" s="685">
        <f t="shared" si="54"/>
        <v>0</v>
      </c>
    </row>
    <row r="2571" spans="37:37" x14ac:dyDescent="0.2">
      <c r="AK2571" s="685">
        <f t="shared" si="54"/>
        <v>0</v>
      </c>
    </row>
    <row r="2572" spans="37:37" x14ac:dyDescent="0.2">
      <c r="AK2572" s="685">
        <f t="shared" si="54"/>
        <v>0</v>
      </c>
    </row>
    <row r="2573" spans="37:37" x14ac:dyDescent="0.2">
      <c r="AK2573" s="685">
        <f t="shared" si="54"/>
        <v>0</v>
      </c>
    </row>
    <row r="2574" spans="37:37" x14ac:dyDescent="0.2">
      <c r="AK2574" s="685">
        <f t="shared" si="54"/>
        <v>0</v>
      </c>
    </row>
    <row r="2575" spans="37:37" x14ac:dyDescent="0.2">
      <c r="AK2575" s="685">
        <f t="shared" si="54"/>
        <v>0</v>
      </c>
    </row>
    <row r="2576" spans="37:37" x14ac:dyDescent="0.2">
      <c r="AK2576" s="685">
        <f t="shared" si="54"/>
        <v>0</v>
      </c>
    </row>
    <row r="2577" spans="37:37" x14ac:dyDescent="0.2">
      <c r="AK2577" s="685">
        <f t="shared" si="54"/>
        <v>0</v>
      </c>
    </row>
    <row r="2578" spans="37:37" x14ac:dyDescent="0.2">
      <c r="AK2578" s="685">
        <f t="shared" si="54"/>
        <v>0</v>
      </c>
    </row>
    <row r="2579" spans="37:37" x14ac:dyDescent="0.2">
      <c r="AK2579" s="685">
        <f t="shared" si="54"/>
        <v>0</v>
      </c>
    </row>
    <row r="2580" spans="37:37" x14ac:dyDescent="0.2">
      <c r="AK2580" s="685">
        <f t="shared" si="54"/>
        <v>0</v>
      </c>
    </row>
    <row r="2581" spans="37:37" x14ac:dyDescent="0.2">
      <c r="AK2581" s="685">
        <f t="shared" si="54"/>
        <v>0</v>
      </c>
    </row>
    <row r="2582" spans="37:37" x14ac:dyDescent="0.2">
      <c r="AK2582" s="685">
        <f t="shared" si="54"/>
        <v>0</v>
      </c>
    </row>
    <row r="2583" spans="37:37" x14ac:dyDescent="0.2">
      <c r="AK2583" s="685">
        <f t="shared" si="54"/>
        <v>0</v>
      </c>
    </row>
    <row r="2584" spans="37:37" x14ac:dyDescent="0.2">
      <c r="AK2584" s="685">
        <f t="shared" ref="AK2584:AK2647" si="55">SUM(O2584:AJ2584)</f>
        <v>0</v>
      </c>
    </row>
    <row r="2585" spans="37:37" x14ac:dyDescent="0.2">
      <c r="AK2585" s="685">
        <f t="shared" si="55"/>
        <v>0</v>
      </c>
    </row>
    <row r="2586" spans="37:37" x14ac:dyDescent="0.2">
      <c r="AK2586" s="685">
        <f t="shared" si="55"/>
        <v>0</v>
      </c>
    </row>
    <row r="2587" spans="37:37" x14ac:dyDescent="0.2">
      <c r="AK2587" s="685">
        <f t="shared" si="55"/>
        <v>0</v>
      </c>
    </row>
    <row r="2588" spans="37:37" x14ac:dyDescent="0.2">
      <c r="AK2588" s="685">
        <f t="shared" si="55"/>
        <v>0</v>
      </c>
    </row>
    <row r="2589" spans="37:37" x14ac:dyDescent="0.2">
      <c r="AK2589" s="685">
        <f t="shared" si="55"/>
        <v>0</v>
      </c>
    </row>
    <row r="2590" spans="37:37" x14ac:dyDescent="0.2">
      <c r="AK2590" s="685">
        <f t="shared" si="55"/>
        <v>0</v>
      </c>
    </row>
    <row r="2591" spans="37:37" x14ac:dyDescent="0.2">
      <c r="AK2591" s="685">
        <f t="shared" si="55"/>
        <v>0</v>
      </c>
    </row>
    <row r="2592" spans="37:37" x14ac:dyDescent="0.2">
      <c r="AK2592" s="685">
        <f t="shared" si="55"/>
        <v>0</v>
      </c>
    </row>
    <row r="2593" spans="37:37" x14ac:dyDescent="0.2">
      <c r="AK2593" s="685">
        <f t="shared" si="55"/>
        <v>0</v>
      </c>
    </row>
    <row r="2594" spans="37:37" x14ac:dyDescent="0.2">
      <c r="AK2594" s="685">
        <f t="shared" si="55"/>
        <v>0</v>
      </c>
    </row>
    <row r="2595" spans="37:37" x14ac:dyDescent="0.2">
      <c r="AK2595" s="685">
        <f t="shared" si="55"/>
        <v>0</v>
      </c>
    </row>
    <row r="2596" spans="37:37" x14ac:dyDescent="0.2">
      <c r="AK2596" s="685">
        <f t="shared" si="55"/>
        <v>0</v>
      </c>
    </row>
    <row r="2597" spans="37:37" x14ac:dyDescent="0.2">
      <c r="AK2597" s="685">
        <f t="shared" si="55"/>
        <v>0</v>
      </c>
    </row>
    <row r="2598" spans="37:37" x14ac:dyDescent="0.2">
      <c r="AK2598" s="685">
        <f t="shared" si="55"/>
        <v>0</v>
      </c>
    </row>
    <row r="2599" spans="37:37" x14ac:dyDescent="0.2">
      <c r="AK2599" s="685">
        <f t="shared" si="55"/>
        <v>0</v>
      </c>
    </row>
    <row r="2600" spans="37:37" x14ac:dyDescent="0.2">
      <c r="AK2600" s="685">
        <f t="shared" si="55"/>
        <v>0</v>
      </c>
    </row>
    <row r="2601" spans="37:37" x14ac:dyDescent="0.2">
      <c r="AK2601" s="685">
        <f t="shared" si="55"/>
        <v>0</v>
      </c>
    </row>
    <row r="2602" spans="37:37" x14ac:dyDescent="0.2">
      <c r="AK2602" s="685">
        <f t="shared" si="55"/>
        <v>0</v>
      </c>
    </row>
    <row r="2603" spans="37:37" x14ac:dyDescent="0.2">
      <c r="AK2603" s="685">
        <f t="shared" si="55"/>
        <v>0</v>
      </c>
    </row>
    <row r="2604" spans="37:37" x14ac:dyDescent="0.2">
      <c r="AK2604" s="685">
        <f t="shared" si="55"/>
        <v>0</v>
      </c>
    </row>
    <row r="2605" spans="37:37" x14ac:dyDescent="0.2">
      <c r="AK2605" s="685">
        <f t="shared" si="55"/>
        <v>0</v>
      </c>
    </row>
    <row r="2606" spans="37:37" x14ac:dyDescent="0.2">
      <c r="AK2606" s="685">
        <f t="shared" si="55"/>
        <v>0</v>
      </c>
    </row>
    <row r="2607" spans="37:37" x14ac:dyDescent="0.2">
      <c r="AK2607" s="685">
        <f t="shared" si="55"/>
        <v>0</v>
      </c>
    </row>
    <row r="2608" spans="37:37" x14ac:dyDescent="0.2">
      <c r="AK2608" s="685">
        <f t="shared" si="55"/>
        <v>0</v>
      </c>
    </row>
    <row r="2609" spans="37:37" x14ac:dyDescent="0.2">
      <c r="AK2609" s="685">
        <f t="shared" si="55"/>
        <v>0</v>
      </c>
    </row>
    <row r="2610" spans="37:37" x14ac:dyDescent="0.2">
      <c r="AK2610" s="685">
        <f t="shared" si="55"/>
        <v>0</v>
      </c>
    </row>
    <row r="2611" spans="37:37" x14ac:dyDescent="0.2">
      <c r="AK2611" s="685">
        <f t="shared" si="55"/>
        <v>0</v>
      </c>
    </row>
    <row r="2612" spans="37:37" x14ac:dyDescent="0.2">
      <c r="AK2612" s="685">
        <f t="shared" si="55"/>
        <v>0</v>
      </c>
    </row>
    <row r="2613" spans="37:37" x14ac:dyDescent="0.2">
      <c r="AK2613" s="685">
        <f t="shared" si="55"/>
        <v>0</v>
      </c>
    </row>
    <row r="2614" spans="37:37" x14ac:dyDescent="0.2">
      <c r="AK2614" s="685">
        <f t="shared" si="55"/>
        <v>0</v>
      </c>
    </row>
    <row r="2615" spans="37:37" x14ac:dyDescent="0.2">
      <c r="AK2615" s="685">
        <f t="shared" si="55"/>
        <v>0</v>
      </c>
    </row>
    <row r="2616" spans="37:37" x14ac:dyDescent="0.2">
      <c r="AK2616" s="685">
        <f t="shared" si="55"/>
        <v>0</v>
      </c>
    </row>
    <row r="2617" spans="37:37" x14ac:dyDescent="0.2">
      <c r="AK2617" s="685">
        <f t="shared" si="55"/>
        <v>0</v>
      </c>
    </row>
    <row r="2618" spans="37:37" x14ac:dyDescent="0.2">
      <c r="AK2618" s="685">
        <f t="shared" si="55"/>
        <v>0</v>
      </c>
    </row>
    <row r="2619" spans="37:37" x14ac:dyDescent="0.2">
      <c r="AK2619" s="685">
        <f t="shared" si="55"/>
        <v>0</v>
      </c>
    </row>
    <row r="2620" spans="37:37" x14ac:dyDescent="0.2">
      <c r="AK2620" s="685">
        <f t="shared" si="55"/>
        <v>0</v>
      </c>
    </row>
    <row r="2621" spans="37:37" x14ac:dyDescent="0.2">
      <c r="AK2621" s="685">
        <f t="shared" si="55"/>
        <v>0</v>
      </c>
    </row>
    <row r="2622" spans="37:37" x14ac:dyDescent="0.2">
      <c r="AK2622" s="685">
        <f t="shared" si="55"/>
        <v>0</v>
      </c>
    </row>
    <row r="2623" spans="37:37" x14ac:dyDescent="0.2">
      <c r="AK2623" s="685">
        <f t="shared" si="55"/>
        <v>0</v>
      </c>
    </row>
    <row r="2624" spans="37:37" x14ac:dyDescent="0.2">
      <c r="AK2624" s="685">
        <f t="shared" si="55"/>
        <v>0</v>
      </c>
    </row>
    <row r="2625" spans="37:37" x14ac:dyDescent="0.2">
      <c r="AK2625" s="685">
        <f t="shared" si="55"/>
        <v>0</v>
      </c>
    </row>
    <row r="2626" spans="37:37" x14ac:dyDescent="0.2">
      <c r="AK2626" s="685">
        <f t="shared" si="55"/>
        <v>0</v>
      </c>
    </row>
    <row r="2627" spans="37:37" x14ac:dyDescent="0.2">
      <c r="AK2627" s="685">
        <f t="shared" si="55"/>
        <v>0</v>
      </c>
    </row>
    <row r="2628" spans="37:37" x14ac:dyDescent="0.2">
      <c r="AK2628" s="685">
        <f t="shared" si="55"/>
        <v>0</v>
      </c>
    </row>
    <row r="2629" spans="37:37" x14ac:dyDescent="0.2">
      <c r="AK2629" s="685">
        <f t="shared" si="55"/>
        <v>0</v>
      </c>
    </row>
    <row r="2630" spans="37:37" x14ac:dyDescent="0.2">
      <c r="AK2630" s="685">
        <f t="shared" si="55"/>
        <v>0</v>
      </c>
    </row>
    <row r="2631" spans="37:37" x14ac:dyDescent="0.2">
      <c r="AK2631" s="685">
        <f t="shared" si="55"/>
        <v>0</v>
      </c>
    </row>
    <row r="2632" spans="37:37" x14ac:dyDescent="0.2">
      <c r="AK2632" s="685">
        <f t="shared" si="55"/>
        <v>0</v>
      </c>
    </row>
    <row r="2633" spans="37:37" x14ac:dyDescent="0.2">
      <c r="AK2633" s="685">
        <f t="shared" si="55"/>
        <v>0</v>
      </c>
    </row>
    <row r="2634" spans="37:37" x14ac:dyDescent="0.2">
      <c r="AK2634" s="685">
        <f t="shared" si="55"/>
        <v>0</v>
      </c>
    </row>
    <row r="2635" spans="37:37" x14ac:dyDescent="0.2">
      <c r="AK2635" s="685">
        <f t="shared" si="55"/>
        <v>0</v>
      </c>
    </row>
    <row r="2636" spans="37:37" x14ac:dyDescent="0.2">
      <c r="AK2636" s="685">
        <f t="shared" si="55"/>
        <v>0</v>
      </c>
    </row>
    <row r="2637" spans="37:37" x14ac:dyDescent="0.2">
      <c r="AK2637" s="685">
        <f t="shared" si="55"/>
        <v>0</v>
      </c>
    </row>
    <row r="2638" spans="37:37" x14ac:dyDescent="0.2">
      <c r="AK2638" s="685">
        <f t="shared" si="55"/>
        <v>0</v>
      </c>
    </row>
    <row r="2639" spans="37:37" x14ac:dyDescent="0.2">
      <c r="AK2639" s="685">
        <f t="shared" si="55"/>
        <v>0</v>
      </c>
    </row>
    <row r="2640" spans="37:37" x14ac:dyDescent="0.2">
      <c r="AK2640" s="685">
        <f t="shared" si="55"/>
        <v>0</v>
      </c>
    </row>
    <row r="2641" spans="37:37" x14ac:dyDescent="0.2">
      <c r="AK2641" s="685">
        <f t="shared" si="55"/>
        <v>0</v>
      </c>
    </row>
    <row r="2642" spans="37:37" x14ac:dyDescent="0.2">
      <c r="AK2642" s="685">
        <f t="shared" si="55"/>
        <v>0</v>
      </c>
    </row>
    <row r="2643" spans="37:37" x14ac:dyDescent="0.2">
      <c r="AK2643" s="685">
        <f t="shared" si="55"/>
        <v>0</v>
      </c>
    </row>
    <row r="2644" spans="37:37" x14ac:dyDescent="0.2">
      <c r="AK2644" s="685">
        <f t="shared" si="55"/>
        <v>0</v>
      </c>
    </row>
    <row r="2645" spans="37:37" x14ac:dyDescent="0.2">
      <c r="AK2645" s="685">
        <f t="shared" si="55"/>
        <v>0</v>
      </c>
    </row>
    <row r="2646" spans="37:37" x14ac:dyDescent="0.2">
      <c r="AK2646" s="685">
        <f t="shared" si="55"/>
        <v>0</v>
      </c>
    </row>
    <row r="2647" spans="37:37" x14ac:dyDescent="0.2">
      <c r="AK2647" s="685">
        <f t="shared" si="55"/>
        <v>0</v>
      </c>
    </row>
    <row r="2648" spans="37:37" x14ac:dyDescent="0.2">
      <c r="AK2648" s="685">
        <f t="shared" ref="AK2648:AK2711" si="56">SUM(O2648:AJ2648)</f>
        <v>0</v>
      </c>
    </row>
    <row r="2649" spans="37:37" x14ac:dyDescent="0.2">
      <c r="AK2649" s="685">
        <f t="shared" si="56"/>
        <v>0</v>
      </c>
    </row>
    <row r="2650" spans="37:37" x14ac:dyDescent="0.2">
      <c r="AK2650" s="685">
        <f t="shared" si="56"/>
        <v>0</v>
      </c>
    </row>
    <row r="2651" spans="37:37" x14ac:dyDescent="0.2">
      <c r="AK2651" s="685">
        <f t="shared" si="56"/>
        <v>0</v>
      </c>
    </row>
    <row r="2652" spans="37:37" x14ac:dyDescent="0.2">
      <c r="AK2652" s="685">
        <f t="shared" si="56"/>
        <v>0</v>
      </c>
    </row>
    <row r="2653" spans="37:37" x14ac:dyDescent="0.2">
      <c r="AK2653" s="685">
        <f t="shared" si="56"/>
        <v>0</v>
      </c>
    </row>
    <row r="2654" spans="37:37" x14ac:dyDescent="0.2">
      <c r="AK2654" s="685">
        <f t="shared" si="56"/>
        <v>0</v>
      </c>
    </row>
    <row r="2655" spans="37:37" x14ac:dyDescent="0.2">
      <c r="AK2655" s="685">
        <f t="shared" si="56"/>
        <v>0</v>
      </c>
    </row>
    <row r="2656" spans="37:37" x14ac:dyDescent="0.2">
      <c r="AK2656" s="685">
        <f t="shared" si="56"/>
        <v>0</v>
      </c>
    </row>
    <row r="2657" spans="37:37" x14ac:dyDescent="0.2">
      <c r="AK2657" s="685">
        <f t="shared" si="56"/>
        <v>0</v>
      </c>
    </row>
    <row r="2658" spans="37:37" x14ac:dyDescent="0.2">
      <c r="AK2658" s="685">
        <f t="shared" si="56"/>
        <v>0</v>
      </c>
    </row>
    <row r="2659" spans="37:37" x14ac:dyDescent="0.2">
      <c r="AK2659" s="685">
        <f t="shared" si="56"/>
        <v>0</v>
      </c>
    </row>
    <row r="2660" spans="37:37" x14ac:dyDescent="0.2">
      <c r="AK2660" s="685">
        <f t="shared" si="56"/>
        <v>0</v>
      </c>
    </row>
    <row r="2661" spans="37:37" x14ac:dyDescent="0.2">
      <c r="AK2661" s="685">
        <f t="shared" si="56"/>
        <v>0</v>
      </c>
    </row>
    <row r="2662" spans="37:37" x14ac:dyDescent="0.2">
      <c r="AK2662" s="685">
        <f t="shared" si="56"/>
        <v>0</v>
      </c>
    </row>
    <row r="2663" spans="37:37" x14ac:dyDescent="0.2">
      <c r="AK2663" s="685">
        <f t="shared" si="56"/>
        <v>0</v>
      </c>
    </row>
    <row r="2664" spans="37:37" x14ac:dyDescent="0.2">
      <c r="AK2664" s="685">
        <f t="shared" si="56"/>
        <v>0</v>
      </c>
    </row>
    <row r="2665" spans="37:37" x14ac:dyDescent="0.2">
      <c r="AK2665" s="685">
        <f t="shared" si="56"/>
        <v>0</v>
      </c>
    </row>
    <row r="2666" spans="37:37" x14ac:dyDescent="0.2">
      <c r="AK2666" s="685">
        <f t="shared" si="56"/>
        <v>0</v>
      </c>
    </row>
    <row r="2667" spans="37:37" x14ac:dyDescent="0.2">
      <c r="AK2667" s="685">
        <f t="shared" si="56"/>
        <v>0</v>
      </c>
    </row>
    <row r="2668" spans="37:37" x14ac:dyDescent="0.2">
      <c r="AK2668" s="685">
        <f t="shared" si="56"/>
        <v>0</v>
      </c>
    </row>
    <row r="2669" spans="37:37" x14ac:dyDescent="0.2">
      <c r="AK2669" s="685">
        <f t="shared" si="56"/>
        <v>0</v>
      </c>
    </row>
    <row r="2670" spans="37:37" x14ac:dyDescent="0.2">
      <c r="AK2670" s="685">
        <f t="shared" si="56"/>
        <v>0</v>
      </c>
    </row>
    <row r="2671" spans="37:37" x14ac:dyDescent="0.2">
      <c r="AK2671" s="685">
        <f t="shared" si="56"/>
        <v>0</v>
      </c>
    </row>
    <row r="2672" spans="37:37" x14ac:dyDescent="0.2">
      <c r="AK2672" s="685">
        <f t="shared" si="56"/>
        <v>0</v>
      </c>
    </row>
    <row r="2673" spans="37:37" x14ac:dyDescent="0.2">
      <c r="AK2673" s="685">
        <f t="shared" si="56"/>
        <v>0</v>
      </c>
    </row>
    <row r="2674" spans="37:37" x14ac:dyDescent="0.2">
      <c r="AK2674" s="685">
        <f t="shared" si="56"/>
        <v>0</v>
      </c>
    </row>
    <row r="2675" spans="37:37" x14ac:dyDescent="0.2">
      <c r="AK2675" s="685">
        <f t="shared" si="56"/>
        <v>0</v>
      </c>
    </row>
    <row r="2676" spans="37:37" x14ac:dyDescent="0.2">
      <c r="AK2676" s="685">
        <f t="shared" si="56"/>
        <v>0</v>
      </c>
    </row>
    <row r="2677" spans="37:37" x14ac:dyDescent="0.2">
      <c r="AK2677" s="685">
        <f t="shared" si="56"/>
        <v>0</v>
      </c>
    </row>
    <row r="2678" spans="37:37" x14ac:dyDescent="0.2">
      <c r="AK2678" s="685">
        <f t="shared" si="56"/>
        <v>0</v>
      </c>
    </row>
    <row r="2679" spans="37:37" x14ac:dyDescent="0.2">
      <c r="AK2679" s="685">
        <f t="shared" si="56"/>
        <v>0</v>
      </c>
    </row>
    <row r="2680" spans="37:37" x14ac:dyDescent="0.2">
      <c r="AK2680" s="685">
        <f t="shared" si="56"/>
        <v>0</v>
      </c>
    </row>
    <row r="2681" spans="37:37" x14ac:dyDescent="0.2">
      <c r="AK2681" s="685">
        <f t="shared" si="56"/>
        <v>0</v>
      </c>
    </row>
    <row r="2682" spans="37:37" x14ac:dyDescent="0.2">
      <c r="AK2682" s="685">
        <f t="shared" si="56"/>
        <v>0</v>
      </c>
    </row>
    <row r="2683" spans="37:37" x14ac:dyDescent="0.2">
      <c r="AK2683" s="685">
        <f t="shared" si="56"/>
        <v>0</v>
      </c>
    </row>
    <row r="2684" spans="37:37" x14ac:dyDescent="0.2">
      <c r="AK2684" s="685">
        <f t="shared" si="56"/>
        <v>0</v>
      </c>
    </row>
    <row r="2685" spans="37:37" x14ac:dyDescent="0.2">
      <c r="AK2685" s="685">
        <f t="shared" si="56"/>
        <v>0</v>
      </c>
    </row>
    <row r="2686" spans="37:37" x14ac:dyDescent="0.2">
      <c r="AK2686" s="685">
        <f t="shared" si="56"/>
        <v>0</v>
      </c>
    </row>
    <row r="2687" spans="37:37" x14ac:dyDescent="0.2">
      <c r="AK2687" s="685">
        <f t="shared" si="56"/>
        <v>0</v>
      </c>
    </row>
    <row r="2688" spans="37:37" x14ac:dyDescent="0.2">
      <c r="AK2688" s="685">
        <f t="shared" si="56"/>
        <v>0</v>
      </c>
    </row>
    <row r="2689" spans="37:37" x14ac:dyDescent="0.2">
      <c r="AK2689" s="685">
        <f t="shared" si="56"/>
        <v>0</v>
      </c>
    </row>
    <row r="2690" spans="37:37" x14ac:dyDescent="0.2">
      <c r="AK2690" s="685">
        <f t="shared" si="56"/>
        <v>0</v>
      </c>
    </row>
    <row r="2691" spans="37:37" x14ac:dyDescent="0.2">
      <c r="AK2691" s="685">
        <f t="shared" si="56"/>
        <v>0</v>
      </c>
    </row>
    <row r="2692" spans="37:37" x14ac:dyDescent="0.2">
      <c r="AK2692" s="685">
        <f t="shared" si="56"/>
        <v>0</v>
      </c>
    </row>
    <row r="2693" spans="37:37" x14ac:dyDescent="0.2">
      <c r="AK2693" s="685">
        <f t="shared" si="56"/>
        <v>0</v>
      </c>
    </row>
    <row r="2694" spans="37:37" x14ac:dyDescent="0.2">
      <c r="AK2694" s="685">
        <f t="shared" si="56"/>
        <v>0</v>
      </c>
    </row>
    <row r="2695" spans="37:37" x14ac:dyDescent="0.2">
      <c r="AK2695" s="685">
        <f t="shared" si="56"/>
        <v>0</v>
      </c>
    </row>
    <row r="2696" spans="37:37" x14ac:dyDescent="0.2">
      <c r="AK2696" s="685">
        <f t="shared" si="56"/>
        <v>0</v>
      </c>
    </row>
    <row r="2697" spans="37:37" x14ac:dyDescent="0.2">
      <c r="AK2697" s="685">
        <f t="shared" si="56"/>
        <v>0</v>
      </c>
    </row>
    <row r="2698" spans="37:37" x14ac:dyDescent="0.2">
      <c r="AK2698" s="685">
        <f t="shared" si="56"/>
        <v>0</v>
      </c>
    </row>
    <row r="2699" spans="37:37" x14ac:dyDescent="0.2">
      <c r="AK2699" s="685">
        <f t="shared" si="56"/>
        <v>0</v>
      </c>
    </row>
    <row r="2700" spans="37:37" x14ac:dyDescent="0.2">
      <c r="AK2700" s="685">
        <f t="shared" si="56"/>
        <v>0</v>
      </c>
    </row>
    <row r="2701" spans="37:37" x14ac:dyDescent="0.2">
      <c r="AK2701" s="685">
        <f t="shared" si="56"/>
        <v>0</v>
      </c>
    </row>
    <row r="2702" spans="37:37" x14ac:dyDescent="0.2">
      <c r="AK2702" s="685">
        <f t="shared" si="56"/>
        <v>0</v>
      </c>
    </row>
    <row r="2703" spans="37:37" x14ac:dyDescent="0.2">
      <c r="AK2703" s="685">
        <f t="shared" si="56"/>
        <v>0</v>
      </c>
    </row>
    <row r="2704" spans="37:37" x14ac:dyDescent="0.2">
      <c r="AK2704" s="685">
        <f t="shared" si="56"/>
        <v>0</v>
      </c>
    </row>
    <row r="2705" spans="37:37" x14ac:dyDescent="0.2">
      <c r="AK2705" s="685">
        <f t="shared" si="56"/>
        <v>0</v>
      </c>
    </row>
    <row r="2706" spans="37:37" x14ac:dyDescent="0.2">
      <c r="AK2706" s="685">
        <f t="shared" si="56"/>
        <v>0</v>
      </c>
    </row>
    <row r="2707" spans="37:37" x14ac:dyDescent="0.2">
      <c r="AK2707" s="685">
        <f t="shared" si="56"/>
        <v>0</v>
      </c>
    </row>
    <row r="2708" spans="37:37" x14ac:dyDescent="0.2">
      <c r="AK2708" s="685">
        <f t="shared" si="56"/>
        <v>0</v>
      </c>
    </row>
    <row r="2709" spans="37:37" x14ac:dyDescent="0.2">
      <c r="AK2709" s="685">
        <f t="shared" si="56"/>
        <v>0</v>
      </c>
    </row>
    <row r="2710" spans="37:37" x14ac:dyDescent="0.2">
      <c r="AK2710" s="685">
        <f t="shared" si="56"/>
        <v>0</v>
      </c>
    </row>
    <row r="2711" spans="37:37" x14ac:dyDescent="0.2">
      <c r="AK2711" s="685">
        <f t="shared" si="56"/>
        <v>0</v>
      </c>
    </row>
    <row r="2712" spans="37:37" x14ac:dyDescent="0.2">
      <c r="AK2712" s="685">
        <f t="shared" ref="AK2712:AK2775" si="57">SUM(O2712:AJ2712)</f>
        <v>0</v>
      </c>
    </row>
    <row r="2713" spans="37:37" x14ac:dyDescent="0.2">
      <c r="AK2713" s="685">
        <f t="shared" si="57"/>
        <v>0</v>
      </c>
    </row>
    <row r="2714" spans="37:37" x14ac:dyDescent="0.2">
      <c r="AK2714" s="685">
        <f t="shared" si="57"/>
        <v>0</v>
      </c>
    </row>
    <row r="2715" spans="37:37" x14ac:dyDescent="0.2">
      <c r="AK2715" s="685">
        <f t="shared" si="57"/>
        <v>0</v>
      </c>
    </row>
    <row r="2716" spans="37:37" x14ac:dyDescent="0.2">
      <c r="AK2716" s="685">
        <f t="shared" si="57"/>
        <v>0</v>
      </c>
    </row>
    <row r="2717" spans="37:37" x14ac:dyDescent="0.2">
      <c r="AK2717" s="685">
        <f t="shared" si="57"/>
        <v>0</v>
      </c>
    </row>
    <row r="2718" spans="37:37" x14ac:dyDescent="0.2">
      <c r="AK2718" s="685">
        <f t="shared" si="57"/>
        <v>0</v>
      </c>
    </row>
    <row r="2719" spans="37:37" x14ac:dyDescent="0.2">
      <c r="AK2719" s="685">
        <f t="shared" si="57"/>
        <v>0</v>
      </c>
    </row>
    <row r="2720" spans="37:37" x14ac:dyDescent="0.2">
      <c r="AK2720" s="685">
        <f t="shared" si="57"/>
        <v>0</v>
      </c>
    </row>
    <row r="2721" spans="37:37" x14ac:dyDescent="0.2">
      <c r="AK2721" s="685">
        <f t="shared" si="57"/>
        <v>0</v>
      </c>
    </row>
    <row r="2722" spans="37:37" x14ac:dyDescent="0.2">
      <c r="AK2722" s="685">
        <f t="shared" si="57"/>
        <v>0</v>
      </c>
    </row>
    <row r="2723" spans="37:37" x14ac:dyDescent="0.2">
      <c r="AK2723" s="685">
        <f t="shared" si="57"/>
        <v>0</v>
      </c>
    </row>
    <row r="2724" spans="37:37" x14ac:dyDescent="0.2">
      <c r="AK2724" s="685">
        <f t="shared" si="57"/>
        <v>0</v>
      </c>
    </row>
    <row r="2725" spans="37:37" x14ac:dyDescent="0.2">
      <c r="AK2725" s="685">
        <f t="shared" si="57"/>
        <v>0</v>
      </c>
    </row>
    <row r="2726" spans="37:37" x14ac:dyDescent="0.2">
      <c r="AK2726" s="685">
        <f t="shared" si="57"/>
        <v>0</v>
      </c>
    </row>
    <row r="2727" spans="37:37" x14ac:dyDescent="0.2">
      <c r="AK2727" s="685">
        <f t="shared" si="57"/>
        <v>0</v>
      </c>
    </row>
    <row r="2728" spans="37:37" x14ac:dyDescent="0.2">
      <c r="AK2728" s="685">
        <f t="shared" si="57"/>
        <v>0</v>
      </c>
    </row>
    <row r="2729" spans="37:37" x14ac:dyDescent="0.2">
      <c r="AK2729" s="685">
        <f t="shared" si="57"/>
        <v>0</v>
      </c>
    </row>
    <row r="2730" spans="37:37" x14ac:dyDescent="0.2">
      <c r="AK2730" s="685">
        <f t="shared" si="57"/>
        <v>0</v>
      </c>
    </row>
    <row r="2731" spans="37:37" x14ac:dyDescent="0.2">
      <c r="AK2731" s="685">
        <f t="shared" si="57"/>
        <v>0</v>
      </c>
    </row>
    <row r="2732" spans="37:37" x14ac:dyDescent="0.2">
      <c r="AK2732" s="685">
        <f t="shared" si="57"/>
        <v>0</v>
      </c>
    </row>
    <row r="2733" spans="37:37" x14ac:dyDescent="0.2">
      <c r="AK2733" s="685">
        <f t="shared" si="57"/>
        <v>0</v>
      </c>
    </row>
    <row r="2734" spans="37:37" x14ac:dyDescent="0.2">
      <c r="AK2734" s="685">
        <f t="shared" si="57"/>
        <v>0</v>
      </c>
    </row>
    <row r="2735" spans="37:37" x14ac:dyDescent="0.2">
      <c r="AK2735" s="685">
        <f t="shared" si="57"/>
        <v>0</v>
      </c>
    </row>
    <row r="2736" spans="37:37" x14ac:dyDescent="0.2">
      <c r="AK2736" s="685">
        <f t="shared" si="57"/>
        <v>0</v>
      </c>
    </row>
    <row r="2737" spans="37:37" x14ac:dyDescent="0.2">
      <c r="AK2737" s="685">
        <f t="shared" si="57"/>
        <v>0</v>
      </c>
    </row>
    <row r="2738" spans="37:37" x14ac:dyDescent="0.2">
      <c r="AK2738" s="685">
        <f t="shared" si="57"/>
        <v>0</v>
      </c>
    </row>
    <row r="2739" spans="37:37" x14ac:dyDescent="0.2">
      <c r="AK2739" s="685">
        <f t="shared" si="57"/>
        <v>0</v>
      </c>
    </row>
    <row r="2740" spans="37:37" x14ac:dyDescent="0.2">
      <c r="AK2740" s="685">
        <f t="shared" si="57"/>
        <v>0</v>
      </c>
    </row>
    <row r="2741" spans="37:37" x14ac:dyDescent="0.2">
      <c r="AK2741" s="685">
        <f t="shared" si="57"/>
        <v>0</v>
      </c>
    </row>
    <row r="2742" spans="37:37" x14ac:dyDescent="0.2">
      <c r="AK2742" s="685">
        <f t="shared" si="57"/>
        <v>0</v>
      </c>
    </row>
    <row r="2743" spans="37:37" x14ac:dyDescent="0.2">
      <c r="AK2743" s="685">
        <f t="shared" si="57"/>
        <v>0</v>
      </c>
    </row>
    <row r="2744" spans="37:37" x14ac:dyDescent="0.2">
      <c r="AK2744" s="685">
        <f t="shared" si="57"/>
        <v>0</v>
      </c>
    </row>
    <row r="2745" spans="37:37" x14ac:dyDescent="0.2">
      <c r="AK2745" s="685">
        <f t="shared" si="57"/>
        <v>0</v>
      </c>
    </row>
    <row r="2746" spans="37:37" x14ac:dyDescent="0.2">
      <c r="AK2746" s="685">
        <f t="shared" si="57"/>
        <v>0</v>
      </c>
    </row>
    <row r="2747" spans="37:37" x14ac:dyDescent="0.2">
      <c r="AK2747" s="685">
        <f t="shared" si="57"/>
        <v>0</v>
      </c>
    </row>
    <row r="2748" spans="37:37" x14ac:dyDescent="0.2">
      <c r="AK2748" s="685">
        <f t="shared" si="57"/>
        <v>0</v>
      </c>
    </row>
    <row r="2749" spans="37:37" x14ac:dyDescent="0.2">
      <c r="AK2749" s="685">
        <f t="shared" si="57"/>
        <v>0</v>
      </c>
    </row>
    <row r="2750" spans="37:37" x14ac:dyDescent="0.2">
      <c r="AK2750" s="685">
        <f t="shared" si="57"/>
        <v>0</v>
      </c>
    </row>
    <row r="2751" spans="37:37" x14ac:dyDescent="0.2">
      <c r="AK2751" s="685">
        <f t="shared" si="57"/>
        <v>0</v>
      </c>
    </row>
    <row r="2752" spans="37:37" x14ac:dyDescent="0.2">
      <c r="AK2752" s="685">
        <f t="shared" si="57"/>
        <v>0</v>
      </c>
    </row>
    <row r="2753" spans="37:37" x14ac:dyDescent="0.2">
      <c r="AK2753" s="685">
        <f t="shared" si="57"/>
        <v>0</v>
      </c>
    </row>
    <row r="2754" spans="37:37" x14ac:dyDescent="0.2">
      <c r="AK2754" s="685">
        <f t="shared" si="57"/>
        <v>0</v>
      </c>
    </row>
    <row r="2755" spans="37:37" x14ac:dyDescent="0.2">
      <c r="AK2755" s="685">
        <f t="shared" si="57"/>
        <v>0</v>
      </c>
    </row>
    <row r="2756" spans="37:37" x14ac:dyDescent="0.2">
      <c r="AK2756" s="685">
        <f t="shared" si="57"/>
        <v>0</v>
      </c>
    </row>
    <row r="2757" spans="37:37" x14ac:dyDescent="0.2">
      <c r="AK2757" s="685">
        <f t="shared" si="57"/>
        <v>0</v>
      </c>
    </row>
    <row r="2758" spans="37:37" x14ac:dyDescent="0.2">
      <c r="AK2758" s="685">
        <f t="shared" si="57"/>
        <v>0</v>
      </c>
    </row>
    <row r="2759" spans="37:37" x14ac:dyDescent="0.2">
      <c r="AK2759" s="685">
        <f t="shared" si="57"/>
        <v>0</v>
      </c>
    </row>
    <row r="2760" spans="37:37" x14ac:dyDescent="0.2">
      <c r="AK2760" s="685">
        <f t="shared" si="57"/>
        <v>0</v>
      </c>
    </row>
    <row r="2761" spans="37:37" x14ac:dyDescent="0.2">
      <c r="AK2761" s="685">
        <f t="shared" si="57"/>
        <v>0</v>
      </c>
    </row>
    <row r="2762" spans="37:37" x14ac:dyDescent="0.2">
      <c r="AK2762" s="685">
        <f t="shared" si="57"/>
        <v>0</v>
      </c>
    </row>
    <row r="2763" spans="37:37" x14ac:dyDescent="0.2">
      <c r="AK2763" s="685">
        <f t="shared" si="57"/>
        <v>0</v>
      </c>
    </row>
    <row r="2764" spans="37:37" x14ac:dyDescent="0.2">
      <c r="AK2764" s="685">
        <f t="shared" si="57"/>
        <v>0</v>
      </c>
    </row>
    <row r="2765" spans="37:37" x14ac:dyDescent="0.2">
      <c r="AK2765" s="685">
        <f t="shared" si="57"/>
        <v>0</v>
      </c>
    </row>
    <row r="2766" spans="37:37" x14ac:dyDescent="0.2">
      <c r="AK2766" s="685">
        <f t="shared" si="57"/>
        <v>0</v>
      </c>
    </row>
    <row r="2767" spans="37:37" x14ac:dyDescent="0.2">
      <c r="AK2767" s="685">
        <f t="shared" si="57"/>
        <v>0</v>
      </c>
    </row>
    <row r="2768" spans="37:37" x14ac:dyDescent="0.2">
      <c r="AK2768" s="685">
        <f t="shared" si="57"/>
        <v>0</v>
      </c>
    </row>
    <row r="2769" spans="37:37" x14ac:dyDescent="0.2">
      <c r="AK2769" s="685">
        <f t="shared" si="57"/>
        <v>0</v>
      </c>
    </row>
    <row r="2770" spans="37:37" x14ac:dyDescent="0.2">
      <c r="AK2770" s="685">
        <f t="shared" si="57"/>
        <v>0</v>
      </c>
    </row>
    <row r="2771" spans="37:37" x14ac:dyDescent="0.2">
      <c r="AK2771" s="685">
        <f t="shared" si="57"/>
        <v>0</v>
      </c>
    </row>
    <row r="2772" spans="37:37" x14ac:dyDescent="0.2">
      <c r="AK2772" s="685">
        <f t="shared" si="57"/>
        <v>0</v>
      </c>
    </row>
    <row r="2773" spans="37:37" x14ac:dyDescent="0.2">
      <c r="AK2773" s="685">
        <f t="shared" si="57"/>
        <v>0</v>
      </c>
    </row>
    <row r="2774" spans="37:37" x14ac:dyDescent="0.2">
      <c r="AK2774" s="685">
        <f t="shared" si="57"/>
        <v>0</v>
      </c>
    </row>
    <row r="2775" spans="37:37" x14ac:dyDescent="0.2">
      <c r="AK2775" s="685">
        <f t="shared" si="57"/>
        <v>0</v>
      </c>
    </row>
    <row r="2776" spans="37:37" x14ac:dyDescent="0.2">
      <c r="AK2776" s="685">
        <f t="shared" ref="AK2776:AK2839" si="58">SUM(O2776:AJ2776)</f>
        <v>0</v>
      </c>
    </row>
    <row r="2777" spans="37:37" x14ac:dyDescent="0.2">
      <c r="AK2777" s="685">
        <f t="shared" si="58"/>
        <v>0</v>
      </c>
    </row>
    <row r="2778" spans="37:37" x14ac:dyDescent="0.2">
      <c r="AK2778" s="685">
        <f t="shared" si="58"/>
        <v>0</v>
      </c>
    </row>
    <row r="2779" spans="37:37" x14ac:dyDescent="0.2">
      <c r="AK2779" s="685">
        <f t="shared" si="58"/>
        <v>0</v>
      </c>
    </row>
    <row r="2780" spans="37:37" x14ac:dyDescent="0.2">
      <c r="AK2780" s="685">
        <f t="shared" si="58"/>
        <v>0</v>
      </c>
    </row>
    <row r="2781" spans="37:37" x14ac:dyDescent="0.2">
      <c r="AK2781" s="685">
        <f t="shared" si="58"/>
        <v>0</v>
      </c>
    </row>
    <row r="2782" spans="37:37" x14ac:dyDescent="0.2">
      <c r="AK2782" s="685">
        <f t="shared" si="58"/>
        <v>0</v>
      </c>
    </row>
    <row r="2783" spans="37:37" x14ac:dyDescent="0.2">
      <c r="AK2783" s="685">
        <f t="shared" si="58"/>
        <v>0</v>
      </c>
    </row>
    <row r="2784" spans="37:37" x14ac:dyDescent="0.2">
      <c r="AK2784" s="685">
        <f t="shared" si="58"/>
        <v>0</v>
      </c>
    </row>
    <row r="2785" spans="37:37" x14ac:dyDescent="0.2">
      <c r="AK2785" s="685">
        <f t="shared" si="58"/>
        <v>0</v>
      </c>
    </row>
    <row r="2786" spans="37:37" x14ac:dyDescent="0.2">
      <c r="AK2786" s="685">
        <f t="shared" si="58"/>
        <v>0</v>
      </c>
    </row>
    <row r="2787" spans="37:37" x14ac:dyDescent="0.2">
      <c r="AK2787" s="685">
        <f t="shared" si="58"/>
        <v>0</v>
      </c>
    </row>
    <row r="2788" spans="37:37" x14ac:dyDescent="0.2">
      <c r="AK2788" s="685">
        <f t="shared" si="58"/>
        <v>0</v>
      </c>
    </row>
    <row r="2789" spans="37:37" x14ac:dyDescent="0.2">
      <c r="AK2789" s="685">
        <f t="shared" si="58"/>
        <v>0</v>
      </c>
    </row>
    <row r="2790" spans="37:37" x14ac:dyDescent="0.2">
      <c r="AK2790" s="685">
        <f t="shared" si="58"/>
        <v>0</v>
      </c>
    </row>
    <row r="2791" spans="37:37" x14ac:dyDescent="0.2">
      <c r="AK2791" s="685">
        <f t="shared" si="58"/>
        <v>0</v>
      </c>
    </row>
    <row r="2792" spans="37:37" x14ac:dyDescent="0.2">
      <c r="AK2792" s="685">
        <f t="shared" si="58"/>
        <v>0</v>
      </c>
    </row>
    <row r="2793" spans="37:37" x14ac:dyDescent="0.2">
      <c r="AK2793" s="685">
        <f t="shared" si="58"/>
        <v>0</v>
      </c>
    </row>
    <row r="2794" spans="37:37" x14ac:dyDescent="0.2">
      <c r="AK2794" s="685">
        <f t="shared" si="58"/>
        <v>0</v>
      </c>
    </row>
    <row r="2795" spans="37:37" x14ac:dyDescent="0.2">
      <c r="AK2795" s="685">
        <f t="shared" si="58"/>
        <v>0</v>
      </c>
    </row>
    <row r="2796" spans="37:37" x14ac:dyDescent="0.2">
      <c r="AK2796" s="685">
        <f t="shared" si="58"/>
        <v>0</v>
      </c>
    </row>
    <row r="2797" spans="37:37" x14ac:dyDescent="0.2">
      <c r="AK2797" s="685">
        <f t="shared" si="58"/>
        <v>0</v>
      </c>
    </row>
    <row r="2798" spans="37:37" x14ac:dyDescent="0.2">
      <c r="AK2798" s="685">
        <f t="shared" si="58"/>
        <v>0</v>
      </c>
    </row>
    <row r="2799" spans="37:37" x14ac:dyDescent="0.2">
      <c r="AK2799" s="685">
        <f t="shared" si="58"/>
        <v>0</v>
      </c>
    </row>
    <row r="2800" spans="37:37" x14ac:dyDescent="0.2">
      <c r="AK2800" s="685">
        <f t="shared" si="58"/>
        <v>0</v>
      </c>
    </row>
    <row r="2801" spans="37:37" x14ac:dyDescent="0.2">
      <c r="AK2801" s="685">
        <f t="shared" si="58"/>
        <v>0</v>
      </c>
    </row>
    <row r="2802" spans="37:37" x14ac:dyDescent="0.2">
      <c r="AK2802" s="685">
        <f t="shared" si="58"/>
        <v>0</v>
      </c>
    </row>
    <row r="2803" spans="37:37" x14ac:dyDescent="0.2">
      <c r="AK2803" s="685">
        <f t="shared" si="58"/>
        <v>0</v>
      </c>
    </row>
    <row r="2804" spans="37:37" x14ac:dyDescent="0.2">
      <c r="AK2804" s="685">
        <f t="shared" si="58"/>
        <v>0</v>
      </c>
    </row>
    <row r="2805" spans="37:37" x14ac:dyDescent="0.2">
      <c r="AK2805" s="685">
        <f t="shared" si="58"/>
        <v>0</v>
      </c>
    </row>
    <row r="2806" spans="37:37" x14ac:dyDescent="0.2">
      <c r="AK2806" s="685">
        <f t="shared" si="58"/>
        <v>0</v>
      </c>
    </row>
    <row r="2807" spans="37:37" x14ac:dyDescent="0.2">
      <c r="AK2807" s="685">
        <f t="shared" si="58"/>
        <v>0</v>
      </c>
    </row>
    <row r="2808" spans="37:37" x14ac:dyDescent="0.2">
      <c r="AK2808" s="685">
        <f t="shared" si="58"/>
        <v>0</v>
      </c>
    </row>
    <row r="2809" spans="37:37" x14ac:dyDescent="0.2">
      <c r="AK2809" s="685">
        <f t="shared" si="58"/>
        <v>0</v>
      </c>
    </row>
    <row r="2810" spans="37:37" x14ac:dyDescent="0.2">
      <c r="AK2810" s="685">
        <f t="shared" si="58"/>
        <v>0</v>
      </c>
    </row>
    <row r="2811" spans="37:37" x14ac:dyDescent="0.2">
      <c r="AK2811" s="685">
        <f t="shared" si="58"/>
        <v>0</v>
      </c>
    </row>
    <row r="2812" spans="37:37" x14ac:dyDescent="0.2">
      <c r="AK2812" s="685">
        <f t="shared" si="58"/>
        <v>0</v>
      </c>
    </row>
    <row r="2813" spans="37:37" x14ac:dyDescent="0.2">
      <c r="AK2813" s="685">
        <f t="shared" si="58"/>
        <v>0</v>
      </c>
    </row>
    <row r="2814" spans="37:37" x14ac:dyDescent="0.2">
      <c r="AK2814" s="685">
        <f t="shared" si="58"/>
        <v>0</v>
      </c>
    </row>
    <row r="2815" spans="37:37" x14ac:dyDescent="0.2">
      <c r="AK2815" s="685">
        <f t="shared" si="58"/>
        <v>0</v>
      </c>
    </row>
    <row r="2816" spans="37:37" x14ac:dyDescent="0.2">
      <c r="AK2816" s="685">
        <f t="shared" si="58"/>
        <v>0</v>
      </c>
    </row>
    <row r="2817" spans="37:37" x14ac:dyDescent="0.2">
      <c r="AK2817" s="685">
        <f t="shared" si="58"/>
        <v>0</v>
      </c>
    </row>
    <row r="2818" spans="37:37" x14ac:dyDescent="0.2">
      <c r="AK2818" s="685">
        <f t="shared" si="58"/>
        <v>0</v>
      </c>
    </row>
    <row r="2819" spans="37:37" x14ac:dyDescent="0.2">
      <c r="AK2819" s="685">
        <f t="shared" si="58"/>
        <v>0</v>
      </c>
    </row>
    <row r="2820" spans="37:37" x14ac:dyDescent="0.2">
      <c r="AK2820" s="685">
        <f t="shared" si="58"/>
        <v>0</v>
      </c>
    </row>
    <row r="2821" spans="37:37" x14ac:dyDescent="0.2">
      <c r="AK2821" s="685">
        <f t="shared" si="58"/>
        <v>0</v>
      </c>
    </row>
    <row r="2822" spans="37:37" x14ac:dyDescent="0.2">
      <c r="AK2822" s="685">
        <f t="shared" si="58"/>
        <v>0</v>
      </c>
    </row>
    <row r="2823" spans="37:37" x14ac:dyDescent="0.2">
      <c r="AK2823" s="685">
        <f t="shared" si="58"/>
        <v>0</v>
      </c>
    </row>
    <row r="2824" spans="37:37" x14ac:dyDescent="0.2">
      <c r="AK2824" s="685">
        <f t="shared" si="58"/>
        <v>0</v>
      </c>
    </row>
    <row r="2825" spans="37:37" x14ac:dyDescent="0.2">
      <c r="AK2825" s="685">
        <f t="shared" si="58"/>
        <v>0</v>
      </c>
    </row>
    <row r="2826" spans="37:37" x14ac:dyDescent="0.2">
      <c r="AK2826" s="685">
        <f t="shared" si="58"/>
        <v>0</v>
      </c>
    </row>
    <row r="2827" spans="37:37" x14ac:dyDescent="0.2">
      <c r="AK2827" s="685">
        <f t="shared" si="58"/>
        <v>0</v>
      </c>
    </row>
    <row r="2828" spans="37:37" x14ac:dyDescent="0.2">
      <c r="AK2828" s="685">
        <f t="shared" si="58"/>
        <v>0</v>
      </c>
    </row>
    <row r="2829" spans="37:37" x14ac:dyDescent="0.2">
      <c r="AK2829" s="685">
        <f t="shared" si="58"/>
        <v>0</v>
      </c>
    </row>
    <row r="2830" spans="37:37" x14ac:dyDescent="0.2">
      <c r="AK2830" s="685">
        <f t="shared" si="58"/>
        <v>0</v>
      </c>
    </row>
    <row r="2831" spans="37:37" x14ac:dyDescent="0.2">
      <c r="AK2831" s="685">
        <f t="shared" si="58"/>
        <v>0</v>
      </c>
    </row>
    <row r="2832" spans="37:37" x14ac:dyDescent="0.2">
      <c r="AK2832" s="685">
        <f t="shared" si="58"/>
        <v>0</v>
      </c>
    </row>
    <row r="2833" spans="37:37" x14ac:dyDescent="0.2">
      <c r="AK2833" s="685">
        <f t="shared" si="58"/>
        <v>0</v>
      </c>
    </row>
    <row r="2834" spans="37:37" x14ac:dyDescent="0.2">
      <c r="AK2834" s="685">
        <f t="shared" si="58"/>
        <v>0</v>
      </c>
    </row>
    <row r="2835" spans="37:37" x14ac:dyDescent="0.2">
      <c r="AK2835" s="685">
        <f t="shared" si="58"/>
        <v>0</v>
      </c>
    </row>
    <row r="2836" spans="37:37" x14ac:dyDescent="0.2">
      <c r="AK2836" s="685">
        <f t="shared" si="58"/>
        <v>0</v>
      </c>
    </row>
    <row r="2837" spans="37:37" x14ac:dyDescent="0.2">
      <c r="AK2837" s="685">
        <f t="shared" si="58"/>
        <v>0</v>
      </c>
    </row>
    <row r="2838" spans="37:37" x14ac:dyDescent="0.2">
      <c r="AK2838" s="685">
        <f t="shared" si="58"/>
        <v>0</v>
      </c>
    </row>
    <row r="2839" spans="37:37" x14ac:dyDescent="0.2">
      <c r="AK2839" s="685">
        <f t="shared" si="58"/>
        <v>0</v>
      </c>
    </row>
    <row r="2840" spans="37:37" x14ac:dyDescent="0.2">
      <c r="AK2840" s="685">
        <f t="shared" ref="AK2840:AK2903" si="59">SUM(O2840:AJ2840)</f>
        <v>0</v>
      </c>
    </row>
    <row r="2841" spans="37:37" x14ac:dyDescent="0.2">
      <c r="AK2841" s="685">
        <f t="shared" si="59"/>
        <v>0</v>
      </c>
    </row>
    <row r="2842" spans="37:37" x14ac:dyDescent="0.2">
      <c r="AK2842" s="685">
        <f t="shared" si="59"/>
        <v>0</v>
      </c>
    </row>
    <row r="2843" spans="37:37" x14ac:dyDescent="0.2">
      <c r="AK2843" s="685">
        <f t="shared" si="59"/>
        <v>0</v>
      </c>
    </row>
    <row r="2844" spans="37:37" x14ac:dyDescent="0.2">
      <c r="AK2844" s="685">
        <f t="shared" si="59"/>
        <v>0</v>
      </c>
    </row>
    <row r="2845" spans="37:37" x14ac:dyDescent="0.2">
      <c r="AK2845" s="685">
        <f t="shared" si="59"/>
        <v>0</v>
      </c>
    </row>
    <row r="2846" spans="37:37" x14ac:dyDescent="0.2">
      <c r="AK2846" s="685">
        <f t="shared" si="59"/>
        <v>0</v>
      </c>
    </row>
    <row r="2847" spans="37:37" x14ac:dyDescent="0.2">
      <c r="AK2847" s="685">
        <f t="shared" si="59"/>
        <v>0</v>
      </c>
    </row>
    <row r="2848" spans="37:37" x14ac:dyDescent="0.2">
      <c r="AK2848" s="685">
        <f t="shared" si="59"/>
        <v>0</v>
      </c>
    </row>
    <row r="2849" spans="37:37" x14ac:dyDescent="0.2">
      <c r="AK2849" s="685">
        <f t="shared" si="59"/>
        <v>0</v>
      </c>
    </row>
    <row r="2850" spans="37:37" x14ac:dyDescent="0.2">
      <c r="AK2850" s="685">
        <f t="shared" si="59"/>
        <v>0</v>
      </c>
    </row>
    <row r="2851" spans="37:37" x14ac:dyDescent="0.2">
      <c r="AK2851" s="685">
        <f t="shared" si="59"/>
        <v>0</v>
      </c>
    </row>
    <row r="2852" spans="37:37" x14ac:dyDescent="0.2">
      <c r="AK2852" s="685">
        <f t="shared" si="59"/>
        <v>0</v>
      </c>
    </row>
    <row r="2853" spans="37:37" x14ac:dyDescent="0.2">
      <c r="AK2853" s="685">
        <f t="shared" si="59"/>
        <v>0</v>
      </c>
    </row>
    <row r="2854" spans="37:37" x14ac:dyDescent="0.2">
      <c r="AK2854" s="685">
        <f t="shared" si="59"/>
        <v>0</v>
      </c>
    </row>
    <row r="2855" spans="37:37" x14ac:dyDescent="0.2">
      <c r="AK2855" s="685">
        <f t="shared" si="59"/>
        <v>0</v>
      </c>
    </row>
    <row r="2856" spans="37:37" x14ac:dyDescent="0.2">
      <c r="AK2856" s="685">
        <f t="shared" si="59"/>
        <v>0</v>
      </c>
    </row>
    <row r="2857" spans="37:37" x14ac:dyDescent="0.2">
      <c r="AK2857" s="685">
        <f t="shared" si="59"/>
        <v>0</v>
      </c>
    </row>
    <row r="2858" spans="37:37" x14ac:dyDescent="0.2">
      <c r="AK2858" s="685">
        <f t="shared" si="59"/>
        <v>0</v>
      </c>
    </row>
    <row r="2859" spans="37:37" x14ac:dyDescent="0.2">
      <c r="AK2859" s="685">
        <f t="shared" si="59"/>
        <v>0</v>
      </c>
    </row>
    <row r="2860" spans="37:37" x14ac:dyDescent="0.2">
      <c r="AK2860" s="685">
        <f t="shared" si="59"/>
        <v>0</v>
      </c>
    </row>
    <row r="2861" spans="37:37" x14ac:dyDescent="0.2">
      <c r="AK2861" s="685">
        <f t="shared" si="59"/>
        <v>0</v>
      </c>
    </row>
    <row r="2862" spans="37:37" x14ac:dyDescent="0.2">
      <c r="AK2862" s="685">
        <f t="shared" si="59"/>
        <v>0</v>
      </c>
    </row>
    <row r="2863" spans="37:37" x14ac:dyDescent="0.2">
      <c r="AK2863" s="685">
        <f t="shared" si="59"/>
        <v>0</v>
      </c>
    </row>
    <row r="2864" spans="37:37" x14ac:dyDescent="0.2">
      <c r="AK2864" s="685">
        <f t="shared" si="59"/>
        <v>0</v>
      </c>
    </row>
    <row r="2865" spans="37:37" x14ac:dyDescent="0.2">
      <c r="AK2865" s="685">
        <f t="shared" si="59"/>
        <v>0</v>
      </c>
    </row>
    <row r="2866" spans="37:37" x14ac:dyDescent="0.2">
      <c r="AK2866" s="685">
        <f t="shared" si="59"/>
        <v>0</v>
      </c>
    </row>
    <row r="2867" spans="37:37" x14ac:dyDescent="0.2">
      <c r="AK2867" s="685">
        <f t="shared" si="59"/>
        <v>0</v>
      </c>
    </row>
    <row r="2868" spans="37:37" x14ac:dyDescent="0.2">
      <c r="AK2868" s="685">
        <f t="shared" si="59"/>
        <v>0</v>
      </c>
    </row>
    <row r="2869" spans="37:37" x14ac:dyDescent="0.2">
      <c r="AK2869" s="685">
        <f t="shared" si="59"/>
        <v>0</v>
      </c>
    </row>
    <row r="2870" spans="37:37" x14ac:dyDescent="0.2">
      <c r="AK2870" s="685">
        <f t="shared" si="59"/>
        <v>0</v>
      </c>
    </row>
    <row r="2871" spans="37:37" x14ac:dyDescent="0.2">
      <c r="AK2871" s="685">
        <f t="shared" si="59"/>
        <v>0</v>
      </c>
    </row>
    <row r="2872" spans="37:37" x14ac:dyDescent="0.2">
      <c r="AK2872" s="685">
        <f t="shared" si="59"/>
        <v>0</v>
      </c>
    </row>
    <row r="2873" spans="37:37" x14ac:dyDescent="0.2">
      <c r="AK2873" s="685">
        <f t="shared" si="59"/>
        <v>0</v>
      </c>
    </row>
    <row r="2874" spans="37:37" x14ac:dyDescent="0.2">
      <c r="AK2874" s="685">
        <f t="shared" si="59"/>
        <v>0</v>
      </c>
    </row>
    <row r="2875" spans="37:37" x14ac:dyDescent="0.2">
      <c r="AK2875" s="685">
        <f t="shared" si="59"/>
        <v>0</v>
      </c>
    </row>
    <row r="2876" spans="37:37" x14ac:dyDescent="0.2">
      <c r="AK2876" s="685">
        <f t="shared" si="59"/>
        <v>0</v>
      </c>
    </row>
    <row r="2877" spans="37:37" x14ac:dyDescent="0.2">
      <c r="AK2877" s="685">
        <f t="shared" si="59"/>
        <v>0</v>
      </c>
    </row>
    <row r="2878" spans="37:37" x14ac:dyDescent="0.2">
      <c r="AK2878" s="685">
        <f t="shared" si="59"/>
        <v>0</v>
      </c>
    </row>
    <row r="2879" spans="37:37" x14ac:dyDescent="0.2">
      <c r="AK2879" s="685">
        <f t="shared" si="59"/>
        <v>0</v>
      </c>
    </row>
    <row r="2880" spans="37:37" x14ac:dyDescent="0.2">
      <c r="AK2880" s="685">
        <f t="shared" si="59"/>
        <v>0</v>
      </c>
    </row>
    <row r="2881" spans="37:37" x14ac:dyDescent="0.2">
      <c r="AK2881" s="685">
        <f t="shared" si="59"/>
        <v>0</v>
      </c>
    </row>
    <row r="2882" spans="37:37" x14ac:dyDescent="0.2">
      <c r="AK2882" s="685">
        <f t="shared" si="59"/>
        <v>0</v>
      </c>
    </row>
    <row r="2883" spans="37:37" x14ac:dyDescent="0.2">
      <c r="AK2883" s="685">
        <f t="shared" si="59"/>
        <v>0</v>
      </c>
    </row>
    <row r="2884" spans="37:37" x14ac:dyDescent="0.2">
      <c r="AK2884" s="685">
        <f t="shared" si="59"/>
        <v>0</v>
      </c>
    </row>
    <row r="2885" spans="37:37" x14ac:dyDescent="0.2">
      <c r="AK2885" s="685">
        <f t="shared" si="59"/>
        <v>0</v>
      </c>
    </row>
    <row r="2886" spans="37:37" x14ac:dyDescent="0.2">
      <c r="AK2886" s="685">
        <f t="shared" si="59"/>
        <v>0</v>
      </c>
    </row>
    <row r="2887" spans="37:37" x14ac:dyDescent="0.2">
      <c r="AK2887" s="685">
        <f t="shared" si="59"/>
        <v>0</v>
      </c>
    </row>
    <row r="2888" spans="37:37" x14ac:dyDescent="0.2">
      <c r="AK2888" s="685">
        <f t="shared" si="59"/>
        <v>0</v>
      </c>
    </row>
    <row r="2889" spans="37:37" x14ac:dyDescent="0.2">
      <c r="AK2889" s="685">
        <f t="shared" si="59"/>
        <v>0</v>
      </c>
    </row>
    <row r="2890" spans="37:37" x14ac:dyDescent="0.2">
      <c r="AK2890" s="685">
        <f t="shared" si="59"/>
        <v>0</v>
      </c>
    </row>
    <row r="2891" spans="37:37" x14ac:dyDescent="0.2">
      <c r="AK2891" s="685">
        <f t="shared" si="59"/>
        <v>0</v>
      </c>
    </row>
    <row r="2892" spans="37:37" x14ac:dyDescent="0.2">
      <c r="AK2892" s="685">
        <f t="shared" si="59"/>
        <v>0</v>
      </c>
    </row>
    <row r="2893" spans="37:37" x14ac:dyDescent="0.2">
      <c r="AK2893" s="685">
        <f t="shared" si="59"/>
        <v>0</v>
      </c>
    </row>
    <row r="2894" spans="37:37" x14ac:dyDescent="0.2">
      <c r="AK2894" s="685">
        <f t="shared" si="59"/>
        <v>0</v>
      </c>
    </row>
    <row r="2895" spans="37:37" x14ac:dyDescent="0.2">
      <c r="AK2895" s="685">
        <f t="shared" si="59"/>
        <v>0</v>
      </c>
    </row>
    <row r="2896" spans="37:37" x14ac:dyDescent="0.2">
      <c r="AK2896" s="685">
        <f t="shared" si="59"/>
        <v>0</v>
      </c>
    </row>
    <row r="2897" spans="37:37" x14ac:dyDescent="0.2">
      <c r="AK2897" s="685">
        <f t="shared" si="59"/>
        <v>0</v>
      </c>
    </row>
    <row r="2898" spans="37:37" x14ac:dyDescent="0.2">
      <c r="AK2898" s="685">
        <f t="shared" si="59"/>
        <v>0</v>
      </c>
    </row>
    <row r="2899" spans="37:37" x14ac:dyDescent="0.2">
      <c r="AK2899" s="685">
        <f t="shared" si="59"/>
        <v>0</v>
      </c>
    </row>
    <row r="2900" spans="37:37" x14ac:dyDescent="0.2">
      <c r="AK2900" s="685">
        <f t="shared" si="59"/>
        <v>0</v>
      </c>
    </row>
    <row r="2901" spans="37:37" x14ac:dyDescent="0.2">
      <c r="AK2901" s="685">
        <f t="shared" si="59"/>
        <v>0</v>
      </c>
    </row>
    <row r="2902" spans="37:37" x14ac:dyDescent="0.2">
      <c r="AK2902" s="685">
        <f t="shared" si="59"/>
        <v>0</v>
      </c>
    </row>
    <row r="2903" spans="37:37" x14ac:dyDescent="0.2">
      <c r="AK2903" s="685">
        <f t="shared" si="59"/>
        <v>0</v>
      </c>
    </row>
    <row r="2904" spans="37:37" x14ac:dyDescent="0.2">
      <c r="AK2904" s="685">
        <f t="shared" ref="AK2904:AK2967" si="60">SUM(O2904:AJ2904)</f>
        <v>0</v>
      </c>
    </row>
    <row r="2905" spans="37:37" x14ac:dyDescent="0.2">
      <c r="AK2905" s="685">
        <f t="shared" si="60"/>
        <v>0</v>
      </c>
    </row>
    <row r="2906" spans="37:37" x14ac:dyDescent="0.2">
      <c r="AK2906" s="685">
        <f t="shared" si="60"/>
        <v>0</v>
      </c>
    </row>
    <row r="2907" spans="37:37" x14ac:dyDescent="0.2">
      <c r="AK2907" s="685">
        <f t="shared" si="60"/>
        <v>0</v>
      </c>
    </row>
    <row r="2908" spans="37:37" x14ac:dyDescent="0.2">
      <c r="AK2908" s="685">
        <f t="shared" si="60"/>
        <v>0</v>
      </c>
    </row>
    <row r="2909" spans="37:37" x14ac:dyDescent="0.2">
      <c r="AK2909" s="685">
        <f t="shared" si="60"/>
        <v>0</v>
      </c>
    </row>
    <row r="2910" spans="37:37" x14ac:dyDescent="0.2">
      <c r="AK2910" s="685">
        <f t="shared" si="60"/>
        <v>0</v>
      </c>
    </row>
    <row r="2911" spans="37:37" x14ac:dyDescent="0.2">
      <c r="AK2911" s="685">
        <f t="shared" si="60"/>
        <v>0</v>
      </c>
    </row>
    <row r="2912" spans="37:37" x14ac:dyDescent="0.2">
      <c r="AK2912" s="685">
        <f t="shared" si="60"/>
        <v>0</v>
      </c>
    </row>
    <row r="2913" spans="37:37" x14ac:dyDescent="0.2">
      <c r="AK2913" s="685">
        <f t="shared" si="60"/>
        <v>0</v>
      </c>
    </row>
    <row r="2914" spans="37:37" x14ac:dyDescent="0.2">
      <c r="AK2914" s="685">
        <f t="shared" si="60"/>
        <v>0</v>
      </c>
    </row>
    <row r="2915" spans="37:37" x14ac:dyDescent="0.2">
      <c r="AK2915" s="685">
        <f t="shared" si="60"/>
        <v>0</v>
      </c>
    </row>
    <row r="2916" spans="37:37" x14ac:dyDescent="0.2">
      <c r="AK2916" s="685">
        <f t="shared" si="60"/>
        <v>0</v>
      </c>
    </row>
    <row r="2917" spans="37:37" x14ac:dyDescent="0.2">
      <c r="AK2917" s="685">
        <f t="shared" si="60"/>
        <v>0</v>
      </c>
    </row>
    <row r="2918" spans="37:37" x14ac:dyDescent="0.2">
      <c r="AK2918" s="685">
        <f t="shared" si="60"/>
        <v>0</v>
      </c>
    </row>
    <row r="2919" spans="37:37" x14ac:dyDescent="0.2">
      <c r="AK2919" s="685">
        <f t="shared" si="60"/>
        <v>0</v>
      </c>
    </row>
    <row r="2920" spans="37:37" x14ac:dyDescent="0.2">
      <c r="AK2920" s="685">
        <f t="shared" si="60"/>
        <v>0</v>
      </c>
    </row>
    <row r="2921" spans="37:37" x14ac:dyDescent="0.2">
      <c r="AK2921" s="685">
        <f t="shared" si="60"/>
        <v>0</v>
      </c>
    </row>
    <row r="2922" spans="37:37" x14ac:dyDescent="0.2">
      <c r="AK2922" s="685">
        <f t="shared" si="60"/>
        <v>0</v>
      </c>
    </row>
    <row r="2923" spans="37:37" x14ac:dyDescent="0.2">
      <c r="AK2923" s="685">
        <f t="shared" si="60"/>
        <v>0</v>
      </c>
    </row>
    <row r="2924" spans="37:37" x14ac:dyDescent="0.2">
      <c r="AK2924" s="685">
        <f t="shared" si="60"/>
        <v>0</v>
      </c>
    </row>
    <row r="2925" spans="37:37" x14ac:dyDescent="0.2">
      <c r="AK2925" s="685">
        <f t="shared" si="60"/>
        <v>0</v>
      </c>
    </row>
    <row r="2926" spans="37:37" x14ac:dyDescent="0.2">
      <c r="AK2926" s="685">
        <f t="shared" si="60"/>
        <v>0</v>
      </c>
    </row>
    <row r="2927" spans="37:37" x14ac:dyDescent="0.2">
      <c r="AK2927" s="685">
        <f t="shared" si="60"/>
        <v>0</v>
      </c>
    </row>
    <row r="2928" spans="37:37" x14ac:dyDescent="0.2">
      <c r="AK2928" s="685">
        <f t="shared" si="60"/>
        <v>0</v>
      </c>
    </row>
    <row r="2929" spans="37:37" x14ac:dyDescent="0.2">
      <c r="AK2929" s="685">
        <f t="shared" si="60"/>
        <v>0</v>
      </c>
    </row>
    <row r="2930" spans="37:37" x14ac:dyDescent="0.2">
      <c r="AK2930" s="685">
        <f t="shared" si="60"/>
        <v>0</v>
      </c>
    </row>
    <row r="2931" spans="37:37" x14ac:dyDescent="0.2">
      <c r="AK2931" s="685">
        <f t="shared" si="60"/>
        <v>0</v>
      </c>
    </row>
    <row r="2932" spans="37:37" x14ac:dyDescent="0.2">
      <c r="AK2932" s="685">
        <f t="shared" si="60"/>
        <v>0</v>
      </c>
    </row>
    <row r="2933" spans="37:37" x14ac:dyDescent="0.2">
      <c r="AK2933" s="685">
        <f t="shared" si="60"/>
        <v>0</v>
      </c>
    </row>
    <row r="2934" spans="37:37" x14ac:dyDescent="0.2">
      <c r="AK2934" s="685">
        <f t="shared" si="60"/>
        <v>0</v>
      </c>
    </row>
    <row r="2935" spans="37:37" x14ac:dyDescent="0.2">
      <c r="AK2935" s="685">
        <f t="shared" si="60"/>
        <v>0</v>
      </c>
    </row>
    <row r="2936" spans="37:37" x14ac:dyDescent="0.2">
      <c r="AK2936" s="685">
        <f t="shared" si="60"/>
        <v>0</v>
      </c>
    </row>
    <row r="2937" spans="37:37" x14ac:dyDescent="0.2">
      <c r="AK2937" s="685">
        <f t="shared" si="60"/>
        <v>0</v>
      </c>
    </row>
    <row r="2938" spans="37:37" x14ac:dyDescent="0.2">
      <c r="AK2938" s="685">
        <f t="shared" si="60"/>
        <v>0</v>
      </c>
    </row>
    <row r="2939" spans="37:37" x14ac:dyDescent="0.2">
      <c r="AK2939" s="685">
        <f t="shared" si="60"/>
        <v>0</v>
      </c>
    </row>
    <row r="2940" spans="37:37" x14ac:dyDescent="0.2">
      <c r="AK2940" s="685">
        <f t="shared" si="60"/>
        <v>0</v>
      </c>
    </row>
    <row r="2941" spans="37:37" x14ac:dyDescent="0.2">
      <c r="AK2941" s="685">
        <f t="shared" si="60"/>
        <v>0</v>
      </c>
    </row>
    <row r="2942" spans="37:37" x14ac:dyDescent="0.2">
      <c r="AK2942" s="685">
        <f t="shared" si="60"/>
        <v>0</v>
      </c>
    </row>
    <row r="2943" spans="37:37" x14ac:dyDescent="0.2">
      <c r="AK2943" s="685">
        <f t="shared" si="60"/>
        <v>0</v>
      </c>
    </row>
    <row r="2944" spans="37:37" x14ac:dyDescent="0.2">
      <c r="AK2944" s="685">
        <f t="shared" si="60"/>
        <v>0</v>
      </c>
    </row>
    <row r="2945" spans="37:37" x14ac:dyDescent="0.2">
      <c r="AK2945" s="685">
        <f t="shared" si="60"/>
        <v>0</v>
      </c>
    </row>
    <row r="2946" spans="37:37" x14ac:dyDescent="0.2">
      <c r="AK2946" s="685">
        <f t="shared" si="60"/>
        <v>0</v>
      </c>
    </row>
    <row r="2947" spans="37:37" x14ac:dyDescent="0.2">
      <c r="AK2947" s="685">
        <f t="shared" si="60"/>
        <v>0</v>
      </c>
    </row>
    <row r="2948" spans="37:37" x14ac:dyDescent="0.2">
      <c r="AK2948" s="685">
        <f t="shared" si="60"/>
        <v>0</v>
      </c>
    </row>
    <row r="2949" spans="37:37" x14ac:dyDescent="0.2">
      <c r="AK2949" s="685">
        <f t="shared" si="60"/>
        <v>0</v>
      </c>
    </row>
    <row r="2950" spans="37:37" x14ac:dyDescent="0.2">
      <c r="AK2950" s="685">
        <f t="shared" si="60"/>
        <v>0</v>
      </c>
    </row>
    <row r="2951" spans="37:37" x14ac:dyDescent="0.2">
      <c r="AK2951" s="685">
        <f t="shared" si="60"/>
        <v>0</v>
      </c>
    </row>
    <row r="2952" spans="37:37" x14ac:dyDescent="0.2">
      <c r="AK2952" s="685">
        <f t="shared" si="60"/>
        <v>0</v>
      </c>
    </row>
    <row r="2953" spans="37:37" x14ac:dyDescent="0.2">
      <c r="AK2953" s="685">
        <f t="shared" si="60"/>
        <v>0</v>
      </c>
    </row>
    <row r="2954" spans="37:37" x14ac:dyDescent="0.2">
      <c r="AK2954" s="685">
        <f t="shared" si="60"/>
        <v>0</v>
      </c>
    </row>
    <row r="2955" spans="37:37" x14ac:dyDescent="0.2">
      <c r="AK2955" s="685">
        <f t="shared" si="60"/>
        <v>0</v>
      </c>
    </row>
    <row r="2956" spans="37:37" x14ac:dyDescent="0.2">
      <c r="AK2956" s="685">
        <f t="shared" si="60"/>
        <v>0</v>
      </c>
    </row>
    <row r="2957" spans="37:37" x14ac:dyDescent="0.2">
      <c r="AK2957" s="685">
        <f t="shared" si="60"/>
        <v>0</v>
      </c>
    </row>
    <row r="2958" spans="37:37" x14ac:dyDescent="0.2">
      <c r="AK2958" s="685">
        <f t="shared" si="60"/>
        <v>0</v>
      </c>
    </row>
    <row r="2959" spans="37:37" x14ac:dyDescent="0.2">
      <c r="AK2959" s="685">
        <f t="shared" si="60"/>
        <v>0</v>
      </c>
    </row>
    <row r="2960" spans="37:37" x14ac:dyDescent="0.2">
      <c r="AK2960" s="685">
        <f t="shared" si="60"/>
        <v>0</v>
      </c>
    </row>
    <row r="2961" spans="37:37" x14ac:dyDescent="0.2">
      <c r="AK2961" s="685">
        <f t="shared" si="60"/>
        <v>0</v>
      </c>
    </row>
    <row r="2962" spans="37:37" x14ac:dyDescent="0.2">
      <c r="AK2962" s="685">
        <f t="shared" si="60"/>
        <v>0</v>
      </c>
    </row>
    <row r="2963" spans="37:37" x14ac:dyDescent="0.2">
      <c r="AK2963" s="685">
        <f t="shared" si="60"/>
        <v>0</v>
      </c>
    </row>
    <row r="2964" spans="37:37" x14ac:dyDescent="0.2">
      <c r="AK2964" s="685">
        <f t="shared" si="60"/>
        <v>0</v>
      </c>
    </row>
    <row r="2965" spans="37:37" x14ac:dyDescent="0.2">
      <c r="AK2965" s="685">
        <f t="shared" si="60"/>
        <v>0</v>
      </c>
    </row>
    <row r="2966" spans="37:37" x14ac:dyDescent="0.2">
      <c r="AK2966" s="685">
        <f t="shared" si="60"/>
        <v>0</v>
      </c>
    </row>
    <row r="2967" spans="37:37" x14ac:dyDescent="0.2">
      <c r="AK2967" s="685">
        <f t="shared" si="60"/>
        <v>0</v>
      </c>
    </row>
    <row r="2968" spans="37:37" x14ac:dyDescent="0.2">
      <c r="AK2968" s="685">
        <f t="shared" ref="AK2968:AK3031" si="61">SUM(O2968:AJ2968)</f>
        <v>0</v>
      </c>
    </row>
    <row r="2969" spans="37:37" x14ac:dyDescent="0.2">
      <c r="AK2969" s="685">
        <f t="shared" si="61"/>
        <v>0</v>
      </c>
    </row>
    <row r="2970" spans="37:37" x14ac:dyDescent="0.2">
      <c r="AK2970" s="685">
        <f t="shared" si="61"/>
        <v>0</v>
      </c>
    </row>
    <row r="2971" spans="37:37" x14ac:dyDescent="0.2">
      <c r="AK2971" s="685">
        <f t="shared" si="61"/>
        <v>0</v>
      </c>
    </row>
    <row r="2972" spans="37:37" x14ac:dyDescent="0.2">
      <c r="AK2972" s="685">
        <f t="shared" si="61"/>
        <v>0</v>
      </c>
    </row>
    <row r="2973" spans="37:37" x14ac:dyDescent="0.2">
      <c r="AK2973" s="685">
        <f t="shared" si="61"/>
        <v>0</v>
      </c>
    </row>
    <row r="2974" spans="37:37" x14ac:dyDescent="0.2">
      <c r="AK2974" s="685">
        <f t="shared" si="61"/>
        <v>0</v>
      </c>
    </row>
    <row r="2975" spans="37:37" x14ac:dyDescent="0.2">
      <c r="AK2975" s="685">
        <f t="shared" si="61"/>
        <v>0</v>
      </c>
    </row>
    <row r="2976" spans="37:37" x14ac:dyDescent="0.2">
      <c r="AK2976" s="685">
        <f t="shared" si="61"/>
        <v>0</v>
      </c>
    </row>
    <row r="2977" spans="37:37" x14ac:dyDescent="0.2">
      <c r="AK2977" s="685">
        <f t="shared" si="61"/>
        <v>0</v>
      </c>
    </row>
    <row r="2978" spans="37:37" x14ac:dyDescent="0.2">
      <c r="AK2978" s="685">
        <f t="shared" si="61"/>
        <v>0</v>
      </c>
    </row>
    <row r="2979" spans="37:37" x14ac:dyDescent="0.2">
      <c r="AK2979" s="685">
        <f t="shared" si="61"/>
        <v>0</v>
      </c>
    </row>
    <row r="2980" spans="37:37" x14ac:dyDescent="0.2">
      <c r="AK2980" s="685">
        <f t="shared" si="61"/>
        <v>0</v>
      </c>
    </row>
    <row r="2981" spans="37:37" x14ac:dyDescent="0.2">
      <c r="AK2981" s="685">
        <f t="shared" si="61"/>
        <v>0</v>
      </c>
    </row>
    <row r="2982" spans="37:37" x14ac:dyDescent="0.2">
      <c r="AK2982" s="685">
        <f t="shared" si="61"/>
        <v>0</v>
      </c>
    </row>
    <row r="2983" spans="37:37" x14ac:dyDescent="0.2">
      <c r="AK2983" s="685">
        <f t="shared" si="61"/>
        <v>0</v>
      </c>
    </row>
    <row r="2984" spans="37:37" x14ac:dyDescent="0.2">
      <c r="AK2984" s="685">
        <f t="shared" si="61"/>
        <v>0</v>
      </c>
    </row>
    <row r="2985" spans="37:37" x14ac:dyDescent="0.2">
      <c r="AK2985" s="685">
        <f t="shared" si="61"/>
        <v>0</v>
      </c>
    </row>
    <row r="2986" spans="37:37" x14ac:dyDescent="0.2">
      <c r="AK2986" s="685">
        <f t="shared" si="61"/>
        <v>0</v>
      </c>
    </row>
    <row r="2987" spans="37:37" x14ac:dyDescent="0.2">
      <c r="AK2987" s="685">
        <f t="shared" si="61"/>
        <v>0</v>
      </c>
    </row>
    <row r="2988" spans="37:37" x14ac:dyDescent="0.2">
      <c r="AK2988" s="685">
        <f t="shared" si="61"/>
        <v>0</v>
      </c>
    </row>
    <row r="2989" spans="37:37" x14ac:dyDescent="0.2">
      <c r="AK2989" s="685">
        <f t="shared" si="61"/>
        <v>0</v>
      </c>
    </row>
    <row r="2990" spans="37:37" x14ac:dyDescent="0.2">
      <c r="AK2990" s="685">
        <f t="shared" si="61"/>
        <v>0</v>
      </c>
    </row>
    <row r="2991" spans="37:37" x14ac:dyDescent="0.2">
      <c r="AK2991" s="685">
        <f t="shared" si="61"/>
        <v>0</v>
      </c>
    </row>
    <row r="2992" spans="37:37" x14ac:dyDescent="0.2">
      <c r="AK2992" s="685">
        <f t="shared" si="61"/>
        <v>0</v>
      </c>
    </row>
    <row r="2993" spans="37:37" x14ac:dyDescent="0.2">
      <c r="AK2993" s="685">
        <f t="shared" si="61"/>
        <v>0</v>
      </c>
    </row>
    <row r="2994" spans="37:37" x14ac:dyDescent="0.2">
      <c r="AK2994" s="685">
        <f t="shared" si="61"/>
        <v>0</v>
      </c>
    </row>
    <row r="2995" spans="37:37" x14ac:dyDescent="0.2">
      <c r="AK2995" s="685">
        <f t="shared" si="61"/>
        <v>0</v>
      </c>
    </row>
    <row r="2996" spans="37:37" x14ac:dyDescent="0.2">
      <c r="AK2996" s="685">
        <f t="shared" si="61"/>
        <v>0</v>
      </c>
    </row>
    <row r="2997" spans="37:37" x14ac:dyDescent="0.2">
      <c r="AK2997" s="685">
        <f t="shared" si="61"/>
        <v>0</v>
      </c>
    </row>
    <row r="2998" spans="37:37" x14ac:dyDescent="0.2">
      <c r="AK2998" s="685">
        <f t="shared" si="61"/>
        <v>0</v>
      </c>
    </row>
    <row r="2999" spans="37:37" x14ac:dyDescent="0.2">
      <c r="AK2999" s="685">
        <f t="shared" si="61"/>
        <v>0</v>
      </c>
    </row>
    <row r="3000" spans="37:37" x14ac:dyDescent="0.2">
      <c r="AK3000" s="685">
        <f t="shared" si="61"/>
        <v>0</v>
      </c>
    </row>
    <row r="3001" spans="37:37" x14ac:dyDescent="0.2">
      <c r="AK3001" s="685">
        <f t="shared" si="61"/>
        <v>0</v>
      </c>
    </row>
    <row r="3002" spans="37:37" x14ac:dyDescent="0.2">
      <c r="AK3002" s="685">
        <f t="shared" si="61"/>
        <v>0</v>
      </c>
    </row>
    <row r="3003" spans="37:37" x14ac:dyDescent="0.2">
      <c r="AK3003" s="685">
        <f t="shared" si="61"/>
        <v>0</v>
      </c>
    </row>
    <row r="3004" spans="37:37" x14ac:dyDescent="0.2">
      <c r="AK3004" s="685">
        <f t="shared" si="61"/>
        <v>0</v>
      </c>
    </row>
    <row r="3005" spans="37:37" x14ac:dyDescent="0.2">
      <c r="AK3005" s="685">
        <f t="shared" si="61"/>
        <v>0</v>
      </c>
    </row>
    <row r="3006" spans="37:37" x14ac:dyDescent="0.2">
      <c r="AK3006" s="685">
        <f t="shared" si="61"/>
        <v>0</v>
      </c>
    </row>
    <row r="3007" spans="37:37" x14ac:dyDescent="0.2">
      <c r="AK3007" s="685">
        <f t="shared" si="61"/>
        <v>0</v>
      </c>
    </row>
    <row r="3008" spans="37:37" x14ac:dyDescent="0.2">
      <c r="AK3008" s="685">
        <f t="shared" si="61"/>
        <v>0</v>
      </c>
    </row>
    <row r="3009" spans="37:37" x14ac:dyDescent="0.2">
      <c r="AK3009" s="685">
        <f t="shared" si="61"/>
        <v>0</v>
      </c>
    </row>
    <row r="3010" spans="37:37" x14ac:dyDescent="0.2">
      <c r="AK3010" s="685">
        <f t="shared" si="61"/>
        <v>0</v>
      </c>
    </row>
    <row r="3011" spans="37:37" x14ac:dyDescent="0.2">
      <c r="AK3011" s="685">
        <f t="shared" si="61"/>
        <v>0</v>
      </c>
    </row>
    <row r="3012" spans="37:37" x14ac:dyDescent="0.2">
      <c r="AK3012" s="685">
        <f t="shared" si="61"/>
        <v>0</v>
      </c>
    </row>
    <row r="3013" spans="37:37" x14ac:dyDescent="0.2">
      <c r="AK3013" s="685">
        <f t="shared" si="61"/>
        <v>0</v>
      </c>
    </row>
    <row r="3014" spans="37:37" x14ac:dyDescent="0.2">
      <c r="AK3014" s="685">
        <f t="shared" si="61"/>
        <v>0</v>
      </c>
    </row>
    <row r="3015" spans="37:37" x14ac:dyDescent="0.2">
      <c r="AK3015" s="685">
        <f t="shared" si="61"/>
        <v>0</v>
      </c>
    </row>
    <row r="3016" spans="37:37" x14ac:dyDescent="0.2">
      <c r="AK3016" s="685">
        <f t="shared" si="61"/>
        <v>0</v>
      </c>
    </row>
    <row r="3017" spans="37:37" x14ac:dyDescent="0.2">
      <c r="AK3017" s="685">
        <f t="shared" si="61"/>
        <v>0</v>
      </c>
    </row>
    <row r="3018" spans="37:37" x14ac:dyDescent="0.2">
      <c r="AK3018" s="685">
        <f t="shared" si="61"/>
        <v>0</v>
      </c>
    </row>
    <row r="3019" spans="37:37" x14ac:dyDescent="0.2">
      <c r="AK3019" s="685">
        <f t="shared" si="61"/>
        <v>0</v>
      </c>
    </row>
    <row r="3020" spans="37:37" x14ac:dyDescent="0.2">
      <c r="AK3020" s="685">
        <f t="shared" si="61"/>
        <v>0</v>
      </c>
    </row>
    <row r="3021" spans="37:37" x14ac:dyDescent="0.2">
      <c r="AK3021" s="685">
        <f t="shared" si="61"/>
        <v>0</v>
      </c>
    </row>
    <row r="3022" spans="37:37" x14ac:dyDescent="0.2">
      <c r="AK3022" s="685">
        <f t="shared" si="61"/>
        <v>0</v>
      </c>
    </row>
    <row r="3023" spans="37:37" x14ac:dyDescent="0.2">
      <c r="AK3023" s="685">
        <f t="shared" si="61"/>
        <v>0</v>
      </c>
    </row>
    <row r="3024" spans="37:37" x14ac:dyDescent="0.2">
      <c r="AK3024" s="685">
        <f t="shared" si="61"/>
        <v>0</v>
      </c>
    </row>
    <row r="3025" spans="37:37" x14ac:dyDescent="0.2">
      <c r="AK3025" s="685">
        <f t="shared" si="61"/>
        <v>0</v>
      </c>
    </row>
    <row r="3026" spans="37:37" x14ac:dyDescent="0.2">
      <c r="AK3026" s="685">
        <f t="shared" si="61"/>
        <v>0</v>
      </c>
    </row>
    <row r="3027" spans="37:37" x14ac:dyDescent="0.2">
      <c r="AK3027" s="685">
        <f t="shared" si="61"/>
        <v>0</v>
      </c>
    </row>
    <row r="3028" spans="37:37" x14ac:dyDescent="0.2">
      <c r="AK3028" s="685">
        <f t="shared" si="61"/>
        <v>0</v>
      </c>
    </row>
    <row r="3029" spans="37:37" x14ac:dyDescent="0.2">
      <c r="AK3029" s="685">
        <f t="shared" si="61"/>
        <v>0</v>
      </c>
    </row>
    <row r="3030" spans="37:37" x14ac:dyDescent="0.2">
      <c r="AK3030" s="685">
        <f t="shared" si="61"/>
        <v>0</v>
      </c>
    </row>
    <row r="3031" spans="37:37" x14ac:dyDescent="0.2">
      <c r="AK3031" s="685">
        <f t="shared" si="61"/>
        <v>0</v>
      </c>
    </row>
    <row r="3032" spans="37:37" x14ac:dyDescent="0.2">
      <c r="AK3032" s="685">
        <f t="shared" ref="AK3032:AK3095" si="62">SUM(O3032:AJ3032)</f>
        <v>0</v>
      </c>
    </row>
    <row r="3033" spans="37:37" x14ac:dyDescent="0.2">
      <c r="AK3033" s="685">
        <f t="shared" si="62"/>
        <v>0</v>
      </c>
    </row>
    <row r="3034" spans="37:37" x14ac:dyDescent="0.2">
      <c r="AK3034" s="685">
        <f t="shared" si="62"/>
        <v>0</v>
      </c>
    </row>
    <row r="3035" spans="37:37" x14ac:dyDescent="0.2">
      <c r="AK3035" s="685">
        <f t="shared" si="62"/>
        <v>0</v>
      </c>
    </row>
    <row r="3036" spans="37:37" x14ac:dyDescent="0.2">
      <c r="AK3036" s="685">
        <f t="shared" si="62"/>
        <v>0</v>
      </c>
    </row>
    <row r="3037" spans="37:37" x14ac:dyDescent="0.2">
      <c r="AK3037" s="685">
        <f t="shared" si="62"/>
        <v>0</v>
      </c>
    </row>
    <row r="3038" spans="37:37" x14ac:dyDescent="0.2">
      <c r="AK3038" s="685">
        <f t="shared" si="62"/>
        <v>0</v>
      </c>
    </row>
    <row r="3039" spans="37:37" x14ac:dyDescent="0.2">
      <c r="AK3039" s="685">
        <f t="shared" si="62"/>
        <v>0</v>
      </c>
    </row>
    <row r="3040" spans="37:37" x14ac:dyDescent="0.2">
      <c r="AK3040" s="685">
        <f t="shared" si="62"/>
        <v>0</v>
      </c>
    </row>
    <row r="3041" spans="37:37" x14ac:dyDescent="0.2">
      <c r="AK3041" s="685">
        <f t="shared" si="62"/>
        <v>0</v>
      </c>
    </row>
    <row r="3042" spans="37:37" x14ac:dyDescent="0.2">
      <c r="AK3042" s="685">
        <f t="shared" si="62"/>
        <v>0</v>
      </c>
    </row>
    <row r="3043" spans="37:37" x14ac:dyDescent="0.2">
      <c r="AK3043" s="685">
        <f t="shared" si="62"/>
        <v>0</v>
      </c>
    </row>
    <row r="3044" spans="37:37" x14ac:dyDescent="0.2">
      <c r="AK3044" s="685">
        <f t="shared" si="62"/>
        <v>0</v>
      </c>
    </row>
    <row r="3045" spans="37:37" x14ac:dyDescent="0.2">
      <c r="AK3045" s="685">
        <f t="shared" si="62"/>
        <v>0</v>
      </c>
    </row>
    <row r="3046" spans="37:37" x14ac:dyDescent="0.2">
      <c r="AK3046" s="685">
        <f t="shared" si="62"/>
        <v>0</v>
      </c>
    </row>
    <row r="3047" spans="37:37" x14ac:dyDescent="0.2">
      <c r="AK3047" s="685">
        <f t="shared" si="62"/>
        <v>0</v>
      </c>
    </row>
    <row r="3048" spans="37:37" x14ac:dyDescent="0.2">
      <c r="AK3048" s="685">
        <f t="shared" si="62"/>
        <v>0</v>
      </c>
    </row>
    <row r="3049" spans="37:37" x14ac:dyDescent="0.2">
      <c r="AK3049" s="685">
        <f t="shared" si="62"/>
        <v>0</v>
      </c>
    </row>
    <row r="3050" spans="37:37" x14ac:dyDescent="0.2">
      <c r="AK3050" s="685">
        <f t="shared" si="62"/>
        <v>0</v>
      </c>
    </row>
    <row r="3051" spans="37:37" x14ac:dyDescent="0.2">
      <c r="AK3051" s="685">
        <f t="shared" si="62"/>
        <v>0</v>
      </c>
    </row>
    <row r="3052" spans="37:37" x14ac:dyDescent="0.2">
      <c r="AK3052" s="685">
        <f t="shared" si="62"/>
        <v>0</v>
      </c>
    </row>
    <row r="3053" spans="37:37" x14ac:dyDescent="0.2">
      <c r="AK3053" s="685">
        <f t="shared" si="62"/>
        <v>0</v>
      </c>
    </row>
    <row r="3054" spans="37:37" x14ac:dyDescent="0.2">
      <c r="AK3054" s="685">
        <f t="shared" si="62"/>
        <v>0</v>
      </c>
    </row>
    <row r="3055" spans="37:37" x14ac:dyDescent="0.2">
      <c r="AK3055" s="685">
        <f t="shared" si="62"/>
        <v>0</v>
      </c>
    </row>
    <row r="3056" spans="37:37" x14ac:dyDescent="0.2">
      <c r="AK3056" s="685">
        <f t="shared" si="62"/>
        <v>0</v>
      </c>
    </row>
    <row r="3057" spans="37:37" x14ac:dyDescent="0.2">
      <c r="AK3057" s="685">
        <f t="shared" si="62"/>
        <v>0</v>
      </c>
    </row>
    <row r="3058" spans="37:37" x14ac:dyDescent="0.2">
      <c r="AK3058" s="685">
        <f t="shared" si="62"/>
        <v>0</v>
      </c>
    </row>
    <row r="3059" spans="37:37" x14ac:dyDescent="0.2">
      <c r="AK3059" s="685">
        <f t="shared" si="62"/>
        <v>0</v>
      </c>
    </row>
    <row r="3060" spans="37:37" x14ac:dyDescent="0.2">
      <c r="AK3060" s="685">
        <f t="shared" si="62"/>
        <v>0</v>
      </c>
    </row>
    <row r="3061" spans="37:37" x14ac:dyDescent="0.2">
      <c r="AK3061" s="685">
        <f t="shared" si="62"/>
        <v>0</v>
      </c>
    </row>
    <row r="3062" spans="37:37" x14ac:dyDescent="0.2">
      <c r="AK3062" s="685">
        <f t="shared" si="62"/>
        <v>0</v>
      </c>
    </row>
    <row r="3063" spans="37:37" x14ac:dyDescent="0.2">
      <c r="AK3063" s="685">
        <f t="shared" si="62"/>
        <v>0</v>
      </c>
    </row>
    <row r="3064" spans="37:37" x14ac:dyDescent="0.2">
      <c r="AK3064" s="685">
        <f t="shared" si="62"/>
        <v>0</v>
      </c>
    </row>
    <row r="3065" spans="37:37" x14ac:dyDescent="0.2">
      <c r="AK3065" s="685">
        <f t="shared" si="62"/>
        <v>0</v>
      </c>
    </row>
    <row r="3066" spans="37:37" x14ac:dyDescent="0.2">
      <c r="AK3066" s="685">
        <f t="shared" si="62"/>
        <v>0</v>
      </c>
    </row>
    <row r="3067" spans="37:37" x14ac:dyDescent="0.2">
      <c r="AK3067" s="685">
        <f t="shared" si="62"/>
        <v>0</v>
      </c>
    </row>
    <row r="3068" spans="37:37" x14ac:dyDescent="0.2">
      <c r="AK3068" s="685">
        <f t="shared" si="62"/>
        <v>0</v>
      </c>
    </row>
    <row r="3069" spans="37:37" x14ac:dyDescent="0.2">
      <c r="AK3069" s="685">
        <f t="shared" si="62"/>
        <v>0</v>
      </c>
    </row>
    <row r="3070" spans="37:37" x14ac:dyDescent="0.2">
      <c r="AK3070" s="685">
        <f t="shared" si="62"/>
        <v>0</v>
      </c>
    </row>
    <row r="3071" spans="37:37" x14ac:dyDescent="0.2">
      <c r="AK3071" s="685">
        <f t="shared" si="62"/>
        <v>0</v>
      </c>
    </row>
    <row r="3072" spans="37:37" x14ac:dyDescent="0.2">
      <c r="AK3072" s="685">
        <f t="shared" si="62"/>
        <v>0</v>
      </c>
    </row>
    <row r="3073" spans="37:37" x14ac:dyDescent="0.2">
      <c r="AK3073" s="685">
        <f t="shared" si="62"/>
        <v>0</v>
      </c>
    </row>
    <row r="3074" spans="37:37" x14ac:dyDescent="0.2">
      <c r="AK3074" s="685">
        <f t="shared" si="62"/>
        <v>0</v>
      </c>
    </row>
    <row r="3075" spans="37:37" x14ac:dyDescent="0.2">
      <c r="AK3075" s="685">
        <f t="shared" si="62"/>
        <v>0</v>
      </c>
    </row>
    <row r="3076" spans="37:37" x14ac:dyDescent="0.2">
      <c r="AK3076" s="685">
        <f t="shared" si="62"/>
        <v>0</v>
      </c>
    </row>
    <row r="3077" spans="37:37" x14ac:dyDescent="0.2">
      <c r="AK3077" s="685">
        <f t="shared" si="62"/>
        <v>0</v>
      </c>
    </row>
    <row r="3078" spans="37:37" x14ac:dyDescent="0.2">
      <c r="AK3078" s="685">
        <f t="shared" si="62"/>
        <v>0</v>
      </c>
    </row>
    <row r="3079" spans="37:37" x14ac:dyDescent="0.2">
      <c r="AK3079" s="685">
        <f t="shared" si="62"/>
        <v>0</v>
      </c>
    </row>
    <row r="3080" spans="37:37" x14ac:dyDescent="0.2">
      <c r="AK3080" s="685">
        <f t="shared" si="62"/>
        <v>0</v>
      </c>
    </row>
    <row r="3081" spans="37:37" x14ac:dyDescent="0.2">
      <c r="AK3081" s="685">
        <f t="shared" si="62"/>
        <v>0</v>
      </c>
    </row>
    <row r="3082" spans="37:37" x14ac:dyDescent="0.2">
      <c r="AK3082" s="685">
        <f t="shared" si="62"/>
        <v>0</v>
      </c>
    </row>
    <row r="3083" spans="37:37" x14ac:dyDescent="0.2">
      <c r="AK3083" s="685">
        <f t="shared" si="62"/>
        <v>0</v>
      </c>
    </row>
    <row r="3084" spans="37:37" x14ac:dyDescent="0.2">
      <c r="AK3084" s="685">
        <f t="shared" si="62"/>
        <v>0</v>
      </c>
    </row>
    <row r="3085" spans="37:37" x14ac:dyDescent="0.2">
      <c r="AK3085" s="685">
        <f t="shared" si="62"/>
        <v>0</v>
      </c>
    </row>
    <row r="3086" spans="37:37" x14ac:dyDescent="0.2">
      <c r="AK3086" s="685">
        <f t="shared" si="62"/>
        <v>0</v>
      </c>
    </row>
    <row r="3087" spans="37:37" x14ac:dyDescent="0.2">
      <c r="AK3087" s="685">
        <f t="shared" si="62"/>
        <v>0</v>
      </c>
    </row>
    <row r="3088" spans="37:37" x14ac:dyDescent="0.2">
      <c r="AK3088" s="685">
        <f t="shared" si="62"/>
        <v>0</v>
      </c>
    </row>
    <row r="3089" spans="37:37" x14ac:dyDescent="0.2">
      <c r="AK3089" s="685">
        <f t="shared" si="62"/>
        <v>0</v>
      </c>
    </row>
    <row r="3090" spans="37:37" x14ac:dyDescent="0.2">
      <c r="AK3090" s="685">
        <f t="shared" si="62"/>
        <v>0</v>
      </c>
    </row>
    <row r="3091" spans="37:37" x14ac:dyDescent="0.2">
      <c r="AK3091" s="685">
        <f t="shared" si="62"/>
        <v>0</v>
      </c>
    </row>
    <row r="3092" spans="37:37" x14ac:dyDescent="0.2">
      <c r="AK3092" s="685">
        <f t="shared" si="62"/>
        <v>0</v>
      </c>
    </row>
    <row r="3093" spans="37:37" x14ac:dyDescent="0.2">
      <c r="AK3093" s="685">
        <f t="shared" si="62"/>
        <v>0</v>
      </c>
    </row>
    <row r="3094" spans="37:37" x14ac:dyDescent="0.2">
      <c r="AK3094" s="685">
        <f t="shared" si="62"/>
        <v>0</v>
      </c>
    </row>
    <row r="3095" spans="37:37" x14ac:dyDescent="0.2">
      <c r="AK3095" s="685">
        <f t="shared" si="62"/>
        <v>0</v>
      </c>
    </row>
    <row r="3096" spans="37:37" x14ac:dyDescent="0.2">
      <c r="AK3096" s="685">
        <f t="shared" ref="AK3096:AK3159" si="63">SUM(O3096:AJ3096)</f>
        <v>0</v>
      </c>
    </row>
    <row r="3097" spans="37:37" x14ac:dyDescent="0.2">
      <c r="AK3097" s="685">
        <f t="shared" si="63"/>
        <v>0</v>
      </c>
    </row>
    <row r="3098" spans="37:37" x14ac:dyDescent="0.2">
      <c r="AK3098" s="685">
        <f t="shared" si="63"/>
        <v>0</v>
      </c>
    </row>
    <row r="3099" spans="37:37" x14ac:dyDescent="0.2">
      <c r="AK3099" s="685">
        <f t="shared" si="63"/>
        <v>0</v>
      </c>
    </row>
    <row r="3100" spans="37:37" x14ac:dyDescent="0.2">
      <c r="AK3100" s="685">
        <f t="shared" si="63"/>
        <v>0</v>
      </c>
    </row>
    <row r="3101" spans="37:37" x14ac:dyDescent="0.2">
      <c r="AK3101" s="685">
        <f t="shared" si="63"/>
        <v>0</v>
      </c>
    </row>
    <row r="3102" spans="37:37" x14ac:dyDescent="0.2">
      <c r="AK3102" s="685">
        <f t="shared" si="63"/>
        <v>0</v>
      </c>
    </row>
    <row r="3103" spans="37:37" x14ac:dyDescent="0.2">
      <c r="AK3103" s="685">
        <f t="shared" si="63"/>
        <v>0</v>
      </c>
    </row>
    <row r="3104" spans="37:37" x14ac:dyDescent="0.2">
      <c r="AK3104" s="685">
        <f t="shared" si="63"/>
        <v>0</v>
      </c>
    </row>
    <row r="3105" spans="37:37" x14ac:dyDescent="0.2">
      <c r="AK3105" s="685">
        <f t="shared" si="63"/>
        <v>0</v>
      </c>
    </row>
    <row r="3106" spans="37:37" x14ac:dyDescent="0.2">
      <c r="AK3106" s="685">
        <f t="shared" si="63"/>
        <v>0</v>
      </c>
    </row>
    <row r="3107" spans="37:37" x14ac:dyDescent="0.2">
      <c r="AK3107" s="685">
        <f t="shared" si="63"/>
        <v>0</v>
      </c>
    </row>
    <row r="3108" spans="37:37" x14ac:dyDescent="0.2">
      <c r="AK3108" s="685">
        <f t="shared" si="63"/>
        <v>0</v>
      </c>
    </row>
    <row r="3109" spans="37:37" x14ac:dyDescent="0.2">
      <c r="AK3109" s="685">
        <f t="shared" si="63"/>
        <v>0</v>
      </c>
    </row>
    <row r="3110" spans="37:37" x14ac:dyDescent="0.2">
      <c r="AK3110" s="685">
        <f t="shared" si="63"/>
        <v>0</v>
      </c>
    </row>
    <row r="3111" spans="37:37" x14ac:dyDescent="0.2">
      <c r="AK3111" s="685">
        <f t="shared" si="63"/>
        <v>0</v>
      </c>
    </row>
    <row r="3112" spans="37:37" x14ac:dyDescent="0.2">
      <c r="AK3112" s="685">
        <f t="shared" si="63"/>
        <v>0</v>
      </c>
    </row>
    <row r="3113" spans="37:37" x14ac:dyDescent="0.2">
      <c r="AK3113" s="685">
        <f t="shared" si="63"/>
        <v>0</v>
      </c>
    </row>
    <row r="3114" spans="37:37" x14ac:dyDescent="0.2">
      <c r="AK3114" s="685">
        <f t="shared" si="63"/>
        <v>0</v>
      </c>
    </row>
    <row r="3115" spans="37:37" x14ac:dyDescent="0.2">
      <c r="AK3115" s="685">
        <f t="shared" si="63"/>
        <v>0</v>
      </c>
    </row>
    <row r="3116" spans="37:37" x14ac:dyDescent="0.2">
      <c r="AK3116" s="685">
        <f t="shared" si="63"/>
        <v>0</v>
      </c>
    </row>
    <row r="3117" spans="37:37" x14ac:dyDescent="0.2">
      <c r="AK3117" s="685">
        <f t="shared" si="63"/>
        <v>0</v>
      </c>
    </row>
    <row r="3118" spans="37:37" x14ac:dyDescent="0.2">
      <c r="AK3118" s="685">
        <f t="shared" si="63"/>
        <v>0</v>
      </c>
    </row>
    <row r="3119" spans="37:37" x14ac:dyDescent="0.2">
      <c r="AK3119" s="685">
        <f t="shared" si="63"/>
        <v>0</v>
      </c>
    </row>
    <row r="3120" spans="37:37" x14ac:dyDescent="0.2">
      <c r="AK3120" s="685">
        <f t="shared" si="63"/>
        <v>0</v>
      </c>
    </row>
    <row r="3121" spans="37:37" x14ac:dyDescent="0.2">
      <c r="AK3121" s="685">
        <f t="shared" si="63"/>
        <v>0</v>
      </c>
    </row>
    <row r="3122" spans="37:37" x14ac:dyDescent="0.2">
      <c r="AK3122" s="685">
        <f t="shared" si="63"/>
        <v>0</v>
      </c>
    </row>
    <row r="3123" spans="37:37" x14ac:dyDescent="0.2">
      <c r="AK3123" s="685">
        <f t="shared" si="63"/>
        <v>0</v>
      </c>
    </row>
    <row r="3124" spans="37:37" x14ac:dyDescent="0.2">
      <c r="AK3124" s="685">
        <f t="shared" si="63"/>
        <v>0</v>
      </c>
    </row>
    <row r="3125" spans="37:37" x14ac:dyDescent="0.2">
      <c r="AK3125" s="685">
        <f t="shared" si="63"/>
        <v>0</v>
      </c>
    </row>
    <row r="3126" spans="37:37" x14ac:dyDescent="0.2">
      <c r="AK3126" s="685">
        <f t="shared" si="63"/>
        <v>0</v>
      </c>
    </row>
    <row r="3127" spans="37:37" x14ac:dyDescent="0.2">
      <c r="AK3127" s="685">
        <f t="shared" si="63"/>
        <v>0</v>
      </c>
    </row>
    <row r="3128" spans="37:37" x14ac:dyDescent="0.2">
      <c r="AK3128" s="685">
        <f t="shared" si="63"/>
        <v>0</v>
      </c>
    </row>
    <row r="3129" spans="37:37" x14ac:dyDescent="0.2">
      <c r="AK3129" s="685">
        <f t="shared" si="63"/>
        <v>0</v>
      </c>
    </row>
    <row r="3130" spans="37:37" x14ac:dyDescent="0.2">
      <c r="AK3130" s="685">
        <f t="shared" si="63"/>
        <v>0</v>
      </c>
    </row>
    <row r="3131" spans="37:37" x14ac:dyDescent="0.2">
      <c r="AK3131" s="685">
        <f t="shared" si="63"/>
        <v>0</v>
      </c>
    </row>
    <row r="3132" spans="37:37" x14ac:dyDescent="0.2">
      <c r="AK3132" s="685">
        <f t="shared" si="63"/>
        <v>0</v>
      </c>
    </row>
    <row r="3133" spans="37:37" x14ac:dyDescent="0.2">
      <c r="AK3133" s="685">
        <f t="shared" si="63"/>
        <v>0</v>
      </c>
    </row>
    <row r="3134" spans="37:37" x14ac:dyDescent="0.2">
      <c r="AK3134" s="685">
        <f t="shared" si="63"/>
        <v>0</v>
      </c>
    </row>
    <row r="3135" spans="37:37" x14ac:dyDescent="0.2">
      <c r="AK3135" s="685">
        <f t="shared" si="63"/>
        <v>0</v>
      </c>
    </row>
    <row r="3136" spans="37:37" x14ac:dyDescent="0.2">
      <c r="AK3136" s="685">
        <f t="shared" si="63"/>
        <v>0</v>
      </c>
    </row>
    <row r="3137" spans="37:37" x14ac:dyDescent="0.2">
      <c r="AK3137" s="685">
        <f t="shared" si="63"/>
        <v>0</v>
      </c>
    </row>
    <row r="3138" spans="37:37" x14ac:dyDescent="0.2">
      <c r="AK3138" s="685">
        <f t="shared" si="63"/>
        <v>0</v>
      </c>
    </row>
    <row r="3139" spans="37:37" x14ac:dyDescent="0.2">
      <c r="AK3139" s="685">
        <f t="shared" si="63"/>
        <v>0</v>
      </c>
    </row>
    <row r="3140" spans="37:37" x14ac:dyDescent="0.2">
      <c r="AK3140" s="685">
        <f t="shared" si="63"/>
        <v>0</v>
      </c>
    </row>
    <row r="3141" spans="37:37" x14ac:dyDescent="0.2">
      <c r="AK3141" s="685">
        <f t="shared" si="63"/>
        <v>0</v>
      </c>
    </row>
    <row r="3142" spans="37:37" x14ac:dyDescent="0.2">
      <c r="AK3142" s="685">
        <f t="shared" si="63"/>
        <v>0</v>
      </c>
    </row>
    <row r="3143" spans="37:37" x14ac:dyDescent="0.2">
      <c r="AK3143" s="685">
        <f t="shared" si="63"/>
        <v>0</v>
      </c>
    </row>
    <row r="3144" spans="37:37" x14ac:dyDescent="0.2">
      <c r="AK3144" s="685">
        <f t="shared" si="63"/>
        <v>0</v>
      </c>
    </row>
    <row r="3145" spans="37:37" x14ac:dyDescent="0.2">
      <c r="AK3145" s="685">
        <f t="shared" si="63"/>
        <v>0</v>
      </c>
    </row>
    <row r="3146" spans="37:37" x14ac:dyDescent="0.2">
      <c r="AK3146" s="685">
        <f t="shared" si="63"/>
        <v>0</v>
      </c>
    </row>
    <row r="3147" spans="37:37" x14ac:dyDescent="0.2">
      <c r="AK3147" s="685">
        <f t="shared" si="63"/>
        <v>0</v>
      </c>
    </row>
    <row r="3148" spans="37:37" x14ac:dyDescent="0.2">
      <c r="AK3148" s="685">
        <f t="shared" si="63"/>
        <v>0</v>
      </c>
    </row>
    <row r="3149" spans="37:37" x14ac:dyDescent="0.2">
      <c r="AK3149" s="685">
        <f t="shared" si="63"/>
        <v>0</v>
      </c>
    </row>
    <row r="3150" spans="37:37" x14ac:dyDescent="0.2">
      <c r="AK3150" s="685">
        <f t="shared" si="63"/>
        <v>0</v>
      </c>
    </row>
    <row r="3151" spans="37:37" x14ac:dyDescent="0.2">
      <c r="AK3151" s="685">
        <f t="shared" si="63"/>
        <v>0</v>
      </c>
    </row>
    <row r="3152" spans="37:37" x14ac:dyDescent="0.2">
      <c r="AK3152" s="685">
        <f t="shared" si="63"/>
        <v>0</v>
      </c>
    </row>
    <row r="3153" spans="37:37" x14ac:dyDescent="0.2">
      <c r="AK3153" s="685">
        <f t="shared" si="63"/>
        <v>0</v>
      </c>
    </row>
    <row r="3154" spans="37:37" x14ac:dyDescent="0.2">
      <c r="AK3154" s="685">
        <f t="shared" si="63"/>
        <v>0</v>
      </c>
    </row>
    <row r="3155" spans="37:37" x14ac:dyDescent="0.2">
      <c r="AK3155" s="685">
        <f t="shared" si="63"/>
        <v>0</v>
      </c>
    </row>
    <row r="3156" spans="37:37" x14ac:dyDescent="0.2">
      <c r="AK3156" s="685">
        <f t="shared" si="63"/>
        <v>0</v>
      </c>
    </row>
    <row r="3157" spans="37:37" x14ac:dyDescent="0.2">
      <c r="AK3157" s="685">
        <f t="shared" si="63"/>
        <v>0</v>
      </c>
    </row>
    <row r="3158" spans="37:37" x14ac:dyDescent="0.2">
      <c r="AK3158" s="685">
        <f t="shared" si="63"/>
        <v>0</v>
      </c>
    </row>
    <row r="3159" spans="37:37" x14ac:dyDescent="0.2">
      <c r="AK3159" s="685">
        <f t="shared" si="63"/>
        <v>0</v>
      </c>
    </row>
    <row r="3160" spans="37:37" x14ac:dyDescent="0.2">
      <c r="AK3160" s="685">
        <f t="shared" ref="AK3160:AK3223" si="64">SUM(O3160:AJ3160)</f>
        <v>0</v>
      </c>
    </row>
    <row r="3161" spans="37:37" x14ac:dyDescent="0.2">
      <c r="AK3161" s="685">
        <f t="shared" si="64"/>
        <v>0</v>
      </c>
    </row>
    <row r="3162" spans="37:37" x14ac:dyDescent="0.2">
      <c r="AK3162" s="685">
        <f t="shared" si="64"/>
        <v>0</v>
      </c>
    </row>
    <row r="3163" spans="37:37" x14ac:dyDescent="0.2">
      <c r="AK3163" s="685">
        <f t="shared" si="64"/>
        <v>0</v>
      </c>
    </row>
    <row r="3164" spans="37:37" x14ac:dyDescent="0.2">
      <c r="AK3164" s="685">
        <f t="shared" si="64"/>
        <v>0</v>
      </c>
    </row>
    <row r="3165" spans="37:37" x14ac:dyDescent="0.2">
      <c r="AK3165" s="685">
        <f t="shared" si="64"/>
        <v>0</v>
      </c>
    </row>
    <row r="3166" spans="37:37" x14ac:dyDescent="0.2">
      <c r="AK3166" s="685">
        <f t="shared" si="64"/>
        <v>0</v>
      </c>
    </row>
    <row r="3167" spans="37:37" x14ac:dyDescent="0.2">
      <c r="AK3167" s="685">
        <f t="shared" si="64"/>
        <v>0</v>
      </c>
    </row>
    <row r="3168" spans="37:37" x14ac:dyDescent="0.2">
      <c r="AK3168" s="685">
        <f t="shared" si="64"/>
        <v>0</v>
      </c>
    </row>
    <row r="3169" spans="37:37" x14ac:dyDescent="0.2">
      <c r="AK3169" s="685">
        <f t="shared" si="64"/>
        <v>0</v>
      </c>
    </row>
    <row r="3170" spans="37:37" x14ac:dyDescent="0.2">
      <c r="AK3170" s="685">
        <f t="shared" si="64"/>
        <v>0</v>
      </c>
    </row>
    <row r="3171" spans="37:37" x14ac:dyDescent="0.2">
      <c r="AK3171" s="685">
        <f t="shared" si="64"/>
        <v>0</v>
      </c>
    </row>
    <row r="3172" spans="37:37" x14ac:dyDescent="0.2">
      <c r="AK3172" s="685">
        <f t="shared" si="64"/>
        <v>0</v>
      </c>
    </row>
    <row r="3173" spans="37:37" x14ac:dyDescent="0.2">
      <c r="AK3173" s="685">
        <f t="shared" si="64"/>
        <v>0</v>
      </c>
    </row>
    <row r="3174" spans="37:37" x14ac:dyDescent="0.2">
      <c r="AK3174" s="685">
        <f t="shared" si="64"/>
        <v>0</v>
      </c>
    </row>
    <row r="3175" spans="37:37" x14ac:dyDescent="0.2">
      <c r="AK3175" s="685">
        <f t="shared" si="64"/>
        <v>0</v>
      </c>
    </row>
    <row r="3176" spans="37:37" x14ac:dyDescent="0.2">
      <c r="AK3176" s="685">
        <f t="shared" si="64"/>
        <v>0</v>
      </c>
    </row>
    <row r="3177" spans="37:37" x14ac:dyDescent="0.2">
      <c r="AK3177" s="685">
        <f t="shared" si="64"/>
        <v>0</v>
      </c>
    </row>
    <row r="3178" spans="37:37" x14ac:dyDescent="0.2">
      <c r="AK3178" s="685">
        <f t="shared" si="64"/>
        <v>0</v>
      </c>
    </row>
    <row r="3179" spans="37:37" x14ac:dyDescent="0.2">
      <c r="AK3179" s="685">
        <f t="shared" si="64"/>
        <v>0</v>
      </c>
    </row>
    <row r="3180" spans="37:37" x14ac:dyDescent="0.2">
      <c r="AK3180" s="685">
        <f t="shared" si="64"/>
        <v>0</v>
      </c>
    </row>
    <row r="3181" spans="37:37" x14ac:dyDescent="0.2">
      <c r="AK3181" s="685">
        <f t="shared" si="64"/>
        <v>0</v>
      </c>
    </row>
    <row r="3182" spans="37:37" x14ac:dyDescent="0.2">
      <c r="AK3182" s="685">
        <f t="shared" si="64"/>
        <v>0</v>
      </c>
    </row>
    <row r="3183" spans="37:37" x14ac:dyDescent="0.2">
      <c r="AK3183" s="685">
        <f t="shared" si="64"/>
        <v>0</v>
      </c>
    </row>
    <row r="3184" spans="37:37" x14ac:dyDescent="0.2">
      <c r="AK3184" s="685">
        <f t="shared" si="64"/>
        <v>0</v>
      </c>
    </row>
    <row r="3185" spans="37:37" x14ac:dyDescent="0.2">
      <c r="AK3185" s="685">
        <f t="shared" si="64"/>
        <v>0</v>
      </c>
    </row>
    <row r="3186" spans="37:37" x14ac:dyDescent="0.2">
      <c r="AK3186" s="685">
        <f t="shared" si="64"/>
        <v>0</v>
      </c>
    </row>
    <row r="3187" spans="37:37" x14ac:dyDescent="0.2">
      <c r="AK3187" s="685">
        <f t="shared" si="64"/>
        <v>0</v>
      </c>
    </row>
    <row r="3188" spans="37:37" x14ac:dyDescent="0.2">
      <c r="AK3188" s="685">
        <f t="shared" si="64"/>
        <v>0</v>
      </c>
    </row>
    <row r="3189" spans="37:37" x14ac:dyDescent="0.2">
      <c r="AK3189" s="685">
        <f t="shared" si="64"/>
        <v>0</v>
      </c>
    </row>
    <row r="3190" spans="37:37" x14ac:dyDescent="0.2">
      <c r="AK3190" s="685">
        <f t="shared" si="64"/>
        <v>0</v>
      </c>
    </row>
    <row r="3191" spans="37:37" x14ac:dyDescent="0.2">
      <c r="AK3191" s="685">
        <f t="shared" si="64"/>
        <v>0</v>
      </c>
    </row>
    <row r="3192" spans="37:37" x14ac:dyDescent="0.2">
      <c r="AK3192" s="685">
        <f t="shared" si="64"/>
        <v>0</v>
      </c>
    </row>
    <row r="3193" spans="37:37" x14ac:dyDescent="0.2">
      <c r="AK3193" s="685">
        <f t="shared" si="64"/>
        <v>0</v>
      </c>
    </row>
    <row r="3194" spans="37:37" x14ac:dyDescent="0.2">
      <c r="AK3194" s="685">
        <f t="shared" si="64"/>
        <v>0</v>
      </c>
    </row>
    <row r="3195" spans="37:37" x14ac:dyDescent="0.2">
      <c r="AK3195" s="685">
        <f t="shared" si="64"/>
        <v>0</v>
      </c>
    </row>
    <row r="3196" spans="37:37" x14ac:dyDescent="0.2">
      <c r="AK3196" s="685">
        <f t="shared" si="64"/>
        <v>0</v>
      </c>
    </row>
    <row r="3197" spans="37:37" x14ac:dyDescent="0.2">
      <c r="AK3197" s="685">
        <f t="shared" si="64"/>
        <v>0</v>
      </c>
    </row>
    <row r="3198" spans="37:37" x14ac:dyDescent="0.2">
      <c r="AK3198" s="685">
        <f t="shared" si="64"/>
        <v>0</v>
      </c>
    </row>
    <row r="3199" spans="37:37" x14ac:dyDescent="0.2">
      <c r="AK3199" s="685">
        <f t="shared" si="64"/>
        <v>0</v>
      </c>
    </row>
    <row r="3200" spans="37:37" x14ac:dyDescent="0.2">
      <c r="AK3200" s="685">
        <f t="shared" si="64"/>
        <v>0</v>
      </c>
    </row>
    <row r="3201" spans="37:37" x14ac:dyDescent="0.2">
      <c r="AK3201" s="685">
        <f t="shared" si="64"/>
        <v>0</v>
      </c>
    </row>
    <row r="3202" spans="37:37" x14ac:dyDescent="0.2">
      <c r="AK3202" s="685">
        <f t="shared" si="64"/>
        <v>0</v>
      </c>
    </row>
    <row r="3203" spans="37:37" x14ac:dyDescent="0.2">
      <c r="AK3203" s="685">
        <f t="shared" si="64"/>
        <v>0</v>
      </c>
    </row>
    <row r="3204" spans="37:37" x14ac:dyDescent="0.2">
      <c r="AK3204" s="685">
        <f t="shared" si="64"/>
        <v>0</v>
      </c>
    </row>
    <row r="3205" spans="37:37" x14ac:dyDescent="0.2">
      <c r="AK3205" s="685">
        <f t="shared" si="64"/>
        <v>0</v>
      </c>
    </row>
    <row r="3206" spans="37:37" x14ac:dyDescent="0.2">
      <c r="AK3206" s="685">
        <f t="shared" si="64"/>
        <v>0</v>
      </c>
    </row>
    <row r="3207" spans="37:37" x14ac:dyDescent="0.2">
      <c r="AK3207" s="685">
        <f t="shared" si="64"/>
        <v>0</v>
      </c>
    </row>
    <row r="3208" spans="37:37" x14ac:dyDescent="0.2">
      <c r="AK3208" s="685">
        <f t="shared" si="64"/>
        <v>0</v>
      </c>
    </row>
    <row r="3209" spans="37:37" x14ac:dyDescent="0.2">
      <c r="AK3209" s="685">
        <f t="shared" si="64"/>
        <v>0</v>
      </c>
    </row>
    <row r="3210" spans="37:37" x14ac:dyDescent="0.2">
      <c r="AK3210" s="685">
        <f t="shared" si="64"/>
        <v>0</v>
      </c>
    </row>
    <row r="3211" spans="37:37" x14ac:dyDescent="0.2">
      <c r="AK3211" s="685">
        <f t="shared" si="64"/>
        <v>0</v>
      </c>
    </row>
    <row r="3212" spans="37:37" x14ac:dyDescent="0.2">
      <c r="AK3212" s="685">
        <f t="shared" si="64"/>
        <v>0</v>
      </c>
    </row>
    <row r="3213" spans="37:37" x14ac:dyDescent="0.2">
      <c r="AK3213" s="685">
        <f t="shared" si="64"/>
        <v>0</v>
      </c>
    </row>
    <row r="3214" spans="37:37" x14ac:dyDescent="0.2">
      <c r="AK3214" s="685">
        <f t="shared" si="64"/>
        <v>0</v>
      </c>
    </row>
    <row r="3215" spans="37:37" x14ac:dyDescent="0.2">
      <c r="AK3215" s="685">
        <f t="shared" si="64"/>
        <v>0</v>
      </c>
    </row>
    <row r="3216" spans="37:37" x14ac:dyDescent="0.2">
      <c r="AK3216" s="685">
        <f t="shared" si="64"/>
        <v>0</v>
      </c>
    </row>
    <row r="3217" spans="37:37" x14ac:dyDescent="0.2">
      <c r="AK3217" s="685">
        <f t="shared" si="64"/>
        <v>0</v>
      </c>
    </row>
    <row r="3218" spans="37:37" x14ac:dyDescent="0.2">
      <c r="AK3218" s="685">
        <f t="shared" si="64"/>
        <v>0</v>
      </c>
    </row>
    <row r="3219" spans="37:37" x14ac:dyDescent="0.2">
      <c r="AK3219" s="685">
        <f t="shared" si="64"/>
        <v>0</v>
      </c>
    </row>
    <row r="3220" spans="37:37" x14ac:dyDescent="0.2">
      <c r="AK3220" s="685">
        <f t="shared" si="64"/>
        <v>0</v>
      </c>
    </row>
    <row r="3221" spans="37:37" x14ac:dyDescent="0.2">
      <c r="AK3221" s="685">
        <f t="shared" si="64"/>
        <v>0</v>
      </c>
    </row>
    <row r="3222" spans="37:37" x14ac:dyDescent="0.2">
      <c r="AK3222" s="685">
        <f t="shared" si="64"/>
        <v>0</v>
      </c>
    </row>
    <row r="3223" spans="37:37" x14ac:dyDescent="0.2">
      <c r="AK3223" s="685">
        <f t="shared" si="64"/>
        <v>0</v>
      </c>
    </row>
    <row r="3224" spans="37:37" x14ac:dyDescent="0.2">
      <c r="AK3224" s="685">
        <f t="shared" ref="AK3224:AK3287" si="65">SUM(O3224:AJ3224)</f>
        <v>0</v>
      </c>
    </row>
    <row r="3225" spans="37:37" x14ac:dyDescent="0.2">
      <c r="AK3225" s="685">
        <f t="shared" si="65"/>
        <v>0</v>
      </c>
    </row>
    <row r="3226" spans="37:37" x14ac:dyDescent="0.2">
      <c r="AK3226" s="685">
        <f t="shared" si="65"/>
        <v>0</v>
      </c>
    </row>
    <row r="3227" spans="37:37" x14ac:dyDescent="0.2">
      <c r="AK3227" s="685">
        <f t="shared" si="65"/>
        <v>0</v>
      </c>
    </row>
    <row r="3228" spans="37:37" x14ac:dyDescent="0.2">
      <c r="AK3228" s="685">
        <f t="shared" si="65"/>
        <v>0</v>
      </c>
    </row>
    <row r="3229" spans="37:37" x14ac:dyDescent="0.2">
      <c r="AK3229" s="685">
        <f t="shared" si="65"/>
        <v>0</v>
      </c>
    </row>
    <row r="3230" spans="37:37" x14ac:dyDescent="0.2">
      <c r="AK3230" s="685">
        <f t="shared" si="65"/>
        <v>0</v>
      </c>
    </row>
    <row r="3231" spans="37:37" x14ac:dyDescent="0.2">
      <c r="AK3231" s="685">
        <f t="shared" si="65"/>
        <v>0</v>
      </c>
    </row>
    <row r="3232" spans="37:37" x14ac:dyDescent="0.2">
      <c r="AK3232" s="685">
        <f t="shared" si="65"/>
        <v>0</v>
      </c>
    </row>
    <row r="3233" spans="37:37" x14ac:dyDescent="0.2">
      <c r="AK3233" s="685">
        <f t="shared" si="65"/>
        <v>0</v>
      </c>
    </row>
    <row r="3234" spans="37:37" x14ac:dyDescent="0.2">
      <c r="AK3234" s="685">
        <f t="shared" si="65"/>
        <v>0</v>
      </c>
    </row>
    <row r="3235" spans="37:37" x14ac:dyDescent="0.2">
      <c r="AK3235" s="685">
        <f t="shared" si="65"/>
        <v>0</v>
      </c>
    </row>
    <row r="3236" spans="37:37" x14ac:dyDescent="0.2">
      <c r="AK3236" s="685">
        <f t="shared" si="65"/>
        <v>0</v>
      </c>
    </row>
    <row r="3237" spans="37:37" x14ac:dyDescent="0.2">
      <c r="AK3237" s="685">
        <f t="shared" si="65"/>
        <v>0</v>
      </c>
    </row>
    <row r="3238" spans="37:37" x14ac:dyDescent="0.2">
      <c r="AK3238" s="685">
        <f t="shared" si="65"/>
        <v>0</v>
      </c>
    </row>
    <row r="3239" spans="37:37" x14ac:dyDescent="0.2">
      <c r="AK3239" s="685">
        <f t="shared" si="65"/>
        <v>0</v>
      </c>
    </row>
    <row r="3240" spans="37:37" x14ac:dyDescent="0.2">
      <c r="AK3240" s="685">
        <f t="shared" si="65"/>
        <v>0</v>
      </c>
    </row>
    <row r="3241" spans="37:37" x14ac:dyDescent="0.2">
      <c r="AK3241" s="685">
        <f t="shared" si="65"/>
        <v>0</v>
      </c>
    </row>
    <row r="3242" spans="37:37" x14ac:dyDescent="0.2">
      <c r="AK3242" s="685">
        <f t="shared" si="65"/>
        <v>0</v>
      </c>
    </row>
    <row r="3243" spans="37:37" x14ac:dyDescent="0.2">
      <c r="AK3243" s="685">
        <f t="shared" si="65"/>
        <v>0</v>
      </c>
    </row>
    <row r="3244" spans="37:37" x14ac:dyDescent="0.2">
      <c r="AK3244" s="685">
        <f t="shared" si="65"/>
        <v>0</v>
      </c>
    </row>
    <row r="3245" spans="37:37" x14ac:dyDescent="0.2">
      <c r="AK3245" s="685">
        <f t="shared" si="65"/>
        <v>0</v>
      </c>
    </row>
    <row r="3246" spans="37:37" x14ac:dyDescent="0.2">
      <c r="AK3246" s="685">
        <f t="shared" si="65"/>
        <v>0</v>
      </c>
    </row>
    <row r="3247" spans="37:37" x14ac:dyDescent="0.2">
      <c r="AK3247" s="685">
        <f t="shared" si="65"/>
        <v>0</v>
      </c>
    </row>
    <row r="3248" spans="37:37" x14ac:dyDescent="0.2">
      <c r="AK3248" s="685">
        <f t="shared" si="65"/>
        <v>0</v>
      </c>
    </row>
    <row r="3249" spans="37:37" x14ac:dyDescent="0.2">
      <c r="AK3249" s="685">
        <f t="shared" si="65"/>
        <v>0</v>
      </c>
    </row>
    <row r="3250" spans="37:37" x14ac:dyDescent="0.2">
      <c r="AK3250" s="685">
        <f t="shared" si="65"/>
        <v>0</v>
      </c>
    </row>
    <row r="3251" spans="37:37" x14ac:dyDescent="0.2">
      <c r="AK3251" s="685">
        <f t="shared" si="65"/>
        <v>0</v>
      </c>
    </row>
    <row r="3252" spans="37:37" x14ac:dyDescent="0.2">
      <c r="AK3252" s="685">
        <f t="shared" si="65"/>
        <v>0</v>
      </c>
    </row>
    <row r="3253" spans="37:37" x14ac:dyDescent="0.2">
      <c r="AK3253" s="685">
        <f t="shared" si="65"/>
        <v>0</v>
      </c>
    </row>
    <row r="3254" spans="37:37" x14ac:dyDescent="0.2">
      <c r="AK3254" s="685">
        <f t="shared" si="65"/>
        <v>0</v>
      </c>
    </row>
    <row r="3255" spans="37:37" x14ac:dyDescent="0.2">
      <c r="AK3255" s="685">
        <f t="shared" si="65"/>
        <v>0</v>
      </c>
    </row>
    <row r="3256" spans="37:37" x14ac:dyDescent="0.2">
      <c r="AK3256" s="685">
        <f t="shared" si="65"/>
        <v>0</v>
      </c>
    </row>
    <row r="3257" spans="37:37" x14ac:dyDescent="0.2">
      <c r="AK3257" s="685">
        <f t="shared" si="65"/>
        <v>0</v>
      </c>
    </row>
    <row r="3258" spans="37:37" x14ac:dyDescent="0.2">
      <c r="AK3258" s="685">
        <f t="shared" si="65"/>
        <v>0</v>
      </c>
    </row>
    <row r="3259" spans="37:37" x14ac:dyDescent="0.2">
      <c r="AK3259" s="685">
        <f t="shared" si="65"/>
        <v>0</v>
      </c>
    </row>
    <row r="3260" spans="37:37" x14ac:dyDescent="0.2">
      <c r="AK3260" s="685">
        <f t="shared" si="65"/>
        <v>0</v>
      </c>
    </row>
    <row r="3261" spans="37:37" x14ac:dyDescent="0.2">
      <c r="AK3261" s="685">
        <f t="shared" si="65"/>
        <v>0</v>
      </c>
    </row>
    <row r="3262" spans="37:37" x14ac:dyDescent="0.2">
      <c r="AK3262" s="685">
        <f t="shared" si="65"/>
        <v>0</v>
      </c>
    </row>
    <row r="3263" spans="37:37" x14ac:dyDescent="0.2">
      <c r="AK3263" s="685">
        <f t="shared" si="65"/>
        <v>0</v>
      </c>
    </row>
    <row r="3264" spans="37:37" x14ac:dyDescent="0.2">
      <c r="AK3264" s="685">
        <f t="shared" si="65"/>
        <v>0</v>
      </c>
    </row>
    <row r="3265" spans="37:37" x14ac:dyDescent="0.2">
      <c r="AK3265" s="685">
        <f t="shared" si="65"/>
        <v>0</v>
      </c>
    </row>
    <row r="3266" spans="37:37" x14ac:dyDescent="0.2">
      <c r="AK3266" s="685">
        <f t="shared" si="65"/>
        <v>0</v>
      </c>
    </row>
    <row r="3267" spans="37:37" x14ac:dyDescent="0.2">
      <c r="AK3267" s="685">
        <f t="shared" si="65"/>
        <v>0</v>
      </c>
    </row>
    <row r="3268" spans="37:37" x14ac:dyDescent="0.2">
      <c r="AK3268" s="685">
        <f t="shared" si="65"/>
        <v>0</v>
      </c>
    </row>
    <row r="3269" spans="37:37" x14ac:dyDescent="0.2">
      <c r="AK3269" s="685">
        <f t="shared" si="65"/>
        <v>0</v>
      </c>
    </row>
    <row r="3270" spans="37:37" x14ac:dyDescent="0.2">
      <c r="AK3270" s="685">
        <f t="shared" si="65"/>
        <v>0</v>
      </c>
    </row>
    <row r="3271" spans="37:37" x14ac:dyDescent="0.2">
      <c r="AK3271" s="685">
        <f t="shared" si="65"/>
        <v>0</v>
      </c>
    </row>
    <row r="3272" spans="37:37" x14ac:dyDescent="0.2">
      <c r="AK3272" s="685">
        <f t="shared" si="65"/>
        <v>0</v>
      </c>
    </row>
    <row r="3273" spans="37:37" x14ac:dyDescent="0.2">
      <c r="AK3273" s="685">
        <f t="shared" si="65"/>
        <v>0</v>
      </c>
    </row>
    <row r="3274" spans="37:37" x14ac:dyDescent="0.2">
      <c r="AK3274" s="685">
        <f t="shared" si="65"/>
        <v>0</v>
      </c>
    </row>
    <row r="3275" spans="37:37" x14ac:dyDescent="0.2">
      <c r="AK3275" s="685">
        <f t="shared" si="65"/>
        <v>0</v>
      </c>
    </row>
    <row r="3276" spans="37:37" x14ac:dyDescent="0.2">
      <c r="AK3276" s="685">
        <f t="shared" si="65"/>
        <v>0</v>
      </c>
    </row>
    <row r="3277" spans="37:37" x14ac:dyDescent="0.2">
      <c r="AK3277" s="685">
        <f t="shared" si="65"/>
        <v>0</v>
      </c>
    </row>
    <row r="3278" spans="37:37" x14ac:dyDescent="0.2">
      <c r="AK3278" s="685">
        <f t="shared" si="65"/>
        <v>0</v>
      </c>
    </row>
    <row r="3279" spans="37:37" x14ac:dyDescent="0.2">
      <c r="AK3279" s="685">
        <f t="shared" si="65"/>
        <v>0</v>
      </c>
    </row>
    <row r="3280" spans="37:37" x14ac:dyDescent="0.2">
      <c r="AK3280" s="685">
        <f t="shared" si="65"/>
        <v>0</v>
      </c>
    </row>
    <row r="3281" spans="37:37" x14ac:dyDescent="0.2">
      <c r="AK3281" s="685">
        <f t="shared" si="65"/>
        <v>0</v>
      </c>
    </row>
    <row r="3282" spans="37:37" x14ac:dyDescent="0.2">
      <c r="AK3282" s="685">
        <f t="shared" si="65"/>
        <v>0</v>
      </c>
    </row>
    <row r="3283" spans="37:37" x14ac:dyDescent="0.2">
      <c r="AK3283" s="685">
        <f t="shared" si="65"/>
        <v>0</v>
      </c>
    </row>
    <row r="3284" spans="37:37" x14ac:dyDescent="0.2">
      <c r="AK3284" s="685">
        <f t="shared" si="65"/>
        <v>0</v>
      </c>
    </row>
    <row r="3285" spans="37:37" x14ac:dyDescent="0.2">
      <c r="AK3285" s="685">
        <f t="shared" si="65"/>
        <v>0</v>
      </c>
    </row>
    <row r="3286" spans="37:37" x14ac:dyDescent="0.2">
      <c r="AK3286" s="685">
        <f t="shared" si="65"/>
        <v>0</v>
      </c>
    </row>
    <row r="3287" spans="37:37" x14ac:dyDescent="0.2">
      <c r="AK3287" s="685">
        <f t="shared" si="65"/>
        <v>0</v>
      </c>
    </row>
    <row r="3288" spans="37:37" x14ac:dyDescent="0.2">
      <c r="AK3288" s="685">
        <f t="shared" ref="AK3288:AK3351" si="66">SUM(O3288:AJ3288)</f>
        <v>0</v>
      </c>
    </row>
    <row r="3289" spans="37:37" x14ac:dyDescent="0.2">
      <c r="AK3289" s="685">
        <f t="shared" si="66"/>
        <v>0</v>
      </c>
    </row>
    <row r="3290" spans="37:37" x14ac:dyDescent="0.2">
      <c r="AK3290" s="685">
        <f t="shared" si="66"/>
        <v>0</v>
      </c>
    </row>
    <row r="3291" spans="37:37" x14ac:dyDescent="0.2">
      <c r="AK3291" s="685">
        <f t="shared" si="66"/>
        <v>0</v>
      </c>
    </row>
    <row r="3292" spans="37:37" x14ac:dyDescent="0.2">
      <c r="AK3292" s="685">
        <f t="shared" si="66"/>
        <v>0</v>
      </c>
    </row>
    <row r="3293" spans="37:37" x14ac:dyDescent="0.2">
      <c r="AK3293" s="685">
        <f t="shared" si="66"/>
        <v>0</v>
      </c>
    </row>
    <row r="3294" spans="37:37" x14ac:dyDescent="0.2">
      <c r="AK3294" s="685">
        <f t="shared" si="66"/>
        <v>0</v>
      </c>
    </row>
    <row r="3295" spans="37:37" x14ac:dyDescent="0.2">
      <c r="AK3295" s="685">
        <f t="shared" si="66"/>
        <v>0</v>
      </c>
    </row>
    <row r="3296" spans="37:37" x14ac:dyDescent="0.2">
      <c r="AK3296" s="685">
        <f t="shared" si="66"/>
        <v>0</v>
      </c>
    </row>
    <row r="3297" spans="37:37" x14ac:dyDescent="0.2">
      <c r="AK3297" s="685">
        <f t="shared" si="66"/>
        <v>0</v>
      </c>
    </row>
    <row r="3298" spans="37:37" x14ac:dyDescent="0.2">
      <c r="AK3298" s="685">
        <f t="shared" si="66"/>
        <v>0</v>
      </c>
    </row>
    <row r="3299" spans="37:37" x14ac:dyDescent="0.2">
      <c r="AK3299" s="685">
        <f t="shared" si="66"/>
        <v>0</v>
      </c>
    </row>
    <row r="3300" spans="37:37" x14ac:dyDescent="0.2">
      <c r="AK3300" s="685">
        <f t="shared" si="66"/>
        <v>0</v>
      </c>
    </row>
    <row r="3301" spans="37:37" x14ac:dyDescent="0.2">
      <c r="AK3301" s="685">
        <f t="shared" si="66"/>
        <v>0</v>
      </c>
    </row>
    <row r="3302" spans="37:37" x14ac:dyDescent="0.2">
      <c r="AK3302" s="685">
        <f t="shared" si="66"/>
        <v>0</v>
      </c>
    </row>
    <row r="3303" spans="37:37" x14ac:dyDescent="0.2">
      <c r="AK3303" s="685">
        <f t="shared" si="66"/>
        <v>0</v>
      </c>
    </row>
    <row r="3304" spans="37:37" x14ac:dyDescent="0.2">
      <c r="AK3304" s="685">
        <f t="shared" si="66"/>
        <v>0</v>
      </c>
    </row>
    <row r="3305" spans="37:37" x14ac:dyDescent="0.2">
      <c r="AK3305" s="685">
        <f t="shared" si="66"/>
        <v>0</v>
      </c>
    </row>
    <row r="3306" spans="37:37" x14ac:dyDescent="0.2">
      <c r="AK3306" s="685">
        <f t="shared" si="66"/>
        <v>0</v>
      </c>
    </row>
    <row r="3307" spans="37:37" x14ac:dyDescent="0.2">
      <c r="AK3307" s="685">
        <f t="shared" si="66"/>
        <v>0</v>
      </c>
    </row>
    <row r="3308" spans="37:37" x14ac:dyDescent="0.2">
      <c r="AK3308" s="685">
        <f t="shared" si="66"/>
        <v>0</v>
      </c>
    </row>
    <row r="3309" spans="37:37" x14ac:dyDescent="0.2">
      <c r="AK3309" s="685">
        <f t="shared" si="66"/>
        <v>0</v>
      </c>
    </row>
    <row r="3310" spans="37:37" x14ac:dyDescent="0.2">
      <c r="AK3310" s="685">
        <f t="shared" si="66"/>
        <v>0</v>
      </c>
    </row>
    <row r="3311" spans="37:37" x14ac:dyDescent="0.2">
      <c r="AK3311" s="685">
        <f t="shared" si="66"/>
        <v>0</v>
      </c>
    </row>
    <row r="3312" spans="37:37" x14ac:dyDescent="0.2">
      <c r="AK3312" s="685">
        <f t="shared" si="66"/>
        <v>0</v>
      </c>
    </row>
    <row r="3313" spans="37:37" x14ac:dyDescent="0.2">
      <c r="AK3313" s="685">
        <f t="shared" si="66"/>
        <v>0</v>
      </c>
    </row>
    <row r="3314" spans="37:37" x14ac:dyDescent="0.2">
      <c r="AK3314" s="685">
        <f t="shared" si="66"/>
        <v>0</v>
      </c>
    </row>
    <row r="3315" spans="37:37" x14ac:dyDescent="0.2">
      <c r="AK3315" s="685">
        <f t="shared" si="66"/>
        <v>0</v>
      </c>
    </row>
    <row r="3316" spans="37:37" x14ac:dyDescent="0.2">
      <c r="AK3316" s="685">
        <f t="shared" si="66"/>
        <v>0</v>
      </c>
    </row>
    <row r="3317" spans="37:37" x14ac:dyDescent="0.2">
      <c r="AK3317" s="685">
        <f t="shared" si="66"/>
        <v>0</v>
      </c>
    </row>
    <row r="3318" spans="37:37" x14ac:dyDescent="0.2">
      <c r="AK3318" s="685">
        <f t="shared" si="66"/>
        <v>0</v>
      </c>
    </row>
    <row r="3319" spans="37:37" x14ac:dyDescent="0.2">
      <c r="AK3319" s="685">
        <f t="shared" si="66"/>
        <v>0</v>
      </c>
    </row>
    <row r="3320" spans="37:37" x14ac:dyDescent="0.2">
      <c r="AK3320" s="685">
        <f t="shared" si="66"/>
        <v>0</v>
      </c>
    </row>
    <row r="3321" spans="37:37" x14ac:dyDescent="0.2">
      <c r="AK3321" s="685">
        <f t="shared" si="66"/>
        <v>0</v>
      </c>
    </row>
    <row r="3322" spans="37:37" x14ac:dyDescent="0.2">
      <c r="AK3322" s="685">
        <f t="shared" si="66"/>
        <v>0</v>
      </c>
    </row>
    <row r="3323" spans="37:37" x14ac:dyDescent="0.2">
      <c r="AK3323" s="685">
        <f t="shared" si="66"/>
        <v>0</v>
      </c>
    </row>
    <row r="3324" spans="37:37" x14ac:dyDescent="0.2">
      <c r="AK3324" s="685">
        <f t="shared" si="66"/>
        <v>0</v>
      </c>
    </row>
    <row r="3325" spans="37:37" x14ac:dyDescent="0.2">
      <c r="AK3325" s="685">
        <f t="shared" si="66"/>
        <v>0</v>
      </c>
    </row>
    <row r="3326" spans="37:37" x14ac:dyDescent="0.2">
      <c r="AK3326" s="685">
        <f t="shared" si="66"/>
        <v>0</v>
      </c>
    </row>
    <row r="3327" spans="37:37" x14ac:dyDescent="0.2">
      <c r="AK3327" s="685">
        <f t="shared" si="66"/>
        <v>0</v>
      </c>
    </row>
    <row r="3328" spans="37:37" x14ac:dyDescent="0.2">
      <c r="AK3328" s="685">
        <f t="shared" si="66"/>
        <v>0</v>
      </c>
    </row>
    <row r="3329" spans="37:37" x14ac:dyDescent="0.2">
      <c r="AK3329" s="685">
        <f t="shared" si="66"/>
        <v>0</v>
      </c>
    </row>
    <row r="3330" spans="37:37" x14ac:dyDescent="0.2">
      <c r="AK3330" s="685">
        <f t="shared" si="66"/>
        <v>0</v>
      </c>
    </row>
    <row r="3331" spans="37:37" x14ac:dyDescent="0.2">
      <c r="AK3331" s="685">
        <f t="shared" si="66"/>
        <v>0</v>
      </c>
    </row>
    <row r="3332" spans="37:37" x14ac:dyDescent="0.2">
      <c r="AK3332" s="685">
        <f t="shared" si="66"/>
        <v>0</v>
      </c>
    </row>
    <row r="3333" spans="37:37" x14ac:dyDescent="0.2">
      <c r="AK3333" s="685">
        <f t="shared" si="66"/>
        <v>0</v>
      </c>
    </row>
    <row r="3334" spans="37:37" x14ac:dyDescent="0.2">
      <c r="AK3334" s="685">
        <f t="shared" si="66"/>
        <v>0</v>
      </c>
    </row>
    <row r="3335" spans="37:37" x14ac:dyDescent="0.2">
      <c r="AK3335" s="685">
        <f t="shared" si="66"/>
        <v>0</v>
      </c>
    </row>
    <row r="3336" spans="37:37" x14ac:dyDescent="0.2">
      <c r="AK3336" s="685">
        <f t="shared" si="66"/>
        <v>0</v>
      </c>
    </row>
    <row r="3337" spans="37:37" x14ac:dyDescent="0.2">
      <c r="AK3337" s="685">
        <f t="shared" si="66"/>
        <v>0</v>
      </c>
    </row>
    <row r="3338" spans="37:37" x14ac:dyDescent="0.2">
      <c r="AK3338" s="685">
        <f t="shared" si="66"/>
        <v>0</v>
      </c>
    </row>
    <row r="3339" spans="37:37" x14ac:dyDescent="0.2">
      <c r="AK3339" s="685">
        <f t="shared" si="66"/>
        <v>0</v>
      </c>
    </row>
    <row r="3340" spans="37:37" x14ac:dyDescent="0.2">
      <c r="AK3340" s="685">
        <f t="shared" si="66"/>
        <v>0</v>
      </c>
    </row>
    <row r="3341" spans="37:37" x14ac:dyDescent="0.2">
      <c r="AK3341" s="685">
        <f t="shared" si="66"/>
        <v>0</v>
      </c>
    </row>
    <row r="3342" spans="37:37" x14ac:dyDescent="0.2">
      <c r="AK3342" s="685">
        <f t="shared" si="66"/>
        <v>0</v>
      </c>
    </row>
    <row r="3343" spans="37:37" x14ac:dyDescent="0.2">
      <c r="AK3343" s="685">
        <f t="shared" si="66"/>
        <v>0</v>
      </c>
    </row>
    <row r="3344" spans="37:37" x14ac:dyDescent="0.2">
      <c r="AK3344" s="685">
        <f t="shared" si="66"/>
        <v>0</v>
      </c>
    </row>
    <row r="3345" spans="37:37" x14ac:dyDescent="0.2">
      <c r="AK3345" s="685">
        <f t="shared" si="66"/>
        <v>0</v>
      </c>
    </row>
    <row r="3346" spans="37:37" x14ac:dyDescent="0.2">
      <c r="AK3346" s="685">
        <f t="shared" si="66"/>
        <v>0</v>
      </c>
    </row>
    <row r="3347" spans="37:37" x14ac:dyDescent="0.2">
      <c r="AK3347" s="685">
        <f t="shared" si="66"/>
        <v>0</v>
      </c>
    </row>
    <row r="3348" spans="37:37" x14ac:dyDescent="0.2">
      <c r="AK3348" s="685">
        <f t="shared" si="66"/>
        <v>0</v>
      </c>
    </row>
    <row r="3349" spans="37:37" x14ac:dyDescent="0.2">
      <c r="AK3349" s="685">
        <f t="shared" si="66"/>
        <v>0</v>
      </c>
    </row>
    <row r="3350" spans="37:37" x14ac:dyDescent="0.2">
      <c r="AK3350" s="685">
        <f t="shared" si="66"/>
        <v>0</v>
      </c>
    </row>
    <row r="3351" spans="37:37" x14ac:dyDescent="0.2">
      <c r="AK3351" s="685">
        <f t="shared" si="66"/>
        <v>0</v>
      </c>
    </row>
    <row r="3352" spans="37:37" x14ac:dyDescent="0.2">
      <c r="AK3352" s="685">
        <f t="shared" ref="AK3352:AK3415" si="67">SUM(O3352:AJ3352)</f>
        <v>0</v>
      </c>
    </row>
    <row r="3353" spans="37:37" x14ac:dyDescent="0.2">
      <c r="AK3353" s="685">
        <f t="shared" si="67"/>
        <v>0</v>
      </c>
    </row>
    <row r="3354" spans="37:37" x14ac:dyDescent="0.2">
      <c r="AK3354" s="685">
        <f t="shared" si="67"/>
        <v>0</v>
      </c>
    </row>
    <row r="3355" spans="37:37" x14ac:dyDescent="0.2">
      <c r="AK3355" s="685">
        <f t="shared" si="67"/>
        <v>0</v>
      </c>
    </row>
    <row r="3356" spans="37:37" x14ac:dyDescent="0.2">
      <c r="AK3356" s="685">
        <f t="shared" si="67"/>
        <v>0</v>
      </c>
    </row>
    <row r="3357" spans="37:37" x14ac:dyDescent="0.2">
      <c r="AK3357" s="685">
        <f t="shared" si="67"/>
        <v>0</v>
      </c>
    </row>
    <row r="3358" spans="37:37" x14ac:dyDescent="0.2">
      <c r="AK3358" s="685">
        <f t="shared" si="67"/>
        <v>0</v>
      </c>
    </row>
    <row r="3359" spans="37:37" x14ac:dyDescent="0.2">
      <c r="AK3359" s="685">
        <f t="shared" si="67"/>
        <v>0</v>
      </c>
    </row>
    <row r="3360" spans="37:37" x14ac:dyDescent="0.2">
      <c r="AK3360" s="685">
        <f t="shared" si="67"/>
        <v>0</v>
      </c>
    </row>
    <row r="3361" spans="37:37" x14ac:dyDescent="0.2">
      <c r="AK3361" s="685">
        <f t="shared" si="67"/>
        <v>0</v>
      </c>
    </row>
    <row r="3362" spans="37:37" x14ac:dyDescent="0.2">
      <c r="AK3362" s="685">
        <f t="shared" si="67"/>
        <v>0</v>
      </c>
    </row>
    <row r="3363" spans="37:37" x14ac:dyDescent="0.2">
      <c r="AK3363" s="685">
        <f t="shared" si="67"/>
        <v>0</v>
      </c>
    </row>
    <row r="3364" spans="37:37" x14ac:dyDescent="0.2">
      <c r="AK3364" s="685">
        <f t="shared" si="67"/>
        <v>0</v>
      </c>
    </row>
    <row r="3365" spans="37:37" x14ac:dyDescent="0.2">
      <c r="AK3365" s="685">
        <f t="shared" si="67"/>
        <v>0</v>
      </c>
    </row>
    <row r="3366" spans="37:37" x14ac:dyDescent="0.2">
      <c r="AK3366" s="685">
        <f t="shared" si="67"/>
        <v>0</v>
      </c>
    </row>
    <row r="3367" spans="37:37" x14ac:dyDescent="0.2">
      <c r="AK3367" s="685">
        <f t="shared" si="67"/>
        <v>0</v>
      </c>
    </row>
    <row r="3368" spans="37:37" x14ac:dyDescent="0.2">
      <c r="AK3368" s="685">
        <f t="shared" si="67"/>
        <v>0</v>
      </c>
    </row>
    <row r="3369" spans="37:37" x14ac:dyDescent="0.2">
      <c r="AK3369" s="685">
        <f t="shared" si="67"/>
        <v>0</v>
      </c>
    </row>
    <row r="3370" spans="37:37" x14ac:dyDescent="0.2">
      <c r="AK3370" s="685">
        <f t="shared" si="67"/>
        <v>0</v>
      </c>
    </row>
    <row r="3371" spans="37:37" x14ac:dyDescent="0.2">
      <c r="AK3371" s="685">
        <f t="shared" si="67"/>
        <v>0</v>
      </c>
    </row>
    <row r="3372" spans="37:37" x14ac:dyDescent="0.2">
      <c r="AK3372" s="685">
        <f t="shared" si="67"/>
        <v>0</v>
      </c>
    </row>
    <row r="3373" spans="37:37" x14ac:dyDescent="0.2">
      <c r="AK3373" s="685">
        <f t="shared" si="67"/>
        <v>0</v>
      </c>
    </row>
    <row r="3374" spans="37:37" x14ac:dyDescent="0.2">
      <c r="AK3374" s="685">
        <f t="shared" si="67"/>
        <v>0</v>
      </c>
    </row>
    <row r="3375" spans="37:37" x14ac:dyDescent="0.2">
      <c r="AK3375" s="685">
        <f t="shared" si="67"/>
        <v>0</v>
      </c>
    </row>
    <row r="3376" spans="37:37" x14ac:dyDescent="0.2">
      <c r="AK3376" s="685">
        <f t="shared" si="67"/>
        <v>0</v>
      </c>
    </row>
    <row r="3377" spans="37:37" x14ac:dyDescent="0.2">
      <c r="AK3377" s="685">
        <f t="shared" si="67"/>
        <v>0</v>
      </c>
    </row>
    <row r="3378" spans="37:37" x14ac:dyDescent="0.2">
      <c r="AK3378" s="685">
        <f t="shared" si="67"/>
        <v>0</v>
      </c>
    </row>
    <row r="3379" spans="37:37" x14ac:dyDescent="0.2">
      <c r="AK3379" s="685">
        <f t="shared" si="67"/>
        <v>0</v>
      </c>
    </row>
    <row r="3380" spans="37:37" x14ac:dyDescent="0.2">
      <c r="AK3380" s="685">
        <f t="shared" si="67"/>
        <v>0</v>
      </c>
    </row>
    <row r="3381" spans="37:37" x14ac:dyDescent="0.2">
      <c r="AK3381" s="685">
        <f t="shared" si="67"/>
        <v>0</v>
      </c>
    </row>
    <row r="3382" spans="37:37" x14ac:dyDescent="0.2">
      <c r="AK3382" s="685">
        <f t="shared" si="67"/>
        <v>0</v>
      </c>
    </row>
    <row r="3383" spans="37:37" x14ac:dyDescent="0.2">
      <c r="AK3383" s="685">
        <f t="shared" si="67"/>
        <v>0</v>
      </c>
    </row>
    <row r="3384" spans="37:37" x14ac:dyDescent="0.2">
      <c r="AK3384" s="685">
        <f t="shared" si="67"/>
        <v>0</v>
      </c>
    </row>
    <row r="3385" spans="37:37" x14ac:dyDescent="0.2">
      <c r="AK3385" s="685">
        <f t="shared" si="67"/>
        <v>0</v>
      </c>
    </row>
    <row r="3386" spans="37:37" x14ac:dyDescent="0.2">
      <c r="AK3386" s="685">
        <f t="shared" si="67"/>
        <v>0</v>
      </c>
    </row>
    <row r="3387" spans="37:37" x14ac:dyDescent="0.2">
      <c r="AK3387" s="685">
        <f t="shared" si="67"/>
        <v>0</v>
      </c>
    </row>
    <row r="3388" spans="37:37" x14ac:dyDescent="0.2">
      <c r="AK3388" s="685">
        <f t="shared" si="67"/>
        <v>0</v>
      </c>
    </row>
    <row r="3389" spans="37:37" x14ac:dyDescent="0.2">
      <c r="AK3389" s="685">
        <f t="shared" si="67"/>
        <v>0</v>
      </c>
    </row>
    <row r="3390" spans="37:37" x14ac:dyDescent="0.2">
      <c r="AK3390" s="685">
        <f t="shared" si="67"/>
        <v>0</v>
      </c>
    </row>
    <row r="3391" spans="37:37" x14ac:dyDescent="0.2">
      <c r="AK3391" s="685">
        <f t="shared" si="67"/>
        <v>0</v>
      </c>
    </row>
    <row r="3392" spans="37:37" x14ac:dyDescent="0.2">
      <c r="AK3392" s="685">
        <f t="shared" si="67"/>
        <v>0</v>
      </c>
    </row>
    <row r="3393" spans="37:37" x14ac:dyDescent="0.2">
      <c r="AK3393" s="685">
        <f t="shared" si="67"/>
        <v>0</v>
      </c>
    </row>
    <row r="3394" spans="37:37" x14ac:dyDescent="0.2">
      <c r="AK3394" s="685">
        <f t="shared" si="67"/>
        <v>0</v>
      </c>
    </row>
    <row r="3395" spans="37:37" x14ac:dyDescent="0.2">
      <c r="AK3395" s="685">
        <f t="shared" si="67"/>
        <v>0</v>
      </c>
    </row>
    <row r="3396" spans="37:37" x14ac:dyDescent="0.2">
      <c r="AK3396" s="685">
        <f t="shared" si="67"/>
        <v>0</v>
      </c>
    </row>
    <row r="3397" spans="37:37" x14ac:dyDescent="0.2">
      <c r="AK3397" s="685">
        <f t="shared" si="67"/>
        <v>0</v>
      </c>
    </row>
    <row r="3398" spans="37:37" x14ac:dyDescent="0.2">
      <c r="AK3398" s="685">
        <f t="shared" si="67"/>
        <v>0</v>
      </c>
    </row>
    <row r="3399" spans="37:37" x14ac:dyDescent="0.2">
      <c r="AK3399" s="685">
        <f t="shared" si="67"/>
        <v>0</v>
      </c>
    </row>
    <row r="3400" spans="37:37" x14ac:dyDescent="0.2">
      <c r="AK3400" s="685">
        <f t="shared" si="67"/>
        <v>0</v>
      </c>
    </row>
    <row r="3401" spans="37:37" x14ac:dyDescent="0.2">
      <c r="AK3401" s="685">
        <f t="shared" si="67"/>
        <v>0</v>
      </c>
    </row>
    <row r="3402" spans="37:37" x14ac:dyDescent="0.2">
      <c r="AK3402" s="685">
        <f t="shared" si="67"/>
        <v>0</v>
      </c>
    </row>
    <row r="3403" spans="37:37" x14ac:dyDescent="0.2">
      <c r="AK3403" s="685">
        <f t="shared" si="67"/>
        <v>0</v>
      </c>
    </row>
    <row r="3404" spans="37:37" x14ac:dyDescent="0.2">
      <c r="AK3404" s="685">
        <f t="shared" si="67"/>
        <v>0</v>
      </c>
    </row>
    <row r="3405" spans="37:37" x14ac:dyDescent="0.2">
      <c r="AK3405" s="685">
        <f t="shared" si="67"/>
        <v>0</v>
      </c>
    </row>
    <row r="3406" spans="37:37" x14ac:dyDescent="0.2">
      <c r="AK3406" s="685">
        <f t="shared" si="67"/>
        <v>0</v>
      </c>
    </row>
    <row r="3407" spans="37:37" x14ac:dyDescent="0.2">
      <c r="AK3407" s="685">
        <f t="shared" si="67"/>
        <v>0</v>
      </c>
    </row>
    <row r="3408" spans="37:37" x14ac:dyDescent="0.2">
      <c r="AK3408" s="685">
        <f t="shared" si="67"/>
        <v>0</v>
      </c>
    </row>
    <row r="3409" spans="37:37" x14ac:dyDescent="0.2">
      <c r="AK3409" s="685">
        <f t="shared" si="67"/>
        <v>0</v>
      </c>
    </row>
    <row r="3410" spans="37:37" x14ac:dyDescent="0.2">
      <c r="AK3410" s="685">
        <f t="shared" si="67"/>
        <v>0</v>
      </c>
    </row>
    <row r="3411" spans="37:37" x14ac:dyDescent="0.2">
      <c r="AK3411" s="685">
        <f t="shared" si="67"/>
        <v>0</v>
      </c>
    </row>
    <row r="3412" spans="37:37" x14ac:dyDescent="0.2">
      <c r="AK3412" s="685">
        <f t="shared" si="67"/>
        <v>0</v>
      </c>
    </row>
    <row r="3413" spans="37:37" x14ac:dyDescent="0.2">
      <c r="AK3413" s="685">
        <f t="shared" si="67"/>
        <v>0</v>
      </c>
    </row>
    <row r="3414" spans="37:37" x14ac:dyDescent="0.2">
      <c r="AK3414" s="685">
        <f t="shared" si="67"/>
        <v>0</v>
      </c>
    </row>
    <row r="3415" spans="37:37" x14ac:dyDescent="0.2">
      <c r="AK3415" s="685">
        <f t="shared" si="67"/>
        <v>0</v>
      </c>
    </row>
    <row r="3416" spans="37:37" x14ac:dyDescent="0.2">
      <c r="AK3416" s="685">
        <f t="shared" ref="AK3416:AK3479" si="68">SUM(O3416:AJ3416)</f>
        <v>0</v>
      </c>
    </row>
    <row r="3417" spans="37:37" x14ac:dyDescent="0.2">
      <c r="AK3417" s="685">
        <f t="shared" si="68"/>
        <v>0</v>
      </c>
    </row>
    <row r="3418" spans="37:37" x14ac:dyDescent="0.2">
      <c r="AK3418" s="685">
        <f t="shared" si="68"/>
        <v>0</v>
      </c>
    </row>
    <row r="3419" spans="37:37" x14ac:dyDescent="0.2">
      <c r="AK3419" s="685">
        <f t="shared" si="68"/>
        <v>0</v>
      </c>
    </row>
    <row r="3420" spans="37:37" x14ac:dyDescent="0.2">
      <c r="AK3420" s="685">
        <f t="shared" si="68"/>
        <v>0</v>
      </c>
    </row>
    <row r="3421" spans="37:37" x14ac:dyDescent="0.2">
      <c r="AK3421" s="685">
        <f t="shared" si="68"/>
        <v>0</v>
      </c>
    </row>
    <row r="3422" spans="37:37" x14ac:dyDescent="0.2">
      <c r="AK3422" s="685">
        <f t="shared" si="68"/>
        <v>0</v>
      </c>
    </row>
    <row r="3423" spans="37:37" x14ac:dyDescent="0.2">
      <c r="AK3423" s="685">
        <f t="shared" si="68"/>
        <v>0</v>
      </c>
    </row>
    <row r="3424" spans="37:37" x14ac:dyDescent="0.2">
      <c r="AK3424" s="685">
        <f t="shared" si="68"/>
        <v>0</v>
      </c>
    </row>
    <row r="3425" spans="37:37" x14ac:dyDescent="0.2">
      <c r="AK3425" s="685">
        <f t="shared" si="68"/>
        <v>0</v>
      </c>
    </row>
    <row r="3426" spans="37:37" x14ac:dyDescent="0.2">
      <c r="AK3426" s="685">
        <f t="shared" si="68"/>
        <v>0</v>
      </c>
    </row>
    <row r="3427" spans="37:37" x14ac:dyDescent="0.2">
      <c r="AK3427" s="685">
        <f t="shared" si="68"/>
        <v>0</v>
      </c>
    </row>
    <row r="3428" spans="37:37" x14ac:dyDescent="0.2">
      <c r="AK3428" s="685">
        <f t="shared" si="68"/>
        <v>0</v>
      </c>
    </row>
    <row r="3429" spans="37:37" x14ac:dyDescent="0.2">
      <c r="AK3429" s="685">
        <f t="shared" si="68"/>
        <v>0</v>
      </c>
    </row>
    <row r="3430" spans="37:37" x14ac:dyDescent="0.2">
      <c r="AK3430" s="685">
        <f t="shared" si="68"/>
        <v>0</v>
      </c>
    </row>
    <row r="3431" spans="37:37" x14ac:dyDescent="0.2">
      <c r="AK3431" s="685">
        <f t="shared" si="68"/>
        <v>0</v>
      </c>
    </row>
    <row r="3432" spans="37:37" x14ac:dyDescent="0.2">
      <c r="AK3432" s="685">
        <f t="shared" si="68"/>
        <v>0</v>
      </c>
    </row>
    <row r="3433" spans="37:37" x14ac:dyDescent="0.2">
      <c r="AK3433" s="685">
        <f t="shared" si="68"/>
        <v>0</v>
      </c>
    </row>
    <row r="3434" spans="37:37" x14ac:dyDescent="0.2">
      <c r="AK3434" s="685">
        <f t="shared" si="68"/>
        <v>0</v>
      </c>
    </row>
    <row r="3435" spans="37:37" x14ac:dyDescent="0.2">
      <c r="AK3435" s="685">
        <f t="shared" si="68"/>
        <v>0</v>
      </c>
    </row>
    <row r="3436" spans="37:37" x14ac:dyDescent="0.2">
      <c r="AK3436" s="685">
        <f t="shared" si="68"/>
        <v>0</v>
      </c>
    </row>
    <row r="3437" spans="37:37" x14ac:dyDescent="0.2">
      <c r="AK3437" s="685">
        <f t="shared" si="68"/>
        <v>0</v>
      </c>
    </row>
    <row r="3438" spans="37:37" x14ac:dyDescent="0.2">
      <c r="AK3438" s="685">
        <f t="shared" si="68"/>
        <v>0</v>
      </c>
    </row>
    <row r="3439" spans="37:37" x14ac:dyDescent="0.2">
      <c r="AK3439" s="685">
        <f t="shared" si="68"/>
        <v>0</v>
      </c>
    </row>
    <row r="3440" spans="37:37" x14ac:dyDescent="0.2">
      <c r="AK3440" s="685">
        <f t="shared" si="68"/>
        <v>0</v>
      </c>
    </row>
    <row r="3441" spans="37:37" x14ac:dyDescent="0.2">
      <c r="AK3441" s="685">
        <f t="shared" si="68"/>
        <v>0</v>
      </c>
    </row>
    <row r="3442" spans="37:37" x14ac:dyDescent="0.2">
      <c r="AK3442" s="685">
        <f t="shared" si="68"/>
        <v>0</v>
      </c>
    </row>
    <row r="3443" spans="37:37" x14ac:dyDescent="0.2">
      <c r="AK3443" s="685">
        <f t="shared" si="68"/>
        <v>0</v>
      </c>
    </row>
    <row r="3444" spans="37:37" x14ac:dyDescent="0.2">
      <c r="AK3444" s="685">
        <f t="shared" si="68"/>
        <v>0</v>
      </c>
    </row>
    <row r="3445" spans="37:37" x14ac:dyDescent="0.2">
      <c r="AK3445" s="685">
        <f t="shared" si="68"/>
        <v>0</v>
      </c>
    </row>
    <row r="3446" spans="37:37" x14ac:dyDescent="0.2">
      <c r="AK3446" s="685">
        <f t="shared" si="68"/>
        <v>0</v>
      </c>
    </row>
    <row r="3447" spans="37:37" x14ac:dyDescent="0.2">
      <c r="AK3447" s="685">
        <f t="shared" si="68"/>
        <v>0</v>
      </c>
    </row>
    <row r="3448" spans="37:37" x14ac:dyDescent="0.2">
      <c r="AK3448" s="685">
        <f t="shared" si="68"/>
        <v>0</v>
      </c>
    </row>
    <row r="3449" spans="37:37" x14ac:dyDescent="0.2">
      <c r="AK3449" s="685">
        <f t="shared" si="68"/>
        <v>0</v>
      </c>
    </row>
    <row r="3450" spans="37:37" x14ac:dyDescent="0.2">
      <c r="AK3450" s="685">
        <f t="shared" si="68"/>
        <v>0</v>
      </c>
    </row>
    <row r="3451" spans="37:37" x14ac:dyDescent="0.2">
      <c r="AK3451" s="685">
        <f t="shared" si="68"/>
        <v>0</v>
      </c>
    </row>
    <row r="3452" spans="37:37" x14ac:dyDescent="0.2">
      <c r="AK3452" s="685">
        <f t="shared" si="68"/>
        <v>0</v>
      </c>
    </row>
    <row r="3453" spans="37:37" x14ac:dyDescent="0.2">
      <c r="AK3453" s="685">
        <f t="shared" si="68"/>
        <v>0</v>
      </c>
    </row>
    <row r="3454" spans="37:37" x14ac:dyDescent="0.2">
      <c r="AK3454" s="685">
        <f t="shared" si="68"/>
        <v>0</v>
      </c>
    </row>
    <row r="3455" spans="37:37" x14ac:dyDescent="0.2">
      <c r="AK3455" s="685">
        <f t="shared" si="68"/>
        <v>0</v>
      </c>
    </row>
    <row r="3456" spans="37:37" x14ac:dyDescent="0.2">
      <c r="AK3456" s="685">
        <f t="shared" si="68"/>
        <v>0</v>
      </c>
    </row>
    <row r="3457" spans="37:37" x14ac:dyDescent="0.2">
      <c r="AK3457" s="685">
        <f t="shared" si="68"/>
        <v>0</v>
      </c>
    </row>
    <row r="3458" spans="37:37" x14ac:dyDescent="0.2">
      <c r="AK3458" s="685">
        <f t="shared" si="68"/>
        <v>0</v>
      </c>
    </row>
    <row r="3459" spans="37:37" x14ac:dyDescent="0.2">
      <c r="AK3459" s="685">
        <f t="shared" si="68"/>
        <v>0</v>
      </c>
    </row>
    <row r="3460" spans="37:37" x14ac:dyDescent="0.2">
      <c r="AK3460" s="685">
        <f t="shared" si="68"/>
        <v>0</v>
      </c>
    </row>
    <row r="3461" spans="37:37" x14ac:dyDescent="0.2">
      <c r="AK3461" s="685">
        <f t="shared" si="68"/>
        <v>0</v>
      </c>
    </row>
    <row r="3462" spans="37:37" x14ac:dyDescent="0.2">
      <c r="AK3462" s="685">
        <f t="shared" si="68"/>
        <v>0</v>
      </c>
    </row>
    <row r="3463" spans="37:37" x14ac:dyDescent="0.2">
      <c r="AK3463" s="685">
        <f t="shared" si="68"/>
        <v>0</v>
      </c>
    </row>
    <row r="3464" spans="37:37" x14ac:dyDescent="0.2">
      <c r="AK3464" s="685">
        <f t="shared" si="68"/>
        <v>0</v>
      </c>
    </row>
    <row r="3465" spans="37:37" x14ac:dyDescent="0.2">
      <c r="AK3465" s="685">
        <f t="shared" si="68"/>
        <v>0</v>
      </c>
    </row>
    <row r="3466" spans="37:37" x14ac:dyDescent="0.2">
      <c r="AK3466" s="685">
        <f t="shared" si="68"/>
        <v>0</v>
      </c>
    </row>
    <row r="3467" spans="37:37" x14ac:dyDescent="0.2">
      <c r="AK3467" s="685">
        <f t="shared" si="68"/>
        <v>0</v>
      </c>
    </row>
    <row r="3468" spans="37:37" x14ac:dyDescent="0.2">
      <c r="AK3468" s="685">
        <f t="shared" si="68"/>
        <v>0</v>
      </c>
    </row>
    <row r="3469" spans="37:37" x14ac:dyDescent="0.2">
      <c r="AK3469" s="685">
        <f t="shared" si="68"/>
        <v>0</v>
      </c>
    </row>
    <row r="3470" spans="37:37" x14ac:dyDescent="0.2">
      <c r="AK3470" s="685">
        <f t="shared" si="68"/>
        <v>0</v>
      </c>
    </row>
    <row r="3471" spans="37:37" x14ac:dyDescent="0.2">
      <c r="AK3471" s="685">
        <f t="shared" si="68"/>
        <v>0</v>
      </c>
    </row>
    <row r="3472" spans="37:37" x14ac:dyDescent="0.2">
      <c r="AK3472" s="685">
        <f t="shared" si="68"/>
        <v>0</v>
      </c>
    </row>
    <row r="3473" spans="37:37" x14ac:dyDescent="0.2">
      <c r="AK3473" s="685">
        <f t="shared" si="68"/>
        <v>0</v>
      </c>
    </row>
    <row r="3474" spans="37:37" x14ac:dyDescent="0.2">
      <c r="AK3474" s="685">
        <f t="shared" si="68"/>
        <v>0</v>
      </c>
    </row>
    <row r="3475" spans="37:37" x14ac:dyDescent="0.2">
      <c r="AK3475" s="685">
        <f t="shared" si="68"/>
        <v>0</v>
      </c>
    </row>
    <row r="3476" spans="37:37" x14ac:dyDescent="0.2">
      <c r="AK3476" s="685">
        <f t="shared" si="68"/>
        <v>0</v>
      </c>
    </row>
    <row r="3477" spans="37:37" x14ac:dyDescent="0.2">
      <c r="AK3477" s="685">
        <f t="shared" si="68"/>
        <v>0</v>
      </c>
    </row>
    <row r="3478" spans="37:37" x14ac:dyDescent="0.2">
      <c r="AK3478" s="685">
        <f t="shared" si="68"/>
        <v>0</v>
      </c>
    </row>
    <row r="3479" spans="37:37" x14ac:dyDescent="0.2">
      <c r="AK3479" s="685">
        <f t="shared" si="68"/>
        <v>0</v>
      </c>
    </row>
    <row r="3480" spans="37:37" x14ac:dyDescent="0.2">
      <c r="AK3480" s="685">
        <f t="shared" ref="AK3480:AK3543" si="69">SUM(O3480:AJ3480)</f>
        <v>0</v>
      </c>
    </row>
    <row r="3481" spans="37:37" x14ac:dyDescent="0.2">
      <c r="AK3481" s="685">
        <f t="shared" si="69"/>
        <v>0</v>
      </c>
    </row>
    <row r="3482" spans="37:37" x14ac:dyDescent="0.2">
      <c r="AK3482" s="685">
        <f t="shared" si="69"/>
        <v>0</v>
      </c>
    </row>
    <row r="3483" spans="37:37" x14ac:dyDescent="0.2">
      <c r="AK3483" s="685">
        <f t="shared" si="69"/>
        <v>0</v>
      </c>
    </row>
    <row r="3484" spans="37:37" x14ac:dyDescent="0.2">
      <c r="AK3484" s="685">
        <f t="shared" si="69"/>
        <v>0</v>
      </c>
    </row>
    <row r="3485" spans="37:37" x14ac:dyDescent="0.2">
      <c r="AK3485" s="685">
        <f t="shared" si="69"/>
        <v>0</v>
      </c>
    </row>
    <row r="3486" spans="37:37" x14ac:dyDescent="0.2">
      <c r="AK3486" s="685">
        <f t="shared" si="69"/>
        <v>0</v>
      </c>
    </row>
    <row r="3487" spans="37:37" x14ac:dyDescent="0.2">
      <c r="AK3487" s="685">
        <f t="shared" si="69"/>
        <v>0</v>
      </c>
    </row>
    <row r="3488" spans="37:37" x14ac:dyDescent="0.2">
      <c r="AK3488" s="685">
        <f t="shared" si="69"/>
        <v>0</v>
      </c>
    </row>
    <row r="3489" spans="37:37" x14ac:dyDescent="0.2">
      <c r="AK3489" s="685">
        <f t="shared" si="69"/>
        <v>0</v>
      </c>
    </row>
    <row r="3490" spans="37:37" x14ac:dyDescent="0.2">
      <c r="AK3490" s="685">
        <f t="shared" si="69"/>
        <v>0</v>
      </c>
    </row>
    <row r="3491" spans="37:37" x14ac:dyDescent="0.2">
      <c r="AK3491" s="685">
        <f t="shared" si="69"/>
        <v>0</v>
      </c>
    </row>
    <row r="3492" spans="37:37" x14ac:dyDescent="0.2">
      <c r="AK3492" s="685">
        <f t="shared" si="69"/>
        <v>0</v>
      </c>
    </row>
    <row r="3493" spans="37:37" x14ac:dyDescent="0.2">
      <c r="AK3493" s="685">
        <f t="shared" si="69"/>
        <v>0</v>
      </c>
    </row>
    <row r="3494" spans="37:37" x14ac:dyDescent="0.2">
      <c r="AK3494" s="685">
        <f t="shared" si="69"/>
        <v>0</v>
      </c>
    </row>
    <row r="3495" spans="37:37" x14ac:dyDescent="0.2">
      <c r="AK3495" s="685">
        <f t="shared" si="69"/>
        <v>0</v>
      </c>
    </row>
    <row r="3496" spans="37:37" x14ac:dyDescent="0.2">
      <c r="AK3496" s="685">
        <f t="shared" si="69"/>
        <v>0</v>
      </c>
    </row>
    <row r="3497" spans="37:37" x14ac:dyDescent="0.2">
      <c r="AK3497" s="685">
        <f t="shared" si="69"/>
        <v>0</v>
      </c>
    </row>
    <row r="3498" spans="37:37" x14ac:dyDescent="0.2">
      <c r="AK3498" s="685">
        <f t="shared" si="69"/>
        <v>0</v>
      </c>
    </row>
    <row r="3499" spans="37:37" x14ac:dyDescent="0.2">
      <c r="AK3499" s="685">
        <f t="shared" si="69"/>
        <v>0</v>
      </c>
    </row>
    <row r="3500" spans="37:37" x14ac:dyDescent="0.2">
      <c r="AK3500" s="685">
        <f t="shared" si="69"/>
        <v>0</v>
      </c>
    </row>
    <row r="3501" spans="37:37" x14ac:dyDescent="0.2">
      <c r="AK3501" s="685">
        <f t="shared" si="69"/>
        <v>0</v>
      </c>
    </row>
    <row r="3502" spans="37:37" x14ac:dyDescent="0.2">
      <c r="AK3502" s="685">
        <f t="shared" si="69"/>
        <v>0</v>
      </c>
    </row>
    <row r="3503" spans="37:37" x14ac:dyDescent="0.2">
      <c r="AK3503" s="685">
        <f t="shared" si="69"/>
        <v>0</v>
      </c>
    </row>
    <row r="3504" spans="37:37" x14ac:dyDescent="0.2">
      <c r="AK3504" s="685">
        <f t="shared" si="69"/>
        <v>0</v>
      </c>
    </row>
    <row r="3505" spans="37:37" x14ac:dyDescent="0.2">
      <c r="AK3505" s="685">
        <f t="shared" si="69"/>
        <v>0</v>
      </c>
    </row>
    <row r="3506" spans="37:37" x14ac:dyDescent="0.2">
      <c r="AK3506" s="685">
        <f t="shared" si="69"/>
        <v>0</v>
      </c>
    </row>
    <row r="3507" spans="37:37" x14ac:dyDescent="0.2">
      <c r="AK3507" s="685">
        <f t="shared" si="69"/>
        <v>0</v>
      </c>
    </row>
    <row r="3508" spans="37:37" x14ac:dyDescent="0.2">
      <c r="AK3508" s="685">
        <f t="shared" si="69"/>
        <v>0</v>
      </c>
    </row>
    <row r="3509" spans="37:37" x14ac:dyDescent="0.2">
      <c r="AK3509" s="685">
        <f t="shared" si="69"/>
        <v>0</v>
      </c>
    </row>
    <row r="3510" spans="37:37" x14ac:dyDescent="0.2">
      <c r="AK3510" s="685">
        <f t="shared" si="69"/>
        <v>0</v>
      </c>
    </row>
    <row r="3511" spans="37:37" x14ac:dyDescent="0.2">
      <c r="AK3511" s="685">
        <f t="shared" si="69"/>
        <v>0</v>
      </c>
    </row>
    <row r="3512" spans="37:37" x14ac:dyDescent="0.2">
      <c r="AK3512" s="685">
        <f t="shared" si="69"/>
        <v>0</v>
      </c>
    </row>
    <row r="3513" spans="37:37" x14ac:dyDescent="0.2">
      <c r="AK3513" s="685">
        <f t="shared" si="69"/>
        <v>0</v>
      </c>
    </row>
    <row r="3514" spans="37:37" x14ac:dyDescent="0.2">
      <c r="AK3514" s="685">
        <f t="shared" si="69"/>
        <v>0</v>
      </c>
    </row>
    <row r="3515" spans="37:37" x14ac:dyDescent="0.2">
      <c r="AK3515" s="685">
        <f t="shared" si="69"/>
        <v>0</v>
      </c>
    </row>
    <row r="3516" spans="37:37" x14ac:dyDescent="0.2">
      <c r="AK3516" s="685">
        <f t="shared" si="69"/>
        <v>0</v>
      </c>
    </row>
    <row r="3517" spans="37:37" x14ac:dyDescent="0.2">
      <c r="AK3517" s="685">
        <f t="shared" si="69"/>
        <v>0</v>
      </c>
    </row>
    <row r="3518" spans="37:37" x14ac:dyDescent="0.2">
      <c r="AK3518" s="685">
        <f t="shared" si="69"/>
        <v>0</v>
      </c>
    </row>
    <row r="3519" spans="37:37" x14ac:dyDescent="0.2">
      <c r="AK3519" s="685">
        <f t="shared" si="69"/>
        <v>0</v>
      </c>
    </row>
    <row r="3520" spans="37:37" x14ac:dyDescent="0.2">
      <c r="AK3520" s="685">
        <f t="shared" si="69"/>
        <v>0</v>
      </c>
    </row>
    <row r="3521" spans="37:37" x14ac:dyDescent="0.2">
      <c r="AK3521" s="685">
        <f t="shared" si="69"/>
        <v>0</v>
      </c>
    </row>
    <row r="3522" spans="37:37" x14ac:dyDescent="0.2">
      <c r="AK3522" s="685">
        <f t="shared" si="69"/>
        <v>0</v>
      </c>
    </row>
    <row r="3523" spans="37:37" x14ac:dyDescent="0.2">
      <c r="AK3523" s="685">
        <f t="shared" si="69"/>
        <v>0</v>
      </c>
    </row>
    <row r="3524" spans="37:37" x14ac:dyDescent="0.2">
      <c r="AK3524" s="685">
        <f t="shared" si="69"/>
        <v>0</v>
      </c>
    </row>
    <row r="3525" spans="37:37" x14ac:dyDescent="0.2">
      <c r="AK3525" s="685">
        <f t="shared" si="69"/>
        <v>0</v>
      </c>
    </row>
    <row r="3526" spans="37:37" x14ac:dyDescent="0.2">
      <c r="AK3526" s="685">
        <f t="shared" si="69"/>
        <v>0</v>
      </c>
    </row>
    <row r="3527" spans="37:37" x14ac:dyDescent="0.2">
      <c r="AK3527" s="685">
        <f t="shared" si="69"/>
        <v>0</v>
      </c>
    </row>
    <row r="3528" spans="37:37" x14ac:dyDescent="0.2">
      <c r="AK3528" s="685">
        <f t="shared" si="69"/>
        <v>0</v>
      </c>
    </row>
    <row r="3529" spans="37:37" x14ac:dyDescent="0.2">
      <c r="AK3529" s="685">
        <f t="shared" si="69"/>
        <v>0</v>
      </c>
    </row>
    <row r="3530" spans="37:37" x14ac:dyDescent="0.2">
      <c r="AK3530" s="685">
        <f t="shared" si="69"/>
        <v>0</v>
      </c>
    </row>
    <row r="3531" spans="37:37" x14ac:dyDescent="0.2">
      <c r="AK3531" s="685">
        <f t="shared" si="69"/>
        <v>0</v>
      </c>
    </row>
    <row r="3532" spans="37:37" x14ac:dyDescent="0.2">
      <c r="AK3532" s="685">
        <f t="shared" si="69"/>
        <v>0</v>
      </c>
    </row>
    <row r="3533" spans="37:37" x14ac:dyDescent="0.2">
      <c r="AK3533" s="685">
        <f t="shared" si="69"/>
        <v>0</v>
      </c>
    </row>
    <row r="3534" spans="37:37" x14ac:dyDescent="0.2">
      <c r="AK3534" s="685">
        <f t="shared" si="69"/>
        <v>0</v>
      </c>
    </row>
    <row r="3535" spans="37:37" x14ac:dyDescent="0.2">
      <c r="AK3535" s="685">
        <f t="shared" si="69"/>
        <v>0</v>
      </c>
    </row>
    <row r="3536" spans="37:37" x14ac:dyDescent="0.2">
      <c r="AK3536" s="685">
        <f t="shared" si="69"/>
        <v>0</v>
      </c>
    </row>
    <row r="3537" spans="37:37" x14ac:dyDescent="0.2">
      <c r="AK3537" s="685">
        <f t="shared" si="69"/>
        <v>0</v>
      </c>
    </row>
    <row r="3538" spans="37:37" x14ac:dyDescent="0.2">
      <c r="AK3538" s="685">
        <f t="shared" si="69"/>
        <v>0</v>
      </c>
    </row>
    <row r="3539" spans="37:37" x14ac:dyDescent="0.2">
      <c r="AK3539" s="685">
        <f t="shared" si="69"/>
        <v>0</v>
      </c>
    </row>
    <row r="3540" spans="37:37" x14ac:dyDescent="0.2">
      <c r="AK3540" s="685">
        <f t="shared" si="69"/>
        <v>0</v>
      </c>
    </row>
    <row r="3541" spans="37:37" x14ac:dyDescent="0.2">
      <c r="AK3541" s="685">
        <f t="shared" si="69"/>
        <v>0</v>
      </c>
    </row>
    <row r="3542" spans="37:37" x14ac:dyDescent="0.2">
      <c r="AK3542" s="685">
        <f t="shared" si="69"/>
        <v>0</v>
      </c>
    </row>
    <row r="3543" spans="37:37" x14ac:dyDescent="0.2">
      <c r="AK3543" s="685">
        <f t="shared" si="69"/>
        <v>0</v>
      </c>
    </row>
    <row r="3544" spans="37:37" x14ac:dyDescent="0.2">
      <c r="AK3544" s="685">
        <f t="shared" ref="AK3544:AK3607" si="70">SUM(O3544:AJ3544)</f>
        <v>0</v>
      </c>
    </row>
    <row r="3545" spans="37:37" x14ac:dyDescent="0.2">
      <c r="AK3545" s="685">
        <f t="shared" si="70"/>
        <v>0</v>
      </c>
    </row>
    <row r="3546" spans="37:37" x14ac:dyDescent="0.2">
      <c r="AK3546" s="685">
        <f t="shared" si="70"/>
        <v>0</v>
      </c>
    </row>
    <row r="3547" spans="37:37" x14ac:dyDescent="0.2">
      <c r="AK3547" s="685">
        <f t="shared" si="70"/>
        <v>0</v>
      </c>
    </row>
    <row r="3548" spans="37:37" x14ac:dyDescent="0.2">
      <c r="AK3548" s="685">
        <f t="shared" si="70"/>
        <v>0</v>
      </c>
    </row>
    <row r="3549" spans="37:37" x14ac:dyDescent="0.2">
      <c r="AK3549" s="685">
        <f t="shared" si="70"/>
        <v>0</v>
      </c>
    </row>
    <row r="3550" spans="37:37" x14ac:dyDescent="0.2">
      <c r="AK3550" s="685">
        <f t="shared" si="70"/>
        <v>0</v>
      </c>
    </row>
    <row r="3551" spans="37:37" x14ac:dyDescent="0.2">
      <c r="AK3551" s="685">
        <f t="shared" si="70"/>
        <v>0</v>
      </c>
    </row>
    <row r="3552" spans="37:37" x14ac:dyDescent="0.2">
      <c r="AK3552" s="685">
        <f t="shared" si="70"/>
        <v>0</v>
      </c>
    </row>
    <row r="3553" spans="37:37" x14ac:dyDescent="0.2">
      <c r="AK3553" s="685">
        <f t="shared" si="70"/>
        <v>0</v>
      </c>
    </row>
    <row r="3554" spans="37:37" x14ac:dyDescent="0.2">
      <c r="AK3554" s="685">
        <f t="shared" si="70"/>
        <v>0</v>
      </c>
    </row>
    <row r="3555" spans="37:37" x14ac:dyDescent="0.2">
      <c r="AK3555" s="685">
        <f t="shared" si="70"/>
        <v>0</v>
      </c>
    </row>
    <row r="3556" spans="37:37" x14ac:dyDescent="0.2">
      <c r="AK3556" s="685">
        <f t="shared" si="70"/>
        <v>0</v>
      </c>
    </row>
    <row r="3557" spans="37:37" x14ac:dyDescent="0.2">
      <c r="AK3557" s="685">
        <f t="shared" si="70"/>
        <v>0</v>
      </c>
    </row>
    <row r="3558" spans="37:37" x14ac:dyDescent="0.2">
      <c r="AK3558" s="685">
        <f t="shared" si="70"/>
        <v>0</v>
      </c>
    </row>
    <row r="3559" spans="37:37" x14ac:dyDescent="0.2">
      <c r="AK3559" s="685">
        <f t="shared" si="70"/>
        <v>0</v>
      </c>
    </row>
    <row r="3560" spans="37:37" x14ac:dyDescent="0.2">
      <c r="AK3560" s="685">
        <f t="shared" si="70"/>
        <v>0</v>
      </c>
    </row>
    <row r="3561" spans="37:37" x14ac:dyDescent="0.2">
      <c r="AK3561" s="685">
        <f t="shared" si="70"/>
        <v>0</v>
      </c>
    </row>
    <row r="3562" spans="37:37" x14ac:dyDescent="0.2">
      <c r="AK3562" s="685">
        <f t="shared" si="70"/>
        <v>0</v>
      </c>
    </row>
    <row r="3563" spans="37:37" x14ac:dyDescent="0.2">
      <c r="AK3563" s="685">
        <f t="shared" si="70"/>
        <v>0</v>
      </c>
    </row>
    <row r="3564" spans="37:37" x14ac:dyDescent="0.2">
      <c r="AK3564" s="685">
        <f t="shared" si="70"/>
        <v>0</v>
      </c>
    </row>
    <row r="3565" spans="37:37" x14ac:dyDescent="0.2">
      <c r="AK3565" s="685">
        <f t="shared" si="70"/>
        <v>0</v>
      </c>
    </row>
    <row r="3566" spans="37:37" x14ac:dyDescent="0.2">
      <c r="AK3566" s="685">
        <f t="shared" si="70"/>
        <v>0</v>
      </c>
    </row>
    <row r="3567" spans="37:37" x14ac:dyDescent="0.2">
      <c r="AK3567" s="685">
        <f t="shared" si="70"/>
        <v>0</v>
      </c>
    </row>
    <row r="3568" spans="37:37" x14ac:dyDescent="0.2">
      <c r="AK3568" s="685">
        <f t="shared" si="70"/>
        <v>0</v>
      </c>
    </row>
    <row r="3569" spans="37:37" x14ac:dyDescent="0.2">
      <c r="AK3569" s="685">
        <f t="shared" si="70"/>
        <v>0</v>
      </c>
    </row>
    <row r="3570" spans="37:37" x14ac:dyDescent="0.2">
      <c r="AK3570" s="685">
        <f t="shared" si="70"/>
        <v>0</v>
      </c>
    </row>
    <row r="3571" spans="37:37" x14ac:dyDescent="0.2">
      <c r="AK3571" s="685">
        <f t="shared" si="70"/>
        <v>0</v>
      </c>
    </row>
    <row r="3572" spans="37:37" x14ac:dyDescent="0.2">
      <c r="AK3572" s="685">
        <f t="shared" si="70"/>
        <v>0</v>
      </c>
    </row>
    <row r="3573" spans="37:37" x14ac:dyDescent="0.2">
      <c r="AK3573" s="685">
        <f t="shared" si="70"/>
        <v>0</v>
      </c>
    </row>
    <row r="3574" spans="37:37" x14ac:dyDescent="0.2">
      <c r="AK3574" s="685">
        <f t="shared" si="70"/>
        <v>0</v>
      </c>
    </row>
    <row r="3575" spans="37:37" x14ac:dyDescent="0.2">
      <c r="AK3575" s="685">
        <f t="shared" si="70"/>
        <v>0</v>
      </c>
    </row>
    <row r="3576" spans="37:37" x14ac:dyDescent="0.2">
      <c r="AK3576" s="685">
        <f t="shared" si="70"/>
        <v>0</v>
      </c>
    </row>
    <row r="3577" spans="37:37" x14ac:dyDescent="0.2">
      <c r="AK3577" s="685">
        <f t="shared" si="70"/>
        <v>0</v>
      </c>
    </row>
    <row r="3578" spans="37:37" x14ac:dyDescent="0.2">
      <c r="AK3578" s="685">
        <f t="shared" si="70"/>
        <v>0</v>
      </c>
    </row>
    <row r="3579" spans="37:37" x14ac:dyDescent="0.2">
      <c r="AK3579" s="685">
        <f t="shared" si="70"/>
        <v>0</v>
      </c>
    </row>
    <row r="3580" spans="37:37" x14ac:dyDescent="0.2">
      <c r="AK3580" s="685">
        <f t="shared" si="70"/>
        <v>0</v>
      </c>
    </row>
    <row r="3581" spans="37:37" x14ac:dyDescent="0.2">
      <c r="AK3581" s="685">
        <f t="shared" si="70"/>
        <v>0</v>
      </c>
    </row>
    <row r="3582" spans="37:37" x14ac:dyDescent="0.2">
      <c r="AK3582" s="685">
        <f t="shared" si="70"/>
        <v>0</v>
      </c>
    </row>
    <row r="3583" spans="37:37" x14ac:dyDescent="0.2">
      <c r="AK3583" s="685">
        <f t="shared" si="70"/>
        <v>0</v>
      </c>
    </row>
    <row r="3584" spans="37:37" x14ac:dyDescent="0.2">
      <c r="AK3584" s="685">
        <f t="shared" si="70"/>
        <v>0</v>
      </c>
    </row>
    <row r="3585" spans="37:37" x14ac:dyDescent="0.2">
      <c r="AK3585" s="685">
        <f t="shared" si="70"/>
        <v>0</v>
      </c>
    </row>
    <row r="3586" spans="37:37" x14ac:dyDescent="0.2">
      <c r="AK3586" s="685">
        <f t="shared" si="70"/>
        <v>0</v>
      </c>
    </row>
    <row r="3587" spans="37:37" x14ac:dyDescent="0.2">
      <c r="AK3587" s="685">
        <f t="shared" si="70"/>
        <v>0</v>
      </c>
    </row>
    <row r="3588" spans="37:37" x14ac:dyDescent="0.2">
      <c r="AK3588" s="685">
        <f t="shared" si="70"/>
        <v>0</v>
      </c>
    </row>
    <row r="3589" spans="37:37" x14ac:dyDescent="0.2">
      <c r="AK3589" s="685">
        <f t="shared" si="70"/>
        <v>0</v>
      </c>
    </row>
    <row r="3590" spans="37:37" x14ac:dyDescent="0.2">
      <c r="AK3590" s="685">
        <f t="shared" si="70"/>
        <v>0</v>
      </c>
    </row>
    <row r="3591" spans="37:37" x14ac:dyDescent="0.2">
      <c r="AK3591" s="685">
        <f t="shared" si="70"/>
        <v>0</v>
      </c>
    </row>
    <row r="3592" spans="37:37" x14ac:dyDescent="0.2">
      <c r="AK3592" s="685">
        <f t="shared" si="70"/>
        <v>0</v>
      </c>
    </row>
    <row r="3593" spans="37:37" x14ac:dyDescent="0.2">
      <c r="AK3593" s="685">
        <f t="shared" si="70"/>
        <v>0</v>
      </c>
    </row>
    <row r="3594" spans="37:37" x14ac:dyDescent="0.2">
      <c r="AK3594" s="685">
        <f t="shared" si="70"/>
        <v>0</v>
      </c>
    </row>
    <row r="3595" spans="37:37" x14ac:dyDescent="0.2">
      <c r="AK3595" s="685">
        <f t="shared" si="70"/>
        <v>0</v>
      </c>
    </row>
    <row r="3596" spans="37:37" x14ac:dyDescent="0.2">
      <c r="AK3596" s="685">
        <f t="shared" si="70"/>
        <v>0</v>
      </c>
    </row>
    <row r="3597" spans="37:37" x14ac:dyDescent="0.2">
      <c r="AK3597" s="685">
        <f t="shared" si="70"/>
        <v>0</v>
      </c>
    </row>
    <row r="3598" spans="37:37" x14ac:dyDescent="0.2">
      <c r="AK3598" s="685">
        <f t="shared" si="70"/>
        <v>0</v>
      </c>
    </row>
    <row r="3599" spans="37:37" x14ac:dyDescent="0.2">
      <c r="AK3599" s="685">
        <f t="shared" si="70"/>
        <v>0</v>
      </c>
    </row>
    <row r="3600" spans="37:37" x14ac:dyDescent="0.2">
      <c r="AK3600" s="685">
        <f t="shared" si="70"/>
        <v>0</v>
      </c>
    </row>
    <row r="3601" spans="37:37" x14ac:dyDescent="0.2">
      <c r="AK3601" s="685">
        <f t="shared" si="70"/>
        <v>0</v>
      </c>
    </row>
    <row r="3602" spans="37:37" x14ac:dyDescent="0.2">
      <c r="AK3602" s="685">
        <f t="shared" si="70"/>
        <v>0</v>
      </c>
    </row>
    <row r="3603" spans="37:37" x14ac:dyDescent="0.2">
      <c r="AK3603" s="685">
        <f t="shared" si="70"/>
        <v>0</v>
      </c>
    </row>
    <row r="3604" spans="37:37" x14ac:dyDescent="0.2">
      <c r="AK3604" s="685">
        <f t="shared" si="70"/>
        <v>0</v>
      </c>
    </row>
    <row r="3605" spans="37:37" x14ac:dyDescent="0.2">
      <c r="AK3605" s="685">
        <f t="shared" si="70"/>
        <v>0</v>
      </c>
    </row>
    <row r="3606" spans="37:37" x14ac:dyDescent="0.2">
      <c r="AK3606" s="685">
        <f t="shared" si="70"/>
        <v>0</v>
      </c>
    </row>
    <row r="3607" spans="37:37" x14ac:dyDescent="0.2">
      <c r="AK3607" s="685">
        <f t="shared" si="70"/>
        <v>0</v>
      </c>
    </row>
    <row r="3608" spans="37:37" x14ac:dyDescent="0.2">
      <c r="AK3608" s="685">
        <f t="shared" ref="AK3608:AK3671" si="71">SUM(O3608:AJ3608)</f>
        <v>0</v>
      </c>
    </row>
    <row r="3609" spans="37:37" x14ac:dyDescent="0.2">
      <c r="AK3609" s="685">
        <f t="shared" si="71"/>
        <v>0</v>
      </c>
    </row>
    <row r="3610" spans="37:37" x14ac:dyDescent="0.2">
      <c r="AK3610" s="685">
        <f t="shared" si="71"/>
        <v>0</v>
      </c>
    </row>
    <row r="3611" spans="37:37" x14ac:dyDescent="0.2">
      <c r="AK3611" s="685">
        <f t="shared" si="71"/>
        <v>0</v>
      </c>
    </row>
    <row r="3612" spans="37:37" x14ac:dyDescent="0.2">
      <c r="AK3612" s="685">
        <f t="shared" si="71"/>
        <v>0</v>
      </c>
    </row>
    <row r="3613" spans="37:37" x14ac:dyDescent="0.2">
      <c r="AK3613" s="685">
        <f t="shared" si="71"/>
        <v>0</v>
      </c>
    </row>
    <row r="3614" spans="37:37" x14ac:dyDescent="0.2">
      <c r="AK3614" s="685">
        <f t="shared" si="71"/>
        <v>0</v>
      </c>
    </row>
    <row r="3615" spans="37:37" x14ac:dyDescent="0.2">
      <c r="AK3615" s="685">
        <f t="shared" si="71"/>
        <v>0</v>
      </c>
    </row>
    <row r="3616" spans="37:37" x14ac:dyDescent="0.2">
      <c r="AK3616" s="685">
        <f t="shared" si="71"/>
        <v>0</v>
      </c>
    </row>
    <row r="3617" spans="37:37" x14ac:dyDescent="0.2">
      <c r="AK3617" s="685">
        <f t="shared" si="71"/>
        <v>0</v>
      </c>
    </row>
    <row r="3618" spans="37:37" x14ac:dyDescent="0.2">
      <c r="AK3618" s="685">
        <f t="shared" si="71"/>
        <v>0</v>
      </c>
    </row>
    <row r="3619" spans="37:37" x14ac:dyDescent="0.2">
      <c r="AK3619" s="685">
        <f t="shared" si="71"/>
        <v>0</v>
      </c>
    </row>
    <row r="3620" spans="37:37" x14ac:dyDescent="0.2">
      <c r="AK3620" s="685">
        <f t="shared" si="71"/>
        <v>0</v>
      </c>
    </row>
    <row r="3621" spans="37:37" x14ac:dyDescent="0.2">
      <c r="AK3621" s="685">
        <f t="shared" si="71"/>
        <v>0</v>
      </c>
    </row>
    <row r="3622" spans="37:37" x14ac:dyDescent="0.2">
      <c r="AK3622" s="685">
        <f t="shared" si="71"/>
        <v>0</v>
      </c>
    </row>
    <row r="3623" spans="37:37" x14ac:dyDescent="0.2">
      <c r="AK3623" s="685">
        <f t="shared" si="71"/>
        <v>0</v>
      </c>
    </row>
    <row r="3624" spans="37:37" x14ac:dyDescent="0.2">
      <c r="AK3624" s="685">
        <f t="shared" si="71"/>
        <v>0</v>
      </c>
    </row>
    <row r="3625" spans="37:37" x14ac:dyDescent="0.2">
      <c r="AK3625" s="685">
        <f t="shared" si="71"/>
        <v>0</v>
      </c>
    </row>
    <row r="3626" spans="37:37" x14ac:dyDescent="0.2">
      <c r="AK3626" s="685">
        <f t="shared" si="71"/>
        <v>0</v>
      </c>
    </row>
    <row r="3627" spans="37:37" x14ac:dyDescent="0.2">
      <c r="AK3627" s="685">
        <f t="shared" si="71"/>
        <v>0</v>
      </c>
    </row>
    <row r="3628" spans="37:37" x14ac:dyDescent="0.2">
      <c r="AK3628" s="685">
        <f t="shared" si="71"/>
        <v>0</v>
      </c>
    </row>
    <row r="3629" spans="37:37" x14ac:dyDescent="0.2">
      <c r="AK3629" s="685">
        <f t="shared" si="71"/>
        <v>0</v>
      </c>
    </row>
    <row r="3630" spans="37:37" x14ac:dyDescent="0.2">
      <c r="AK3630" s="685">
        <f t="shared" si="71"/>
        <v>0</v>
      </c>
    </row>
    <row r="3631" spans="37:37" x14ac:dyDescent="0.2">
      <c r="AK3631" s="685">
        <f t="shared" si="71"/>
        <v>0</v>
      </c>
    </row>
    <row r="3632" spans="37:37" x14ac:dyDescent="0.2">
      <c r="AK3632" s="685">
        <f t="shared" si="71"/>
        <v>0</v>
      </c>
    </row>
    <row r="3633" spans="37:37" x14ac:dyDescent="0.2">
      <c r="AK3633" s="685">
        <f t="shared" si="71"/>
        <v>0</v>
      </c>
    </row>
    <row r="3634" spans="37:37" x14ac:dyDescent="0.2">
      <c r="AK3634" s="685">
        <f t="shared" si="71"/>
        <v>0</v>
      </c>
    </row>
    <row r="3635" spans="37:37" x14ac:dyDescent="0.2">
      <c r="AK3635" s="685">
        <f t="shared" si="71"/>
        <v>0</v>
      </c>
    </row>
    <row r="3636" spans="37:37" x14ac:dyDescent="0.2">
      <c r="AK3636" s="685">
        <f t="shared" si="71"/>
        <v>0</v>
      </c>
    </row>
    <row r="3637" spans="37:37" x14ac:dyDescent="0.2">
      <c r="AK3637" s="685">
        <f t="shared" si="71"/>
        <v>0</v>
      </c>
    </row>
    <row r="3638" spans="37:37" x14ac:dyDescent="0.2">
      <c r="AK3638" s="685">
        <f t="shared" si="71"/>
        <v>0</v>
      </c>
    </row>
    <row r="3639" spans="37:37" x14ac:dyDescent="0.2">
      <c r="AK3639" s="685">
        <f t="shared" si="71"/>
        <v>0</v>
      </c>
    </row>
    <row r="3640" spans="37:37" x14ac:dyDescent="0.2">
      <c r="AK3640" s="685">
        <f t="shared" si="71"/>
        <v>0</v>
      </c>
    </row>
    <row r="3641" spans="37:37" x14ac:dyDescent="0.2">
      <c r="AK3641" s="685">
        <f t="shared" si="71"/>
        <v>0</v>
      </c>
    </row>
    <row r="3642" spans="37:37" x14ac:dyDescent="0.2">
      <c r="AK3642" s="685">
        <f t="shared" si="71"/>
        <v>0</v>
      </c>
    </row>
    <row r="3643" spans="37:37" x14ac:dyDescent="0.2">
      <c r="AK3643" s="685">
        <f t="shared" si="71"/>
        <v>0</v>
      </c>
    </row>
    <row r="3644" spans="37:37" x14ac:dyDescent="0.2">
      <c r="AK3644" s="685">
        <f t="shared" si="71"/>
        <v>0</v>
      </c>
    </row>
    <row r="3645" spans="37:37" x14ac:dyDescent="0.2">
      <c r="AK3645" s="685">
        <f t="shared" si="71"/>
        <v>0</v>
      </c>
    </row>
    <row r="3646" spans="37:37" x14ac:dyDescent="0.2">
      <c r="AK3646" s="685">
        <f t="shared" si="71"/>
        <v>0</v>
      </c>
    </row>
    <row r="3647" spans="37:37" x14ac:dyDescent="0.2">
      <c r="AK3647" s="685">
        <f t="shared" si="71"/>
        <v>0</v>
      </c>
    </row>
    <row r="3648" spans="37:37" x14ac:dyDescent="0.2">
      <c r="AK3648" s="685">
        <f t="shared" si="71"/>
        <v>0</v>
      </c>
    </row>
    <row r="3649" spans="37:37" x14ac:dyDescent="0.2">
      <c r="AK3649" s="685">
        <f t="shared" si="71"/>
        <v>0</v>
      </c>
    </row>
    <row r="3650" spans="37:37" x14ac:dyDescent="0.2">
      <c r="AK3650" s="685">
        <f t="shared" si="71"/>
        <v>0</v>
      </c>
    </row>
    <row r="3651" spans="37:37" x14ac:dyDescent="0.2">
      <c r="AK3651" s="685">
        <f t="shared" si="71"/>
        <v>0</v>
      </c>
    </row>
    <row r="3652" spans="37:37" x14ac:dyDescent="0.2">
      <c r="AK3652" s="685">
        <f t="shared" si="71"/>
        <v>0</v>
      </c>
    </row>
    <row r="3653" spans="37:37" x14ac:dyDescent="0.2">
      <c r="AK3653" s="685">
        <f t="shared" si="71"/>
        <v>0</v>
      </c>
    </row>
    <row r="3654" spans="37:37" x14ac:dyDescent="0.2">
      <c r="AK3654" s="685">
        <f t="shared" si="71"/>
        <v>0</v>
      </c>
    </row>
    <row r="3655" spans="37:37" x14ac:dyDescent="0.2">
      <c r="AK3655" s="685">
        <f t="shared" si="71"/>
        <v>0</v>
      </c>
    </row>
    <row r="3656" spans="37:37" x14ac:dyDescent="0.2">
      <c r="AK3656" s="685">
        <f t="shared" si="71"/>
        <v>0</v>
      </c>
    </row>
    <row r="3657" spans="37:37" x14ac:dyDescent="0.2">
      <c r="AK3657" s="685">
        <f t="shared" si="71"/>
        <v>0</v>
      </c>
    </row>
    <row r="3658" spans="37:37" x14ac:dyDescent="0.2">
      <c r="AK3658" s="685">
        <f t="shared" si="71"/>
        <v>0</v>
      </c>
    </row>
    <row r="3659" spans="37:37" x14ac:dyDescent="0.2">
      <c r="AK3659" s="685">
        <f t="shared" si="71"/>
        <v>0</v>
      </c>
    </row>
    <row r="3660" spans="37:37" x14ac:dyDescent="0.2">
      <c r="AK3660" s="685">
        <f t="shared" si="71"/>
        <v>0</v>
      </c>
    </row>
    <row r="3661" spans="37:37" x14ac:dyDescent="0.2">
      <c r="AK3661" s="685">
        <f t="shared" si="71"/>
        <v>0</v>
      </c>
    </row>
    <row r="3662" spans="37:37" x14ac:dyDescent="0.2">
      <c r="AK3662" s="685">
        <f t="shared" si="71"/>
        <v>0</v>
      </c>
    </row>
    <row r="3663" spans="37:37" x14ac:dyDescent="0.2">
      <c r="AK3663" s="685">
        <f t="shared" si="71"/>
        <v>0</v>
      </c>
    </row>
    <row r="3664" spans="37:37" x14ac:dyDescent="0.2">
      <c r="AK3664" s="685">
        <f t="shared" si="71"/>
        <v>0</v>
      </c>
    </row>
    <row r="3665" spans="37:37" x14ac:dyDescent="0.2">
      <c r="AK3665" s="685">
        <f t="shared" si="71"/>
        <v>0</v>
      </c>
    </row>
    <row r="3666" spans="37:37" x14ac:dyDescent="0.2">
      <c r="AK3666" s="685">
        <f t="shared" si="71"/>
        <v>0</v>
      </c>
    </row>
    <row r="3667" spans="37:37" x14ac:dyDescent="0.2">
      <c r="AK3667" s="685">
        <f t="shared" si="71"/>
        <v>0</v>
      </c>
    </row>
    <row r="3668" spans="37:37" x14ac:dyDescent="0.2">
      <c r="AK3668" s="685">
        <f t="shared" si="71"/>
        <v>0</v>
      </c>
    </row>
    <row r="3669" spans="37:37" x14ac:dyDescent="0.2">
      <c r="AK3669" s="685">
        <f t="shared" si="71"/>
        <v>0</v>
      </c>
    </row>
    <row r="3670" spans="37:37" x14ac:dyDescent="0.2">
      <c r="AK3670" s="685">
        <f t="shared" si="71"/>
        <v>0</v>
      </c>
    </row>
    <row r="3671" spans="37:37" x14ac:dyDescent="0.2">
      <c r="AK3671" s="685">
        <f t="shared" si="71"/>
        <v>0</v>
      </c>
    </row>
    <row r="3672" spans="37:37" x14ac:dyDescent="0.2">
      <c r="AK3672" s="685">
        <f t="shared" ref="AK3672:AK3684" si="72">SUM(O3672:AJ3672)</f>
        <v>0</v>
      </c>
    </row>
    <row r="3673" spans="37:37" x14ac:dyDescent="0.2">
      <c r="AK3673" s="685">
        <f t="shared" si="72"/>
        <v>0</v>
      </c>
    </row>
    <row r="3674" spans="37:37" x14ac:dyDescent="0.2">
      <c r="AK3674" s="685">
        <f t="shared" si="72"/>
        <v>0</v>
      </c>
    </row>
    <row r="3675" spans="37:37" x14ac:dyDescent="0.2">
      <c r="AK3675" s="685">
        <f t="shared" si="72"/>
        <v>0</v>
      </c>
    </row>
    <row r="3676" spans="37:37" x14ac:dyDescent="0.2">
      <c r="AK3676" s="685">
        <f t="shared" si="72"/>
        <v>0</v>
      </c>
    </row>
    <row r="3677" spans="37:37" x14ac:dyDescent="0.2">
      <c r="AK3677" s="685">
        <f t="shared" si="72"/>
        <v>0</v>
      </c>
    </row>
    <row r="3678" spans="37:37" x14ac:dyDescent="0.2">
      <c r="AK3678" s="685">
        <f t="shared" si="72"/>
        <v>0</v>
      </c>
    </row>
    <row r="3679" spans="37:37" x14ac:dyDescent="0.2">
      <c r="AK3679" s="685">
        <f t="shared" si="72"/>
        <v>0</v>
      </c>
    </row>
    <row r="3680" spans="37:37" x14ac:dyDescent="0.2">
      <c r="AK3680" s="685">
        <f t="shared" si="72"/>
        <v>0</v>
      </c>
    </row>
    <row r="3681" spans="37:37" x14ac:dyDescent="0.2">
      <c r="AK3681" s="685">
        <f t="shared" si="72"/>
        <v>0</v>
      </c>
    </row>
    <row r="3682" spans="37:37" x14ac:dyDescent="0.2">
      <c r="AK3682" s="685">
        <f t="shared" si="72"/>
        <v>0</v>
      </c>
    </row>
    <row r="3683" spans="37:37" x14ac:dyDescent="0.2">
      <c r="AK3683" s="685">
        <f t="shared" si="72"/>
        <v>0</v>
      </c>
    </row>
    <row r="3684" spans="37:37" x14ac:dyDescent="0.2">
      <c r="AK3684" s="685">
        <f t="shared" si="72"/>
        <v>0</v>
      </c>
    </row>
  </sheetData>
  <mergeCells count="2">
    <mergeCell ref="H6:I6"/>
    <mergeCell ref="H20:I20"/>
  </mergeCells>
  <hyperlinks>
    <hyperlink ref="P15" r:id="rId1" display="=@if(+N10*$K$11*$K$12&gt;0,n10*$K$11*$K$12,0)" xr:uid="{00000000-0004-0000-0800-000000000000}"/>
    <hyperlink ref="Q15:AJ15" r:id="rId2" display="=@if(+N10*$K$11*$K$12&gt;0,n10*$K$11*$K$12,0)" xr:uid="{00000000-0004-0000-0800-000001000000}"/>
    <hyperlink ref="O15" r:id="rId3" display="=@if(+N10*$K$11*$K$12&gt;0,n10*$K$11*$K$12,0)" xr:uid="{00000000-0004-0000-0800-000002000000}"/>
    <hyperlink ref="AH15" r:id="rId4" display="=@if(+N10*$K$11*$K$12&gt;0,n10*$K$11*$K$12,0)" xr:uid="{00000000-0004-0000-0800-000003000000}"/>
    <hyperlink ref="AK15" r:id="rId5" display="=@if(+N10*$K$11*$K$12&gt;0,n10*$K$11*$K$12,0)" xr:uid="{00000000-0004-0000-0800-000004000000}"/>
  </hyperlinks>
  <pageMargins left="0.59055118110236227" right="0.35433070866141736" top="0.62992125984251968" bottom="0.6692913385826772" header="0.31496062992125984" footer="0.31496062992125984"/>
  <pageSetup paperSize="9" scale="43" orientation="landscape" r:id="rId6"/>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83"/>
  <sheetViews>
    <sheetView showZeros="0" zoomScale="59" zoomScaleNormal="59" workbookViewId="0">
      <selection activeCell="F6" sqref="F6"/>
    </sheetView>
  </sheetViews>
  <sheetFormatPr defaultRowHeight="20.25" x14ac:dyDescent="0.3"/>
  <cols>
    <col min="1" max="1" width="10.21875" style="126" customWidth="1"/>
    <col min="2" max="2" width="24.33203125" style="126" customWidth="1"/>
    <col min="3" max="3" width="38.33203125" style="126" customWidth="1"/>
    <col min="4" max="4" width="17.33203125" style="126" customWidth="1"/>
    <col min="5" max="5" width="10.109375" style="126" customWidth="1"/>
    <col min="6" max="6" width="12.88671875" style="126" customWidth="1"/>
    <col min="7" max="7" width="9.77734375" style="126" customWidth="1"/>
    <col min="8" max="8" width="8.21875" style="126" customWidth="1"/>
    <col min="9" max="9" width="9.44140625" style="126" customWidth="1"/>
    <col min="10" max="10" width="13.77734375" style="126" customWidth="1"/>
    <col min="11" max="11" width="9.21875" style="126" customWidth="1"/>
    <col min="12" max="12" width="11.6640625" style="126" customWidth="1"/>
    <col min="13" max="13" width="9.88671875" style="126" customWidth="1"/>
    <col min="14" max="14" width="8.33203125" style="126" customWidth="1"/>
    <col min="15" max="15" width="7" style="126" customWidth="1"/>
    <col min="16" max="16" width="9.77734375" style="126" customWidth="1"/>
    <col min="17" max="17" width="10.109375" style="126" customWidth="1"/>
    <col min="18" max="256" width="8.88671875" style="126"/>
    <col min="257" max="257" width="10.21875" style="126" customWidth="1"/>
    <col min="258" max="258" width="20.109375" style="126" customWidth="1"/>
    <col min="259" max="259" width="26" style="126" customWidth="1"/>
    <col min="260" max="260" width="14.109375" style="126" customWidth="1"/>
    <col min="261" max="261" width="10.109375" style="126" customWidth="1"/>
    <col min="262" max="262" width="12.88671875" style="126" customWidth="1"/>
    <col min="263" max="263" width="9.77734375" style="126" customWidth="1"/>
    <col min="264" max="264" width="7.44140625" style="126" customWidth="1"/>
    <col min="265" max="265" width="9.44140625" style="126" customWidth="1"/>
    <col min="266" max="266" width="13.77734375" style="126" customWidth="1"/>
    <col min="267" max="267" width="7.44140625" style="126" customWidth="1"/>
    <col min="268" max="268" width="9.6640625" style="126" customWidth="1"/>
    <col min="269" max="269" width="9.88671875" style="126" customWidth="1"/>
    <col min="270" max="270" width="8.33203125" style="126" customWidth="1"/>
    <col min="271" max="271" width="7.21875" style="126" customWidth="1"/>
    <col min="272" max="272" width="8.44140625" style="126" customWidth="1"/>
    <col min="273" max="273" width="10.109375" style="126" customWidth="1"/>
    <col min="274" max="512" width="8.88671875" style="126"/>
    <col min="513" max="513" width="10.21875" style="126" customWidth="1"/>
    <col min="514" max="514" width="20.109375" style="126" customWidth="1"/>
    <col min="515" max="515" width="26" style="126" customWidth="1"/>
    <col min="516" max="516" width="14.109375" style="126" customWidth="1"/>
    <col min="517" max="517" width="10.109375" style="126" customWidth="1"/>
    <col min="518" max="518" width="12.88671875" style="126" customWidth="1"/>
    <col min="519" max="519" width="9.77734375" style="126" customWidth="1"/>
    <col min="520" max="520" width="7.44140625" style="126" customWidth="1"/>
    <col min="521" max="521" width="9.44140625" style="126" customWidth="1"/>
    <col min="522" max="522" width="13.77734375" style="126" customWidth="1"/>
    <col min="523" max="523" width="7.44140625" style="126" customWidth="1"/>
    <col min="524" max="524" width="9.6640625" style="126" customWidth="1"/>
    <col min="525" max="525" width="9.88671875" style="126" customWidth="1"/>
    <col min="526" max="526" width="8.33203125" style="126" customWidth="1"/>
    <col min="527" max="527" width="7.21875" style="126" customWidth="1"/>
    <col min="528" max="528" width="8.44140625" style="126" customWidth="1"/>
    <col min="529" max="529" width="10.109375" style="126" customWidth="1"/>
    <col min="530" max="768" width="8.88671875" style="126"/>
    <col min="769" max="769" width="10.21875" style="126" customWidth="1"/>
    <col min="770" max="770" width="20.109375" style="126" customWidth="1"/>
    <col min="771" max="771" width="26" style="126" customWidth="1"/>
    <col min="772" max="772" width="14.109375" style="126" customWidth="1"/>
    <col min="773" max="773" width="10.109375" style="126" customWidth="1"/>
    <col min="774" max="774" width="12.88671875" style="126" customWidth="1"/>
    <col min="775" max="775" width="9.77734375" style="126" customWidth="1"/>
    <col min="776" max="776" width="7.44140625" style="126" customWidth="1"/>
    <col min="777" max="777" width="9.44140625" style="126" customWidth="1"/>
    <col min="778" max="778" width="13.77734375" style="126" customWidth="1"/>
    <col min="779" max="779" width="7.44140625" style="126" customWidth="1"/>
    <col min="780" max="780" width="9.6640625" style="126" customWidth="1"/>
    <col min="781" max="781" width="9.88671875" style="126" customWidth="1"/>
    <col min="782" max="782" width="8.33203125" style="126" customWidth="1"/>
    <col min="783" max="783" width="7.21875" style="126" customWidth="1"/>
    <col min="784" max="784" width="8.44140625" style="126" customWidth="1"/>
    <col min="785" max="785" width="10.109375" style="126" customWidth="1"/>
    <col min="786" max="1024" width="8.88671875" style="126"/>
    <col min="1025" max="1025" width="10.21875" style="126" customWidth="1"/>
    <col min="1026" max="1026" width="20.109375" style="126" customWidth="1"/>
    <col min="1027" max="1027" width="26" style="126" customWidth="1"/>
    <col min="1028" max="1028" width="14.109375" style="126" customWidth="1"/>
    <col min="1029" max="1029" width="10.109375" style="126" customWidth="1"/>
    <col min="1030" max="1030" width="12.88671875" style="126" customWidth="1"/>
    <col min="1031" max="1031" width="9.77734375" style="126" customWidth="1"/>
    <col min="1032" max="1032" width="7.44140625" style="126" customWidth="1"/>
    <col min="1033" max="1033" width="9.44140625" style="126" customWidth="1"/>
    <col min="1034" max="1034" width="13.77734375" style="126" customWidth="1"/>
    <col min="1035" max="1035" width="7.44140625" style="126" customWidth="1"/>
    <col min="1036" max="1036" width="9.6640625" style="126" customWidth="1"/>
    <col min="1037" max="1037" width="9.88671875" style="126" customWidth="1"/>
    <col min="1038" max="1038" width="8.33203125" style="126" customWidth="1"/>
    <col min="1039" max="1039" width="7.21875" style="126" customWidth="1"/>
    <col min="1040" max="1040" width="8.44140625" style="126" customWidth="1"/>
    <col min="1041" max="1041" width="10.109375" style="126" customWidth="1"/>
    <col min="1042" max="1280" width="8.88671875" style="126"/>
    <col min="1281" max="1281" width="10.21875" style="126" customWidth="1"/>
    <col min="1282" max="1282" width="20.109375" style="126" customWidth="1"/>
    <col min="1283" max="1283" width="26" style="126" customWidth="1"/>
    <col min="1284" max="1284" width="14.109375" style="126" customWidth="1"/>
    <col min="1285" max="1285" width="10.109375" style="126" customWidth="1"/>
    <col min="1286" max="1286" width="12.88671875" style="126" customWidth="1"/>
    <col min="1287" max="1287" width="9.77734375" style="126" customWidth="1"/>
    <col min="1288" max="1288" width="7.44140625" style="126" customWidth="1"/>
    <col min="1289" max="1289" width="9.44140625" style="126" customWidth="1"/>
    <col min="1290" max="1290" width="13.77734375" style="126" customWidth="1"/>
    <col min="1291" max="1291" width="7.44140625" style="126" customWidth="1"/>
    <col min="1292" max="1292" width="9.6640625" style="126" customWidth="1"/>
    <col min="1293" max="1293" width="9.88671875" style="126" customWidth="1"/>
    <col min="1294" max="1294" width="8.33203125" style="126" customWidth="1"/>
    <col min="1295" max="1295" width="7.21875" style="126" customWidth="1"/>
    <col min="1296" max="1296" width="8.44140625" style="126" customWidth="1"/>
    <col min="1297" max="1297" width="10.109375" style="126" customWidth="1"/>
    <col min="1298" max="1536" width="8.88671875" style="126"/>
    <col min="1537" max="1537" width="10.21875" style="126" customWidth="1"/>
    <col min="1538" max="1538" width="20.109375" style="126" customWidth="1"/>
    <col min="1539" max="1539" width="26" style="126" customWidth="1"/>
    <col min="1540" max="1540" width="14.109375" style="126" customWidth="1"/>
    <col min="1541" max="1541" width="10.109375" style="126" customWidth="1"/>
    <col min="1542" max="1542" width="12.88671875" style="126" customWidth="1"/>
    <col min="1543" max="1543" width="9.77734375" style="126" customWidth="1"/>
    <col min="1544" max="1544" width="7.44140625" style="126" customWidth="1"/>
    <col min="1545" max="1545" width="9.44140625" style="126" customWidth="1"/>
    <col min="1546" max="1546" width="13.77734375" style="126" customWidth="1"/>
    <col min="1547" max="1547" width="7.44140625" style="126" customWidth="1"/>
    <col min="1548" max="1548" width="9.6640625" style="126" customWidth="1"/>
    <col min="1549" max="1549" width="9.88671875" style="126" customWidth="1"/>
    <col min="1550" max="1550" width="8.33203125" style="126" customWidth="1"/>
    <col min="1551" max="1551" width="7.21875" style="126" customWidth="1"/>
    <col min="1552" max="1552" width="8.44140625" style="126" customWidth="1"/>
    <col min="1553" max="1553" width="10.109375" style="126" customWidth="1"/>
    <col min="1554" max="1792" width="8.88671875" style="126"/>
    <col min="1793" max="1793" width="10.21875" style="126" customWidth="1"/>
    <col min="1794" max="1794" width="20.109375" style="126" customWidth="1"/>
    <col min="1795" max="1795" width="26" style="126" customWidth="1"/>
    <col min="1796" max="1796" width="14.109375" style="126" customWidth="1"/>
    <col min="1797" max="1797" width="10.109375" style="126" customWidth="1"/>
    <col min="1798" max="1798" width="12.88671875" style="126" customWidth="1"/>
    <col min="1799" max="1799" width="9.77734375" style="126" customWidth="1"/>
    <col min="1800" max="1800" width="7.44140625" style="126" customWidth="1"/>
    <col min="1801" max="1801" width="9.44140625" style="126" customWidth="1"/>
    <col min="1802" max="1802" width="13.77734375" style="126" customWidth="1"/>
    <col min="1803" max="1803" width="7.44140625" style="126" customWidth="1"/>
    <col min="1804" max="1804" width="9.6640625" style="126" customWidth="1"/>
    <col min="1805" max="1805" width="9.88671875" style="126" customWidth="1"/>
    <col min="1806" max="1806" width="8.33203125" style="126" customWidth="1"/>
    <col min="1807" max="1807" width="7.21875" style="126" customWidth="1"/>
    <col min="1808" max="1808" width="8.44140625" style="126" customWidth="1"/>
    <col min="1809" max="1809" width="10.109375" style="126" customWidth="1"/>
    <col min="1810" max="2048" width="8.88671875" style="126"/>
    <col min="2049" max="2049" width="10.21875" style="126" customWidth="1"/>
    <col min="2050" max="2050" width="20.109375" style="126" customWidth="1"/>
    <col min="2051" max="2051" width="26" style="126" customWidth="1"/>
    <col min="2052" max="2052" width="14.109375" style="126" customWidth="1"/>
    <col min="2053" max="2053" width="10.109375" style="126" customWidth="1"/>
    <col min="2054" max="2054" width="12.88671875" style="126" customWidth="1"/>
    <col min="2055" max="2055" width="9.77734375" style="126" customWidth="1"/>
    <col min="2056" max="2056" width="7.44140625" style="126" customWidth="1"/>
    <col min="2057" max="2057" width="9.44140625" style="126" customWidth="1"/>
    <col min="2058" max="2058" width="13.77734375" style="126" customWidth="1"/>
    <col min="2059" max="2059" width="7.44140625" style="126" customWidth="1"/>
    <col min="2060" max="2060" width="9.6640625" style="126" customWidth="1"/>
    <col min="2061" max="2061" width="9.88671875" style="126" customWidth="1"/>
    <col min="2062" max="2062" width="8.33203125" style="126" customWidth="1"/>
    <col min="2063" max="2063" width="7.21875" style="126" customWidth="1"/>
    <col min="2064" max="2064" width="8.44140625" style="126" customWidth="1"/>
    <col min="2065" max="2065" width="10.109375" style="126" customWidth="1"/>
    <col min="2066" max="2304" width="8.88671875" style="126"/>
    <col min="2305" max="2305" width="10.21875" style="126" customWidth="1"/>
    <col min="2306" max="2306" width="20.109375" style="126" customWidth="1"/>
    <col min="2307" max="2307" width="26" style="126" customWidth="1"/>
    <col min="2308" max="2308" width="14.109375" style="126" customWidth="1"/>
    <col min="2309" max="2309" width="10.109375" style="126" customWidth="1"/>
    <col min="2310" max="2310" width="12.88671875" style="126" customWidth="1"/>
    <col min="2311" max="2311" width="9.77734375" style="126" customWidth="1"/>
    <col min="2312" max="2312" width="7.44140625" style="126" customWidth="1"/>
    <col min="2313" max="2313" width="9.44140625" style="126" customWidth="1"/>
    <col min="2314" max="2314" width="13.77734375" style="126" customWidth="1"/>
    <col min="2315" max="2315" width="7.44140625" style="126" customWidth="1"/>
    <col min="2316" max="2316" width="9.6640625" style="126" customWidth="1"/>
    <col min="2317" max="2317" width="9.88671875" style="126" customWidth="1"/>
    <col min="2318" max="2318" width="8.33203125" style="126" customWidth="1"/>
    <col min="2319" max="2319" width="7.21875" style="126" customWidth="1"/>
    <col min="2320" max="2320" width="8.44140625" style="126" customWidth="1"/>
    <col min="2321" max="2321" width="10.109375" style="126" customWidth="1"/>
    <col min="2322" max="2560" width="8.88671875" style="126"/>
    <col min="2561" max="2561" width="10.21875" style="126" customWidth="1"/>
    <col min="2562" max="2562" width="20.109375" style="126" customWidth="1"/>
    <col min="2563" max="2563" width="26" style="126" customWidth="1"/>
    <col min="2564" max="2564" width="14.109375" style="126" customWidth="1"/>
    <col min="2565" max="2565" width="10.109375" style="126" customWidth="1"/>
    <col min="2566" max="2566" width="12.88671875" style="126" customWidth="1"/>
    <col min="2567" max="2567" width="9.77734375" style="126" customWidth="1"/>
    <col min="2568" max="2568" width="7.44140625" style="126" customWidth="1"/>
    <col min="2569" max="2569" width="9.44140625" style="126" customWidth="1"/>
    <col min="2570" max="2570" width="13.77734375" style="126" customWidth="1"/>
    <col min="2571" max="2571" width="7.44140625" style="126" customWidth="1"/>
    <col min="2572" max="2572" width="9.6640625" style="126" customWidth="1"/>
    <col min="2573" max="2573" width="9.88671875" style="126" customWidth="1"/>
    <col min="2574" max="2574" width="8.33203125" style="126" customWidth="1"/>
    <col min="2575" max="2575" width="7.21875" style="126" customWidth="1"/>
    <col min="2576" max="2576" width="8.44140625" style="126" customWidth="1"/>
    <col min="2577" max="2577" width="10.109375" style="126" customWidth="1"/>
    <col min="2578" max="2816" width="8.88671875" style="126"/>
    <col min="2817" max="2817" width="10.21875" style="126" customWidth="1"/>
    <col min="2818" max="2818" width="20.109375" style="126" customWidth="1"/>
    <col min="2819" max="2819" width="26" style="126" customWidth="1"/>
    <col min="2820" max="2820" width="14.109375" style="126" customWidth="1"/>
    <col min="2821" max="2821" width="10.109375" style="126" customWidth="1"/>
    <col min="2822" max="2822" width="12.88671875" style="126" customWidth="1"/>
    <col min="2823" max="2823" width="9.77734375" style="126" customWidth="1"/>
    <col min="2824" max="2824" width="7.44140625" style="126" customWidth="1"/>
    <col min="2825" max="2825" width="9.44140625" style="126" customWidth="1"/>
    <col min="2826" max="2826" width="13.77734375" style="126" customWidth="1"/>
    <col min="2827" max="2827" width="7.44140625" style="126" customWidth="1"/>
    <col min="2828" max="2828" width="9.6640625" style="126" customWidth="1"/>
    <col min="2829" max="2829" width="9.88671875" style="126" customWidth="1"/>
    <col min="2830" max="2830" width="8.33203125" style="126" customWidth="1"/>
    <col min="2831" max="2831" width="7.21875" style="126" customWidth="1"/>
    <col min="2832" max="2832" width="8.44140625" style="126" customWidth="1"/>
    <col min="2833" max="2833" width="10.109375" style="126" customWidth="1"/>
    <col min="2834" max="3072" width="8.88671875" style="126"/>
    <col min="3073" max="3073" width="10.21875" style="126" customWidth="1"/>
    <col min="3074" max="3074" width="20.109375" style="126" customWidth="1"/>
    <col min="3075" max="3075" width="26" style="126" customWidth="1"/>
    <col min="3076" max="3076" width="14.109375" style="126" customWidth="1"/>
    <col min="3077" max="3077" width="10.109375" style="126" customWidth="1"/>
    <col min="3078" max="3078" width="12.88671875" style="126" customWidth="1"/>
    <col min="3079" max="3079" width="9.77734375" style="126" customWidth="1"/>
    <col min="3080" max="3080" width="7.44140625" style="126" customWidth="1"/>
    <col min="3081" max="3081" width="9.44140625" style="126" customWidth="1"/>
    <col min="3082" max="3082" width="13.77734375" style="126" customWidth="1"/>
    <col min="3083" max="3083" width="7.44140625" style="126" customWidth="1"/>
    <col min="3084" max="3084" width="9.6640625" style="126" customWidth="1"/>
    <col min="3085" max="3085" width="9.88671875" style="126" customWidth="1"/>
    <col min="3086" max="3086" width="8.33203125" style="126" customWidth="1"/>
    <col min="3087" max="3087" width="7.21875" style="126" customWidth="1"/>
    <col min="3088" max="3088" width="8.44140625" style="126" customWidth="1"/>
    <col min="3089" max="3089" width="10.109375" style="126" customWidth="1"/>
    <col min="3090" max="3328" width="8.88671875" style="126"/>
    <col min="3329" max="3329" width="10.21875" style="126" customWidth="1"/>
    <col min="3330" max="3330" width="20.109375" style="126" customWidth="1"/>
    <col min="3331" max="3331" width="26" style="126" customWidth="1"/>
    <col min="3332" max="3332" width="14.109375" style="126" customWidth="1"/>
    <col min="3333" max="3333" width="10.109375" style="126" customWidth="1"/>
    <col min="3334" max="3334" width="12.88671875" style="126" customWidth="1"/>
    <col min="3335" max="3335" width="9.77734375" style="126" customWidth="1"/>
    <col min="3336" max="3336" width="7.44140625" style="126" customWidth="1"/>
    <col min="3337" max="3337" width="9.44140625" style="126" customWidth="1"/>
    <col min="3338" max="3338" width="13.77734375" style="126" customWidth="1"/>
    <col min="3339" max="3339" width="7.44140625" style="126" customWidth="1"/>
    <col min="3340" max="3340" width="9.6640625" style="126" customWidth="1"/>
    <col min="3341" max="3341" width="9.88671875" style="126" customWidth="1"/>
    <col min="3342" max="3342" width="8.33203125" style="126" customWidth="1"/>
    <col min="3343" max="3343" width="7.21875" style="126" customWidth="1"/>
    <col min="3344" max="3344" width="8.44140625" style="126" customWidth="1"/>
    <col min="3345" max="3345" width="10.109375" style="126" customWidth="1"/>
    <col min="3346" max="3584" width="8.88671875" style="126"/>
    <col min="3585" max="3585" width="10.21875" style="126" customWidth="1"/>
    <col min="3586" max="3586" width="20.109375" style="126" customWidth="1"/>
    <col min="3587" max="3587" width="26" style="126" customWidth="1"/>
    <col min="3588" max="3588" width="14.109375" style="126" customWidth="1"/>
    <col min="3589" max="3589" width="10.109375" style="126" customWidth="1"/>
    <col min="3590" max="3590" width="12.88671875" style="126" customWidth="1"/>
    <col min="3591" max="3591" width="9.77734375" style="126" customWidth="1"/>
    <col min="3592" max="3592" width="7.44140625" style="126" customWidth="1"/>
    <col min="3593" max="3593" width="9.44140625" style="126" customWidth="1"/>
    <col min="3594" max="3594" width="13.77734375" style="126" customWidth="1"/>
    <col min="3595" max="3595" width="7.44140625" style="126" customWidth="1"/>
    <col min="3596" max="3596" width="9.6640625" style="126" customWidth="1"/>
    <col min="3597" max="3597" width="9.88671875" style="126" customWidth="1"/>
    <col min="3598" max="3598" width="8.33203125" style="126" customWidth="1"/>
    <col min="3599" max="3599" width="7.21875" style="126" customWidth="1"/>
    <col min="3600" max="3600" width="8.44140625" style="126" customWidth="1"/>
    <col min="3601" max="3601" width="10.109375" style="126" customWidth="1"/>
    <col min="3602" max="3840" width="8.88671875" style="126"/>
    <col min="3841" max="3841" width="10.21875" style="126" customWidth="1"/>
    <col min="3842" max="3842" width="20.109375" style="126" customWidth="1"/>
    <col min="3843" max="3843" width="26" style="126" customWidth="1"/>
    <col min="3844" max="3844" width="14.109375" style="126" customWidth="1"/>
    <col min="3845" max="3845" width="10.109375" style="126" customWidth="1"/>
    <col min="3846" max="3846" width="12.88671875" style="126" customWidth="1"/>
    <col min="3847" max="3847" width="9.77734375" style="126" customWidth="1"/>
    <col min="3848" max="3848" width="7.44140625" style="126" customWidth="1"/>
    <col min="3849" max="3849" width="9.44140625" style="126" customWidth="1"/>
    <col min="3850" max="3850" width="13.77734375" style="126" customWidth="1"/>
    <col min="3851" max="3851" width="7.44140625" style="126" customWidth="1"/>
    <col min="3852" max="3852" width="9.6640625" style="126" customWidth="1"/>
    <col min="3853" max="3853" width="9.88671875" style="126" customWidth="1"/>
    <col min="3854" max="3854" width="8.33203125" style="126" customWidth="1"/>
    <col min="3855" max="3855" width="7.21875" style="126" customWidth="1"/>
    <col min="3856" max="3856" width="8.44140625" style="126" customWidth="1"/>
    <col min="3857" max="3857" width="10.109375" style="126" customWidth="1"/>
    <col min="3858" max="4096" width="8.88671875" style="126"/>
    <col min="4097" max="4097" width="10.21875" style="126" customWidth="1"/>
    <col min="4098" max="4098" width="20.109375" style="126" customWidth="1"/>
    <col min="4099" max="4099" width="26" style="126" customWidth="1"/>
    <col min="4100" max="4100" width="14.109375" style="126" customWidth="1"/>
    <col min="4101" max="4101" width="10.109375" style="126" customWidth="1"/>
    <col min="4102" max="4102" width="12.88671875" style="126" customWidth="1"/>
    <col min="4103" max="4103" width="9.77734375" style="126" customWidth="1"/>
    <col min="4104" max="4104" width="7.44140625" style="126" customWidth="1"/>
    <col min="4105" max="4105" width="9.44140625" style="126" customWidth="1"/>
    <col min="4106" max="4106" width="13.77734375" style="126" customWidth="1"/>
    <col min="4107" max="4107" width="7.44140625" style="126" customWidth="1"/>
    <col min="4108" max="4108" width="9.6640625" style="126" customWidth="1"/>
    <col min="4109" max="4109" width="9.88671875" style="126" customWidth="1"/>
    <col min="4110" max="4110" width="8.33203125" style="126" customWidth="1"/>
    <col min="4111" max="4111" width="7.21875" style="126" customWidth="1"/>
    <col min="4112" max="4112" width="8.44140625" style="126" customWidth="1"/>
    <col min="4113" max="4113" width="10.109375" style="126" customWidth="1"/>
    <col min="4114" max="4352" width="8.88671875" style="126"/>
    <col min="4353" max="4353" width="10.21875" style="126" customWidth="1"/>
    <col min="4354" max="4354" width="20.109375" style="126" customWidth="1"/>
    <col min="4355" max="4355" width="26" style="126" customWidth="1"/>
    <col min="4356" max="4356" width="14.109375" style="126" customWidth="1"/>
    <col min="4357" max="4357" width="10.109375" style="126" customWidth="1"/>
    <col min="4358" max="4358" width="12.88671875" style="126" customWidth="1"/>
    <col min="4359" max="4359" width="9.77734375" style="126" customWidth="1"/>
    <col min="4360" max="4360" width="7.44140625" style="126" customWidth="1"/>
    <col min="4361" max="4361" width="9.44140625" style="126" customWidth="1"/>
    <col min="4362" max="4362" width="13.77734375" style="126" customWidth="1"/>
    <col min="4363" max="4363" width="7.44140625" style="126" customWidth="1"/>
    <col min="4364" max="4364" width="9.6640625" style="126" customWidth="1"/>
    <col min="4365" max="4365" width="9.88671875" style="126" customWidth="1"/>
    <col min="4366" max="4366" width="8.33203125" style="126" customWidth="1"/>
    <col min="4367" max="4367" width="7.21875" style="126" customWidth="1"/>
    <col min="4368" max="4368" width="8.44140625" style="126" customWidth="1"/>
    <col min="4369" max="4369" width="10.109375" style="126" customWidth="1"/>
    <col min="4370" max="4608" width="8.88671875" style="126"/>
    <col min="4609" max="4609" width="10.21875" style="126" customWidth="1"/>
    <col min="4610" max="4610" width="20.109375" style="126" customWidth="1"/>
    <col min="4611" max="4611" width="26" style="126" customWidth="1"/>
    <col min="4612" max="4612" width="14.109375" style="126" customWidth="1"/>
    <col min="4613" max="4613" width="10.109375" style="126" customWidth="1"/>
    <col min="4614" max="4614" width="12.88671875" style="126" customWidth="1"/>
    <col min="4615" max="4615" width="9.77734375" style="126" customWidth="1"/>
    <col min="4616" max="4616" width="7.44140625" style="126" customWidth="1"/>
    <col min="4617" max="4617" width="9.44140625" style="126" customWidth="1"/>
    <col min="4618" max="4618" width="13.77734375" style="126" customWidth="1"/>
    <col min="4619" max="4619" width="7.44140625" style="126" customWidth="1"/>
    <col min="4620" max="4620" width="9.6640625" style="126" customWidth="1"/>
    <col min="4621" max="4621" width="9.88671875" style="126" customWidth="1"/>
    <col min="4622" max="4622" width="8.33203125" style="126" customWidth="1"/>
    <col min="4623" max="4623" width="7.21875" style="126" customWidth="1"/>
    <col min="4624" max="4624" width="8.44140625" style="126" customWidth="1"/>
    <col min="4625" max="4625" width="10.109375" style="126" customWidth="1"/>
    <col min="4626" max="4864" width="8.88671875" style="126"/>
    <col min="4865" max="4865" width="10.21875" style="126" customWidth="1"/>
    <col min="4866" max="4866" width="20.109375" style="126" customWidth="1"/>
    <col min="4867" max="4867" width="26" style="126" customWidth="1"/>
    <col min="4868" max="4868" width="14.109375" style="126" customWidth="1"/>
    <col min="4869" max="4869" width="10.109375" style="126" customWidth="1"/>
    <col min="4870" max="4870" width="12.88671875" style="126" customWidth="1"/>
    <col min="4871" max="4871" width="9.77734375" style="126" customWidth="1"/>
    <col min="4872" max="4872" width="7.44140625" style="126" customWidth="1"/>
    <col min="4873" max="4873" width="9.44140625" style="126" customWidth="1"/>
    <col min="4874" max="4874" width="13.77734375" style="126" customWidth="1"/>
    <col min="4875" max="4875" width="7.44140625" style="126" customWidth="1"/>
    <col min="4876" max="4876" width="9.6640625" style="126" customWidth="1"/>
    <col min="4877" max="4877" width="9.88671875" style="126" customWidth="1"/>
    <col min="4878" max="4878" width="8.33203125" style="126" customWidth="1"/>
    <col min="4879" max="4879" width="7.21875" style="126" customWidth="1"/>
    <col min="4880" max="4880" width="8.44140625" style="126" customWidth="1"/>
    <col min="4881" max="4881" width="10.109375" style="126" customWidth="1"/>
    <col min="4882" max="5120" width="8.88671875" style="126"/>
    <col min="5121" max="5121" width="10.21875" style="126" customWidth="1"/>
    <col min="5122" max="5122" width="20.109375" style="126" customWidth="1"/>
    <col min="5123" max="5123" width="26" style="126" customWidth="1"/>
    <col min="5124" max="5124" width="14.109375" style="126" customWidth="1"/>
    <col min="5125" max="5125" width="10.109375" style="126" customWidth="1"/>
    <col min="5126" max="5126" width="12.88671875" style="126" customWidth="1"/>
    <col min="5127" max="5127" width="9.77734375" style="126" customWidth="1"/>
    <col min="5128" max="5128" width="7.44140625" style="126" customWidth="1"/>
    <col min="5129" max="5129" width="9.44140625" style="126" customWidth="1"/>
    <col min="5130" max="5130" width="13.77734375" style="126" customWidth="1"/>
    <col min="5131" max="5131" width="7.44140625" style="126" customWidth="1"/>
    <col min="5132" max="5132" width="9.6640625" style="126" customWidth="1"/>
    <col min="5133" max="5133" width="9.88671875" style="126" customWidth="1"/>
    <col min="5134" max="5134" width="8.33203125" style="126" customWidth="1"/>
    <col min="5135" max="5135" width="7.21875" style="126" customWidth="1"/>
    <col min="5136" max="5136" width="8.44140625" style="126" customWidth="1"/>
    <col min="5137" max="5137" width="10.109375" style="126" customWidth="1"/>
    <col min="5138" max="5376" width="8.88671875" style="126"/>
    <col min="5377" max="5377" width="10.21875" style="126" customWidth="1"/>
    <col min="5378" max="5378" width="20.109375" style="126" customWidth="1"/>
    <col min="5379" max="5379" width="26" style="126" customWidth="1"/>
    <col min="5380" max="5380" width="14.109375" style="126" customWidth="1"/>
    <col min="5381" max="5381" width="10.109375" style="126" customWidth="1"/>
    <col min="5382" max="5382" width="12.88671875" style="126" customWidth="1"/>
    <col min="5383" max="5383" width="9.77734375" style="126" customWidth="1"/>
    <col min="5384" max="5384" width="7.44140625" style="126" customWidth="1"/>
    <col min="5385" max="5385" width="9.44140625" style="126" customWidth="1"/>
    <col min="5386" max="5386" width="13.77734375" style="126" customWidth="1"/>
    <col min="5387" max="5387" width="7.44140625" style="126" customWidth="1"/>
    <col min="5388" max="5388" width="9.6640625" style="126" customWidth="1"/>
    <col min="5389" max="5389" width="9.88671875" style="126" customWidth="1"/>
    <col min="5390" max="5390" width="8.33203125" style="126" customWidth="1"/>
    <col min="5391" max="5391" width="7.21875" style="126" customWidth="1"/>
    <col min="5392" max="5392" width="8.44140625" style="126" customWidth="1"/>
    <col min="5393" max="5393" width="10.109375" style="126" customWidth="1"/>
    <col min="5394" max="5632" width="8.88671875" style="126"/>
    <col min="5633" max="5633" width="10.21875" style="126" customWidth="1"/>
    <col min="5634" max="5634" width="20.109375" style="126" customWidth="1"/>
    <col min="5635" max="5635" width="26" style="126" customWidth="1"/>
    <col min="5636" max="5636" width="14.109375" style="126" customWidth="1"/>
    <col min="5637" max="5637" width="10.109375" style="126" customWidth="1"/>
    <col min="5638" max="5638" width="12.88671875" style="126" customWidth="1"/>
    <col min="5639" max="5639" width="9.77734375" style="126" customWidth="1"/>
    <col min="5640" max="5640" width="7.44140625" style="126" customWidth="1"/>
    <col min="5641" max="5641" width="9.44140625" style="126" customWidth="1"/>
    <col min="5642" max="5642" width="13.77734375" style="126" customWidth="1"/>
    <col min="5643" max="5643" width="7.44140625" style="126" customWidth="1"/>
    <col min="5644" max="5644" width="9.6640625" style="126" customWidth="1"/>
    <col min="5645" max="5645" width="9.88671875" style="126" customWidth="1"/>
    <col min="5646" max="5646" width="8.33203125" style="126" customWidth="1"/>
    <col min="5647" max="5647" width="7.21875" style="126" customWidth="1"/>
    <col min="5648" max="5648" width="8.44140625" style="126" customWidth="1"/>
    <col min="5649" max="5649" width="10.109375" style="126" customWidth="1"/>
    <col min="5650" max="5888" width="8.88671875" style="126"/>
    <col min="5889" max="5889" width="10.21875" style="126" customWidth="1"/>
    <col min="5890" max="5890" width="20.109375" style="126" customWidth="1"/>
    <col min="5891" max="5891" width="26" style="126" customWidth="1"/>
    <col min="5892" max="5892" width="14.109375" style="126" customWidth="1"/>
    <col min="5893" max="5893" width="10.109375" style="126" customWidth="1"/>
    <col min="5894" max="5894" width="12.88671875" style="126" customWidth="1"/>
    <col min="5895" max="5895" width="9.77734375" style="126" customWidth="1"/>
    <col min="5896" max="5896" width="7.44140625" style="126" customWidth="1"/>
    <col min="5897" max="5897" width="9.44140625" style="126" customWidth="1"/>
    <col min="5898" max="5898" width="13.77734375" style="126" customWidth="1"/>
    <col min="5899" max="5899" width="7.44140625" style="126" customWidth="1"/>
    <col min="5900" max="5900" width="9.6640625" style="126" customWidth="1"/>
    <col min="5901" max="5901" width="9.88671875" style="126" customWidth="1"/>
    <col min="5902" max="5902" width="8.33203125" style="126" customWidth="1"/>
    <col min="5903" max="5903" width="7.21875" style="126" customWidth="1"/>
    <col min="5904" max="5904" width="8.44140625" style="126" customWidth="1"/>
    <col min="5905" max="5905" width="10.109375" style="126" customWidth="1"/>
    <col min="5906" max="6144" width="8.88671875" style="126"/>
    <col min="6145" max="6145" width="10.21875" style="126" customWidth="1"/>
    <col min="6146" max="6146" width="20.109375" style="126" customWidth="1"/>
    <col min="6147" max="6147" width="26" style="126" customWidth="1"/>
    <col min="6148" max="6148" width="14.109375" style="126" customWidth="1"/>
    <col min="6149" max="6149" width="10.109375" style="126" customWidth="1"/>
    <col min="6150" max="6150" width="12.88671875" style="126" customWidth="1"/>
    <col min="6151" max="6151" width="9.77734375" style="126" customWidth="1"/>
    <col min="6152" max="6152" width="7.44140625" style="126" customWidth="1"/>
    <col min="6153" max="6153" width="9.44140625" style="126" customWidth="1"/>
    <col min="6154" max="6154" width="13.77734375" style="126" customWidth="1"/>
    <col min="6155" max="6155" width="7.44140625" style="126" customWidth="1"/>
    <col min="6156" max="6156" width="9.6640625" style="126" customWidth="1"/>
    <col min="6157" max="6157" width="9.88671875" style="126" customWidth="1"/>
    <col min="6158" max="6158" width="8.33203125" style="126" customWidth="1"/>
    <col min="6159" max="6159" width="7.21875" style="126" customWidth="1"/>
    <col min="6160" max="6160" width="8.44140625" style="126" customWidth="1"/>
    <col min="6161" max="6161" width="10.109375" style="126" customWidth="1"/>
    <col min="6162" max="6400" width="8.88671875" style="126"/>
    <col min="6401" max="6401" width="10.21875" style="126" customWidth="1"/>
    <col min="6402" max="6402" width="20.109375" style="126" customWidth="1"/>
    <col min="6403" max="6403" width="26" style="126" customWidth="1"/>
    <col min="6404" max="6404" width="14.109375" style="126" customWidth="1"/>
    <col min="6405" max="6405" width="10.109375" style="126" customWidth="1"/>
    <col min="6406" max="6406" width="12.88671875" style="126" customWidth="1"/>
    <col min="6407" max="6407" width="9.77734375" style="126" customWidth="1"/>
    <col min="6408" max="6408" width="7.44140625" style="126" customWidth="1"/>
    <col min="6409" max="6409" width="9.44140625" style="126" customWidth="1"/>
    <col min="6410" max="6410" width="13.77734375" style="126" customWidth="1"/>
    <col min="6411" max="6411" width="7.44140625" style="126" customWidth="1"/>
    <col min="6412" max="6412" width="9.6640625" style="126" customWidth="1"/>
    <col min="6413" max="6413" width="9.88671875" style="126" customWidth="1"/>
    <col min="6414" max="6414" width="8.33203125" style="126" customWidth="1"/>
    <col min="6415" max="6415" width="7.21875" style="126" customWidth="1"/>
    <col min="6416" max="6416" width="8.44140625" style="126" customWidth="1"/>
    <col min="6417" max="6417" width="10.109375" style="126" customWidth="1"/>
    <col min="6418" max="6656" width="8.88671875" style="126"/>
    <col min="6657" max="6657" width="10.21875" style="126" customWidth="1"/>
    <col min="6658" max="6658" width="20.109375" style="126" customWidth="1"/>
    <col min="6659" max="6659" width="26" style="126" customWidth="1"/>
    <col min="6660" max="6660" width="14.109375" style="126" customWidth="1"/>
    <col min="6661" max="6661" width="10.109375" style="126" customWidth="1"/>
    <col min="6662" max="6662" width="12.88671875" style="126" customWidth="1"/>
    <col min="6663" max="6663" width="9.77734375" style="126" customWidth="1"/>
    <col min="6664" max="6664" width="7.44140625" style="126" customWidth="1"/>
    <col min="6665" max="6665" width="9.44140625" style="126" customWidth="1"/>
    <col min="6666" max="6666" width="13.77734375" style="126" customWidth="1"/>
    <col min="6667" max="6667" width="7.44140625" style="126" customWidth="1"/>
    <col min="6668" max="6668" width="9.6640625" style="126" customWidth="1"/>
    <col min="6669" max="6669" width="9.88671875" style="126" customWidth="1"/>
    <col min="6670" max="6670" width="8.33203125" style="126" customWidth="1"/>
    <col min="6671" max="6671" width="7.21875" style="126" customWidth="1"/>
    <col min="6672" max="6672" width="8.44140625" style="126" customWidth="1"/>
    <col min="6673" max="6673" width="10.109375" style="126" customWidth="1"/>
    <col min="6674" max="6912" width="8.88671875" style="126"/>
    <col min="6913" max="6913" width="10.21875" style="126" customWidth="1"/>
    <col min="6914" max="6914" width="20.109375" style="126" customWidth="1"/>
    <col min="6915" max="6915" width="26" style="126" customWidth="1"/>
    <col min="6916" max="6916" width="14.109375" style="126" customWidth="1"/>
    <col min="6917" max="6917" width="10.109375" style="126" customWidth="1"/>
    <col min="6918" max="6918" width="12.88671875" style="126" customWidth="1"/>
    <col min="6919" max="6919" width="9.77734375" style="126" customWidth="1"/>
    <col min="6920" max="6920" width="7.44140625" style="126" customWidth="1"/>
    <col min="6921" max="6921" width="9.44140625" style="126" customWidth="1"/>
    <col min="6922" max="6922" width="13.77734375" style="126" customWidth="1"/>
    <col min="6923" max="6923" width="7.44140625" style="126" customWidth="1"/>
    <col min="6924" max="6924" width="9.6640625" style="126" customWidth="1"/>
    <col min="6925" max="6925" width="9.88671875" style="126" customWidth="1"/>
    <col min="6926" max="6926" width="8.33203125" style="126" customWidth="1"/>
    <col min="6927" max="6927" width="7.21875" style="126" customWidth="1"/>
    <col min="6928" max="6928" width="8.44140625" style="126" customWidth="1"/>
    <col min="6929" max="6929" width="10.109375" style="126" customWidth="1"/>
    <col min="6930" max="7168" width="8.88671875" style="126"/>
    <col min="7169" max="7169" width="10.21875" style="126" customWidth="1"/>
    <col min="7170" max="7170" width="20.109375" style="126" customWidth="1"/>
    <col min="7171" max="7171" width="26" style="126" customWidth="1"/>
    <col min="7172" max="7172" width="14.109375" style="126" customWidth="1"/>
    <col min="7173" max="7173" width="10.109375" style="126" customWidth="1"/>
    <col min="7174" max="7174" width="12.88671875" style="126" customWidth="1"/>
    <col min="7175" max="7175" width="9.77734375" style="126" customWidth="1"/>
    <col min="7176" max="7176" width="7.44140625" style="126" customWidth="1"/>
    <col min="7177" max="7177" width="9.44140625" style="126" customWidth="1"/>
    <col min="7178" max="7178" width="13.77734375" style="126" customWidth="1"/>
    <col min="7179" max="7179" width="7.44140625" style="126" customWidth="1"/>
    <col min="7180" max="7180" width="9.6640625" style="126" customWidth="1"/>
    <col min="7181" max="7181" width="9.88671875" style="126" customWidth="1"/>
    <col min="7182" max="7182" width="8.33203125" style="126" customWidth="1"/>
    <col min="7183" max="7183" width="7.21875" style="126" customWidth="1"/>
    <col min="7184" max="7184" width="8.44140625" style="126" customWidth="1"/>
    <col min="7185" max="7185" width="10.109375" style="126" customWidth="1"/>
    <col min="7186" max="7424" width="8.88671875" style="126"/>
    <col min="7425" max="7425" width="10.21875" style="126" customWidth="1"/>
    <col min="7426" max="7426" width="20.109375" style="126" customWidth="1"/>
    <col min="7427" max="7427" width="26" style="126" customWidth="1"/>
    <col min="7428" max="7428" width="14.109375" style="126" customWidth="1"/>
    <col min="7429" max="7429" width="10.109375" style="126" customWidth="1"/>
    <col min="7430" max="7430" width="12.88671875" style="126" customWidth="1"/>
    <col min="7431" max="7431" width="9.77734375" style="126" customWidth="1"/>
    <col min="7432" max="7432" width="7.44140625" style="126" customWidth="1"/>
    <col min="7433" max="7433" width="9.44140625" style="126" customWidth="1"/>
    <col min="7434" max="7434" width="13.77734375" style="126" customWidth="1"/>
    <col min="7435" max="7435" width="7.44140625" style="126" customWidth="1"/>
    <col min="7436" max="7436" width="9.6640625" style="126" customWidth="1"/>
    <col min="7437" max="7437" width="9.88671875" style="126" customWidth="1"/>
    <col min="7438" max="7438" width="8.33203125" style="126" customWidth="1"/>
    <col min="7439" max="7439" width="7.21875" style="126" customWidth="1"/>
    <col min="7440" max="7440" width="8.44140625" style="126" customWidth="1"/>
    <col min="7441" max="7441" width="10.109375" style="126" customWidth="1"/>
    <col min="7442" max="7680" width="8.88671875" style="126"/>
    <col min="7681" max="7681" width="10.21875" style="126" customWidth="1"/>
    <col min="7682" max="7682" width="20.109375" style="126" customWidth="1"/>
    <col min="7683" max="7683" width="26" style="126" customWidth="1"/>
    <col min="7684" max="7684" width="14.109375" style="126" customWidth="1"/>
    <col min="7685" max="7685" width="10.109375" style="126" customWidth="1"/>
    <col min="7686" max="7686" width="12.88671875" style="126" customWidth="1"/>
    <col min="7687" max="7687" width="9.77734375" style="126" customWidth="1"/>
    <col min="7688" max="7688" width="7.44140625" style="126" customWidth="1"/>
    <col min="7689" max="7689" width="9.44140625" style="126" customWidth="1"/>
    <col min="7690" max="7690" width="13.77734375" style="126" customWidth="1"/>
    <col min="7691" max="7691" width="7.44140625" style="126" customWidth="1"/>
    <col min="7692" max="7692" width="9.6640625" style="126" customWidth="1"/>
    <col min="7693" max="7693" width="9.88671875" style="126" customWidth="1"/>
    <col min="7694" max="7694" width="8.33203125" style="126" customWidth="1"/>
    <col min="7695" max="7695" width="7.21875" style="126" customWidth="1"/>
    <col min="7696" max="7696" width="8.44140625" style="126" customWidth="1"/>
    <col min="7697" max="7697" width="10.109375" style="126" customWidth="1"/>
    <col min="7698" max="7936" width="8.88671875" style="126"/>
    <col min="7937" max="7937" width="10.21875" style="126" customWidth="1"/>
    <col min="7938" max="7938" width="20.109375" style="126" customWidth="1"/>
    <col min="7939" max="7939" width="26" style="126" customWidth="1"/>
    <col min="7940" max="7940" width="14.109375" style="126" customWidth="1"/>
    <col min="7941" max="7941" width="10.109375" style="126" customWidth="1"/>
    <col min="7942" max="7942" width="12.88671875" style="126" customWidth="1"/>
    <col min="7943" max="7943" width="9.77734375" style="126" customWidth="1"/>
    <col min="7944" max="7944" width="7.44140625" style="126" customWidth="1"/>
    <col min="7945" max="7945" width="9.44140625" style="126" customWidth="1"/>
    <col min="7946" max="7946" width="13.77734375" style="126" customWidth="1"/>
    <col min="7947" max="7947" width="7.44140625" style="126" customWidth="1"/>
    <col min="7948" max="7948" width="9.6640625" style="126" customWidth="1"/>
    <col min="7949" max="7949" width="9.88671875" style="126" customWidth="1"/>
    <col min="7950" max="7950" width="8.33203125" style="126" customWidth="1"/>
    <col min="7951" max="7951" width="7.21875" style="126" customWidth="1"/>
    <col min="7952" max="7952" width="8.44140625" style="126" customWidth="1"/>
    <col min="7953" max="7953" width="10.109375" style="126" customWidth="1"/>
    <col min="7954" max="8192" width="8.88671875" style="126"/>
    <col min="8193" max="8193" width="10.21875" style="126" customWidth="1"/>
    <col min="8194" max="8194" width="20.109375" style="126" customWidth="1"/>
    <col min="8195" max="8195" width="26" style="126" customWidth="1"/>
    <col min="8196" max="8196" width="14.109375" style="126" customWidth="1"/>
    <col min="8197" max="8197" width="10.109375" style="126" customWidth="1"/>
    <col min="8198" max="8198" width="12.88671875" style="126" customWidth="1"/>
    <col min="8199" max="8199" width="9.77734375" style="126" customWidth="1"/>
    <col min="8200" max="8200" width="7.44140625" style="126" customWidth="1"/>
    <col min="8201" max="8201" width="9.44140625" style="126" customWidth="1"/>
    <col min="8202" max="8202" width="13.77734375" style="126" customWidth="1"/>
    <col min="8203" max="8203" width="7.44140625" style="126" customWidth="1"/>
    <col min="8204" max="8204" width="9.6640625" style="126" customWidth="1"/>
    <col min="8205" max="8205" width="9.88671875" style="126" customWidth="1"/>
    <col min="8206" max="8206" width="8.33203125" style="126" customWidth="1"/>
    <col min="8207" max="8207" width="7.21875" style="126" customWidth="1"/>
    <col min="8208" max="8208" width="8.44140625" style="126" customWidth="1"/>
    <col min="8209" max="8209" width="10.109375" style="126" customWidth="1"/>
    <col min="8210" max="8448" width="8.88671875" style="126"/>
    <col min="8449" max="8449" width="10.21875" style="126" customWidth="1"/>
    <col min="8450" max="8450" width="20.109375" style="126" customWidth="1"/>
    <col min="8451" max="8451" width="26" style="126" customWidth="1"/>
    <col min="8452" max="8452" width="14.109375" style="126" customWidth="1"/>
    <col min="8453" max="8453" width="10.109375" style="126" customWidth="1"/>
    <col min="8454" max="8454" width="12.88671875" style="126" customWidth="1"/>
    <col min="8455" max="8455" width="9.77734375" style="126" customWidth="1"/>
    <col min="8456" max="8456" width="7.44140625" style="126" customWidth="1"/>
    <col min="8457" max="8457" width="9.44140625" style="126" customWidth="1"/>
    <col min="8458" max="8458" width="13.77734375" style="126" customWidth="1"/>
    <col min="8459" max="8459" width="7.44140625" style="126" customWidth="1"/>
    <col min="8460" max="8460" width="9.6640625" style="126" customWidth="1"/>
    <col min="8461" max="8461" width="9.88671875" style="126" customWidth="1"/>
    <col min="8462" max="8462" width="8.33203125" style="126" customWidth="1"/>
    <col min="8463" max="8463" width="7.21875" style="126" customWidth="1"/>
    <col min="8464" max="8464" width="8.44140625" style="126" customWidth="1"/>
    <col min="8465" max="8465" width="10.109375" style="126" customWidth="1"/>
    <col min="8466" max="8704" width="8.88671875" style="126"/>
    <col min="8705" max="8705" width="10.21875" style="126" customWidth="1"/>
    <col min="8706" max="8706" width="20.109375" style="126" customWidth="1"/>
    <col min="8707" max="8707" width="26" style="126" customWidth="1"/>
    <col min="8708" max="8708" width="14.109375" style="126" customWidth="1"/>
    <col min="8709" max="8709" width="10.109375" style="126" customWidth="1"/>
    <col min="8710" max="8710" width="12.88671875" style="126" customWidth="1"/>
    <col min="8711" max="8711" width="9.77734375" style="126" customWidth="1"/>
    <col min="8712" max="8712" width="7.44140625" style="126" customWidth="1"/>
    <col min="8713" max="8713" width="9.44140625" style="126" customWidth="1"/>
    <col min="8714" max="8714" width="13.77734375" style="126" customWidth="1"/>
    <col min="8715" max="8715" width="7.44140625" style="126" customWidth="1"/>
    <col min="8716" max="8716" width="9.6640625" style="126" customWidth="1"/>
    <col min="8717" max="8717" width="9.88671875" style="126" customWidth="1"/>
    <col min="8718" max="8718" width="8.33203125" style="126" customWidth="1"/>
    <col min="8719" max="8719" width="7.21875" style="126" customWidth="1"/>
    <col min="8720" max="8720" width="8.44140625" style="126" customWidth="1"/>
    <col min="8721" max="8721" width="10.109375" style="126" customWidth="1"/>
    <col min="8722" max="8960" width="8.88671875" style="126"/>
    <col min="8961" max="8961" width="10.21875" style="126" customWidth="1"/>
    <col min="8962" max="8962" width="20.109375" style="126" customWidth="1"/>
    <col min="8963" max="8963" width="26" style="126" customWidth="1"/>
    <col min="8964" max="8964" width="14.109375" style="126" customWidth="1"/>
    <col min="8965" max="8965" width="10.109375" style="126" customWidth="1"/>
    <col min="8966" max="8966" width="12.88671875" style="126" customWidth="1"/>
    <col min="8967" max="8967" width="9.77734375" style="126" customWidth="1"/>
    <col min="8968" max="8968" width="7.44140625" style="126" customWidth="1"/>
    <col min="8969" max="8969" width="9.44140625" style="126" customWidth="1"/>
    <col min="8970" max="8970" width="13.77734375" style="126" customWidth="1"/>
    <col min="8971" max="8971" width="7.44140625" style="126" customWidth="1"/>
    <col min="8972" max="8972" width="9.6640625" style="126" customWidth="1"/>
    <col min="8973" max="8973" width="9.88671875" style="126" customWidth="1"/>
    <col min="8974" max="8974" width="8.33203125" style="126" customWidth="1"/>
    <col min="8975" max="8975" width="7.21875" style="126" customWidth="1"/>
    <col min="8976" max="8976" width="8.44140625" style="126" customWidth="1"/>
    <col min="8977" max="8977" width="10.109375" style="126" customWidth="1"/>
    <col min="8978" max="9216" width="8.88671875" style="126"/>
    <col min="9217" max="9217" width="10.21875" style="126" customWidth="1"/>
    <col min="9218" max="9218" width="20.109375" style="126" customWidth="1"/>
    <col min="9219" max="9219" width="26" style="126" customWidth="1"/>
    <col min="9220" max="9220" width="14.109375" style="126" customWidth="1"/>
    <col min="9221" max="9221" width="10.109375" style="126" customWidth="1"/>
    <col min="9222" max="9222" width="12.88671875" style="126" customWidth="1"/>
    <col min="9223" max="9223" width="9.77734375" style="126" customWidth="1"/>
    <col min="9224" max="9224" width="7.44140625" style="126" customWidth="1"/>
    <col min="9225" max="9225" width="9.44140625" style="126" customWidth="1"/>
    <col min="9226" max="9226" width="13.77734375" style="126" customWidth="1"/>
    <col min="9227" max="9227" width="7.44140625" style="126" customWidth="1"/>
    <col min="9228" max="9228" width="9.6640625" style="126" customWidth="1"/>
    <col min="9229" max="9229" width="9.88671875" style="126" customWidth="1"/>
    <col min="9230" max="9230" width="8.33203125" style="126" customWidth="1"/>
    <col min="9231" max="9231" width="7.21875" style="126" customWidth="1"/>
    <col min="9232" max="9232" width="8.44140625" style="126" customWidth="1"/>
    <col min="9233" max="9233" width="10.109375" style="126" customWidth="1"/>
    <col min="9234" max="9472" width="8.88671875" style="126"/>
    <col min="9473" max="9473" width="10.21875" style="126" customWidth="1"/>
    <col min="9474" max="9474" width="20.109375" style="126" customWidth="1"/>
    <col min="9475" max="9475" width="26" style="126" customWidth="1"/>
    <col min="9476" max="9476" width="14.109375" style="126" customWidth="1"/>
    <col min="9477" max="9477" width="10.109375" style="126" customWidth="1"/>
    <col min="9478" max="9478" width="12.88671875" style="126" customWidth="1"/>
    <col min="9479" max="9479" width="9.77734375" style="126" customWidth="1"/>
    <col min="9480" max="9480" width="7.44140625" style="126" customWidth="1"/>
    <col min="9481" max="9481" width="9.44140625" style="126" customWidth="1"/>
    <col min="9482" max="9482" width="13.77734375" style="126" customWidth="1"/>
    <col min="9483" max="9483" width="7.44140625" style="126" customWidth="1"/>
    <col min="9484" max="9484" width="9.6640625" style="126" customWidth="1"/>
    <col min="9485" max="9485" width="9.88671875" style="126" customWidth="1"/>
    <col min="9486" max="9486" width="8.33203125" style="126" customWidth="1"/>
    <col min="9487" max="9487" width="7.21875" style="126" customWidth="1"/>
    <col min="9488" max="9488" width="8.44140625" style="126" customWidth="1"/>
    <col min="9489" max="9489" width="10.109375" style="126" customWidth="1"/>
    <col min="9490" max="9728" width="8.88671875" style="126"/>
    <col min="9729" max="9729" width="10.21875" style="126" customWidth="1"/>
    <col min="9730" max="9730" width="20.109375" style="126" customWidth="1"/>
    <col min="9731" max="9731" width="26" style="126" customWidth="1"/>
    <col min="9732" max="9732" width="14.109375" style="126" customWidth="1"/>
    <col min="9733" max="9733" width="10.109375" style="126" customWidth="1"/>
    <col min="9734" max="9734" width="12.88671875" style="126" customWidth="1"/>
    <col min="9735" max="9735" width="9.77734375" style="126" customWidth="1"/>
    <col min="9736" max="9736" width="7.44140625" style="126" customWidth="1"/>
    <col min="9737" max="9737" width="9.44140625" style="126" customWidth="1"/>
    <col min="9738" max="9738" width="13.77734375" style="126" customWidth="1"/>
    <col min="9739" max="9739" width="7.44140625" style="126" customWidth="1"/>
    <col min="9740" max="9740" width="9.6640625" style="126" customWidth="1"/>
    <col min="9741" max="9741" width="9.88671875" style="126" customWidth="1"/>
    <col min="9742" max="9742" width="8.33203125" style="126" customWidth="1"/>
    <col min="9743" max="9743" width="7.21875" style="126" customWidth="1"/>
    <col min="9744" max="9744" width="8.44140625" style="126" customWidth="1"/>
    <col min="9745" max="9745" width="10.109375" style="126" customWidth="1"/>
    <col min="9746" max="9984" width="8.88671875" style="126"/>
    <col min="9985" max="9985" width="10.21875" style="126" customWidth="1"/>
    <col min="9986" max="9986" width="20.109375" style="126" customWidth="1"/>
    <col min="9987" max="9987" width="26" style="126" customWidth="1"/>
    <col min="9988" max="9988" width="14.109375" style="126" customWidth="1"/>
    <col min="9989" max="9989" width="10.109375" style="126" customWidth="1"/>
    <col min="9990" max="9990" width="12.88671875" style="126" customWidth="1"/>
    <col min="9991" max="9991" width="9.77734375" style="126" customWidth="1"/>
    <col min="9992" max="9992" width="7.44140625" style="126" customWidth="1"/>
    <col min="9993" max="9993" width="9.44140625" style="126" customWidth="1"/>
    <col min="9994" max="9994" width="13.77734375" style="126" customWidth="1"/>
    <col min="9995" max="9995" width="7.44140625" style="126" customWidth="1"/>
    <col min="9996" max="9996" width="9.6640625" style="126" customWidth="1"/>
    <col min="9997" max="9997" width="9.88671875" style="126" customWidth="1"/>
    <col min="9998" max="9998" width="8.33203125" style="126" customWidth="1"/>
    <col min="9999" max="9999" width="7.21875" style="126" customWidth="1"/>
    <col min="10000" max="10000" width="8.44140625" style="126" customWidth="1"/>
    <col min="10001" max="10001" width="10.109375" style="126" customWidth="1"/>
    <col min="10002" max="10240" width="8.88671875" style="126"/>
    <col min="10241" max="10241" width="10.21875" style="126" customWidth="1"/>
    <col min="10242" max="10242" width="20.109375" style="126" customWidth="1"/>
    <col min="10243" max="10243" width="26" style="126" customWidth="1"/>
    <col min="10244" max="10244" width="14.109375" style="126" customWidth="1"/>
    <col min="10245" max="10245" width="10.109375" style="126" customWidth="1"/>
    <col min="10246" max="10246" width="12.88671875" style="126" customWidth="1"/>
    <col min="10247" max="10247" width="9.77734375" style="126" customWidth="1"/>
    <col min="10248" max="10248" width="7.44140625" style="126" customWidth="1"/>
    <col min="10249" max="10249" width="9.44140625" style="126" customWidth="1"/>
    <col min="10250" max="10250" width="13.77734375" style="126" customWidth="1"/>
    <col min="10251" max="10251" width="7.44140625" style="126" customWidth="1"/>
    <col min="10252" max="10252" width="9.6640625" style="126" customWidth="1"/>
    <col min="10253" max="10253" width="9.88671875" style="126" customWidth="1"/>
    <col min="10254" max="10254" width="8.33203125" style="126" customWidth="1"/>
    <col min="10255" max="10255" width="7.21875" style="126" customWidth="1"/>
    <col min="10256" max="10256" width="8.44140625" style="126" customWidth="1"/>
    <col min="10257" max="10257" width="10.109375" style="126" customWidth="1"/>
    <col min="10258" max="10496" width="8.88671875" style="126"/>
    <col min="10497" max="10497" width="10.21875" style="126" customWidth="1"/>
    <col min="10498" max="10498" width="20.109375" style="126" customWidth="1"/>
    <col min="10499" max="10499" width="26" style="126" customWidth="1"/>
    <col min="10500" max="10500" width="14.109375" style="126" customWidth="1"/>
    <col min="10501" max="10501" width="10.109375" style="126" customWidth="1"/>
    <col min="10502" max="10502" width="12.88671875" style="126" customWidth="1"/>
    <col min="10503" max="10503" width="9.77734375" style="126" customWidth="1"/>
    <col min="10504" max="10504" width="7.44140625" style="126" customWidth="1"/>
    <col min="10505" max="10505" width="9.44140625" style="126" customWidth="1"/>
    <col min="10506" max="10506" width="13.77734375" style="126" customWidth="1"/>
    <col min="10507" max="10507" width="7.44140625" style="126" customWidth="1"/>
    <col min="10508" max="10508" width="9.6640625" style="126" customWidth="1"/>
    <col min="10509" max="10509" width="9.88671875" style="126" customWidth="1"/>
    <col min="10510" max="10510" width="8.33203125" style="126" customWidth="1"/>
    <col min="10511" max="10511" width="7.21875" style="126" customWidth="1"/>
    <col min="10512" max="10512" width="8.44140625" style="126" customWidth="1"/>
    <col min="10513" max="10513" width="10.109375" style="126" customWidth="1"/>
    <col min="10514" max="10752" width="8.88671875" style="126"/>
    <col min="10753" max="10753" width="10.21875" style="126" customWidth="1"/>
    <col min="10754" max="10754" width="20.109375" style="126" customWidth="1"/>
    <col min="10755" max="10755" width="26" style="126" customWidth="1"/>
    <col min="10756" max="10756" width="14.109375" style="126" customWidth="1"/>
    <col min="10757" max="10757" width="10.109375" style="126" customWidth="1"/>
    <col min="10758" max="10758" width="12.88671875" style="126" customWidth="1"/>
    <col min="10759" max="10759" width="9.77734375" style="126" customWidth="1"/>
    <col min="10760" max="10760" width="7.44140625" style="126" customWidth="1"/>
    <col min="10761" max="10761" width="9.44140625" style="126" customWidth="1"/>
    <col min="10762" max="10762" width="13.77734375" style="126" customWidth="1"/>
    <col min="10763" max="10763" width="7.44140625" style="126" customWidth="1"/>
    <col min="10764" max="10764" width="9.6640625" style="126" customWidth="1"/>
    <col min="10765" max="10765" width="9.88671875" style="126" customWidth="1"/>
    <col min="10766" max="10766" width="8.33203125" style="126" customWidth="1"/>
    <col min="10767" max="10767" width="7.21875" style="126" customWidth="1"/>
    <col min="10768" max="10768" width="8.44140625" style="126" customWidth="1"/>
    <col min="10769" max="10769" width="10.109375" style="126" customWidth="1"/>
    <col min="10770" max="11008" width="8.88671875" style="126"/>
    <col min="11009" max="11009" width="10.21875" style="126" customWidth="1"/>
    <col min="11010" max="11010" width="20.109375" style="126" customWidth="1"/>
    <col min="11011" max="11011" width="26" style="126" customWidth="1"/>
    <col min="11012" max="11012" width="14.109375" style="126" customWidth="1"/>
    <col min="11013" max="11013" width="10.109375" style="126" customWidth="1"/>
    <col min="11014" max="11014" width="12.88671875" style="126" customWidth="1"/>
    <col min="11015" max="11015" width="9.77734375" style="126" customWidth="1"/>
    <col min="11016" max="11016" width="7.44140625" style="126" customWidth="1"/>
    <col min="11017" max="11017" width="9.44140625" style="126" customWidth="1"/>
    <col min="11018" max="11018" width="13.77734375" style="126" customWidth="1"/>
    <col min="11019" max="11019" width="7.44140625" style="126" customWidth="1"/>
    <col min="11020" max="11020" width="9.6640625" style="126" customWidth="1"/>
    <col min="11021" max="11021" width="9.88671875" style="126" customWidth="1"/>
    <col min="11022" max="11022" width="8.33203125" style="126" customWidth="1"/>
    <col min="11023" max="11023" width="7.21875" style="126" customWidth="1"/>
    <col min="11024" max="11024" width="8.44140625" style="126" customWidth="1"/>
    <col min="11025" max="11025" width="10.109375" style="126" customWidth="1"/>
    <col min="11026" max="11264" width="8.88671875" style="126"/>
    <col min="11265" max="11265" width="10.21875" style="126" customWidth="1"/>
    <col min="11266" max="11266" width="20.109375" style="126" customWidth="1"/>
    <col min="11267" max="11267" width="26" style="126" customWidth="1"/>
    <col min="11268" max="11268" width="14.109375" style="126" customWidth="1"/>
    <col min="11269" max="11269" width="10.109375" style="126" customWidth="1"/>
    <col min="11270" max="11270" width="12.88671875" style="126" customWidth="1"/>
    <col min="11271" max="11271" width="9.77734375" style="126" customWidth="1"/>
    <col min="11272" max="11272" width="7.44140625" style="126" customWidth="1"/>
    <col min="11273" max="11273" width="9.44140625" style="126" customWidth="1"/>
    <col min="11274" max="11274" width="13.77734375" style="126" customWidth="1"/>
    <col min="11275" max="11275" width="7.44140625" style="126" customWidth="1"/>
    <col min="11276" max="11276" width="9.6640625" style="126" customWidth="1"/>
    <col min="11277" max="11277" width="9.88671875" style="126" customWidth="1"/>
    <col min="11278" max="11278" width="8.33203125" style="126" customWidth="1"/>
    <col min="11279" max="11279" width="7.21875" style="126" customWidth="1"/>
    <col min="11280" max="11280" width="8.44140625" style="126" customWidth="1"/>
    <col min="11281" max="11281" width="10.109375" style="126" customWidth="1"/>
    <col min="11282" max="11520" width="8.88671875" style="126"/>
    <col min="11521" max="11521" width="10.21875" style="126" customWidth="1"/>
    <col min="11522" max="11522" width="20.109375" style="126" customWidth="1"/>
    <col min="11523" max="11523" width="26" style="126" customWidth="1"/>
    <col min="11524" max="11524" width="14.109375" style="126" customWidth="1"/>
    <col min="11525" max="11525" width="10.109375" style="126" customWidth="1"/>
    <col min="11526" max="11526" width="12.88671875" style="126" customWidth="1"/>
    <col min="11527" max="11527" width="9.77734375" style="126" customWidth="1"/>
    <col min="11528" max="11528" width="7.44140625" style="126" customWidth="1"/>
    <col min="11529" max="11529" width="9.44140625" style="126" customWidth="1"/>
    <col min="11530" max="11530" width="13.77734375" style="126" customWidth="1"/>
    <col min="11531" max="11531" width="7.44140625" style="126" customWidth="1"/>
    <col min="11532" max="11532" width="9.6640625" style="126" customWidth="1"/>
    <col min="11533" max="11533" width="9.88671875" style="126" customWidth="1"/>
    <col min="11534" max="11534" width="8.33203125" style="126" customWidth="1"/>
    <col min="11535" max="11535" width="7.21875" style="126" customWidth="1"/>
    <col min="11536" max="11536" width="8.44140625" style="126" customWidth="1"/>
    <col min="11537" max="11537" width="10.109375" style="126" customWidth="1"/>
    <col min="11538" max="11776" width="8.88671875" style="126"/>
    <col min="11777" max="11777" width="10.21875" style="126" customWidth="1"/>
    <col min="11778" max="11778" width="20.109375" style="126" customWidth="1"/>
    <col min="11779" max="11779" width="26" style="126" customWidth="1"/>
    <col min="11780" max="11780" width="14.109375" style="126" customWidth="1"/>
    <col min="11781" max="11781" width="10.109375" style="126" customWidth="1"/>
    <col min="11782" max="11782" width="12.88671875" style="126" customWidth="1"/>
    <col min="11783" max="11783" width="9.77734375" style="126" customWidth="1"/>
    <col min="11784" max="11784" width="7.44140625" style="126" customWidth="1"/>
    <col min="11785" max="11785" width="9.44140625" style="126" customWidth="1"/>
    <col min="11786" max="11786" width="13.77734375" style="126" customWidth="1"/>
    <col min="11787" max="11787" width="7.44140625" style="126" customWidth="1"/>
    <col min="11788" max="11788" width="9.6640625" style="126" customWidth="1"/>
    <col min="11789" max="11789" width="9.88671875" style="126" customWidth="1"/>
    <col min="11790" max="11790" width="8.33203125" style="126" customWidth="1"/>
    <col min="11791" max="11791" width="7.21875" style="126" customWidth="1"/>
    <col min="11792" max="11792" width="8.44140625" style="126" customWidth="1"/>
    <col min="11793" max="11793" width="10.109375" style="126" customWidth="1"/>
    <col min="11794" max="12032" width="8.88671875" style="126"/>
    <col min="12033" max="12033" width="10.21875" style="126" customWidth="1"/>
    <col min="12034" max="12034" width="20.109375" style="126" customWidth="1"/>
    <col min="12035" max="12035" width="26" style="126" customWidth="1"/>
    <col min="12036" max="12036" width="14.109375" style="126" customWidth="1"/>
    <col min="12037" max="12037" width="10.109375" style="126" customWidth="1"/>
    <col min="12038" max="12038" width="12.88671875" style="126" customWidth="1"/>
    <col min="12039" max="12039" width="9.77734375" style="126" customWidth="1"/>
    <col min="12040" max="12040" width="7.44140625" style="126" customWidth="1"/>
    <col min="12041" max="12041" width="9.44140625" style="126" customWidth="1"/>
    <col min="12042" max="12042" width="13.77734375" style="126" customWidth="1"/>
    <col min="12043" max="12043" width="7.44140625" style="126" customWidth="1"/>
    <col min="12044" max="12044" width="9.6640625" style="126" customWidth="1"/>
    <col min="12045" max="12045" width="9.88671875" style="126" customWidth="1"/>
    <col min="12046" max="12046" width="8.33203125" style="126" customWidth="1"/>
    <col min="12047" max="12047" width="7.21875" style="126" customWidth="1"/>
    <col min="12048" max="12048" width="8.44140625" style="126" customWidth="1"/>
    <col min="12049" max="12049" width="10.109375" style="126" customWidth="1"/>
    <col min="12050" max="12288" width="8.88671875" style="126"/>
    <col min="12289" max="12289" width="10.21875" style="126" customWidth="1"/>
    <col min="12290" max="12290" width="20.109375" style="126" customWidth="1"/>
    <col min="12291" max="12291" width="26" style="126" customWidth="1"/>
    <col min="12292" max="12292" width="14.109375" style="126" customWidth="1"/>
    <col min="12293" max="12293" width="10.109375" style="126" customWidth="1"/>
    <col min="12294" max="12294" width="12.88671875" style="126" customWidth="1"/>
    <col min="12295" max="12295" width="9.77734375" style="126" customWidth="1"/>
    <col min="12296" max="12296" width="7.44140625" style="126" customWidth="1"/>
    <col min="12297" max="12297" width="9.44140625" style="126" customWidth="1"/>
    <col min="12298" max="12298" width="13.77734375" style="126" customWidth="1"/>
    <col min="12299" max="12299" width="7.44140625" style="126" customWidth="1"/>
    <col min="12300" max="12300" width="9.6640625" style="126" customWidth="1"/>
    <col min="12301" max="12301" width="9.88671875" style="126" customWidth="1"/>
    <col min="12302" max="12302" width="8.33203125" style="126" customWidth="1"/>
    <col min="12303" max="12303" width="7.21875" style="126" customWidth="1"/>
    <col min="12304" max="12304" width="8.44140625" style="126" customWidth="1"/>
    <col min="12305" max="12305" width="10.109375" style="126" customWidth="1"/>
    <col min="12306" max="12544" width="8.88671875" style="126"/>
    <col min="12545" max="12545" width="10.21875" style="126" customWidth="1"/>
    <col min="12546" max="12546" width="20.109375" style="126" customWidth="1"/>
    <col min="12547" max="12547" width="26" style="126" customWidth="1"/>
    <col min="12548" max="12548" width="14.109375" style="126" customWidth="1"/>
    <col min="12549" max="12549" width="10.109375" style="126" customWidth="1"/>
    <col min="12550" max="12550" width="12.88671875" style="126" customWidth="1"/>
    <col min="12551" max="12551" width="9.77734375" style="126" customWidth="1"/>
    <col min="12552" max="12552" width="7.44140625" style="126" customWidth="1"/>
    <col min="12553" max="12553" width="9.44140625" style="126" customWidth="1"/>
    <col min="12554" max="12554" width="13.77734375" style="126" customWidth="1"/>
    <col min="12555" max="12555" width="7.44140625" style="126" customWidth="1"/>
    <col min="12556" max="12556" width="9.6640625" style="126" customWidth="1"/>
    <col min="12557" max="12557" width="9.88671875" style="126" customWidth="1"/>
    <col min="12558" max="12558" width="8.33203125" style="126" customWidth="1"/>
    <col min="12559" max="12559" width="7.21875" style="126" customWidth="1"/>
    <col min="12560" max="12560" width="8.44140625" style="126" customWidth="1"/>
    <col min="12561" max="12561" width="10.109375" style="126" customWidth="1"/>
    <col min="12562" max="12800" width="8.88671875" style="126"/>
    <col min="12801" max="12801" width="10.21875" style="126" customWidth="1"/>
    <col min="12802" max="12802" width="20.109375" style="126" customWidth="1"/>
    <col min="12803" max="12803" width="26" style="126" customWidth="1"/>
    <col min="12804" max="12804" width="14.109375" style="126" customWidth="1"/>
    <col min="12805" max="12805" width="10.109375" style="126" customWidth="1"/>
    <col min="12806" max="12806" width="12.88671875" style="126" customWidth="1"/>
    <col min="12807" max="12807" width="9.77734375" style="126" customWidth="1"/>
    <col min="12808" max="12808" width="7.44140625" style="126" customWidth="1"/>
    <col min="12809" max="12809" width="9.44140625" style="126" customWidth="1"/>
    <col min="12810" max="12810" width="13.77734375" style="126" customWidth="1"/>
    <col min="12811" max="12811" width="7.44140625" style="126" customWidth="1"/>
    <col min="12812" max="12812" width="9.6640625" style="126" customWidth="1"/>
    <col min="12813" max="12813" width="9.88671875" style="126" customWidth="1"/>
    <col min="12814" max="12814" width="8.33203125" style="126" customWidth="1"/>
    <col min="12815" max="12815" width="7.21875" style="126" customWidth="1"/>
    <col min="12816" max="12816" width="8.44140625" style="126" customWidth="1"/>
    <col min="12817" max="12817" width="10.109375" style="126" customWidth="1"/>
    <col min="12818" max="13056" width="8.88671875" style="126"/>
    <col min="13057" max="13057" width="10.21875" style="126" customWidth="1"/>
    <col min="13058" max="13058" width="20.109375" style="126" customWidth="1"/>
    <col min="13059" max="13059" width="26" style="126" customWidth="1"/>
    <col min="13060" max="13060" width="14.109375" style="126" customWidth="1"/>
    <col min="13061" max="13061" width="10.109375" style="126" customWidth="1"/>
    <col min="13062" max="13062" width="12.88671875" style="126" customWidth="1"/>
    <col min="13063" max="13063" width="9.77734375" style="126" customWidth="1"/>
    <col min="13064" max="13064" width="7.44140625" style="126" customWidth="1"/>
    <col min="13065" max="13065" width="9.44140625" style="126" customWidth="1"/>
    <col min="13066" max="13066" width="13.77734375" style="126" customWidth="1"/>
    <col min="13067" max="13067" width="7.44140625" style="126" customWidth="1"/>
    <col min="13068" max="13068" width="9.6640625" style="126" customWidth="1"/>
    <col min="13069" max="13069" width="9.88671875" style="126" customWidth="1"/>
    <col min="13070" max="13070" width="8.33203125" style="126" customWidth="1"/>
    <col min="13071" max="13071" width="7.21875" style="126" customWidth="1"/>
    <col min="13072" max="13072" width="8.44140625" style="126" customWidth="1"/>
    <col min="13073" max="13073" width="10.109375" style="126" customWidth="1"/>
    <col min="13074" max="13312" width="8.88671875" style="126"/>
    <col min="13313" max="13313" width="10.21875" style="126" customWidth="1"/>
    <col min="13314" max="13314" width="20.109375" style="126" customWidth="1"/>
    <col min="13315" max="13315" width="26" style="126" customWidth="1"/>
    <col min="13316" max="13316" width="14.109375" style="126" customWidth="1"/>
    <col min="13317" max="13317" width="10.109375" style="126" customWidth="1"/>
    <col min="13318" max="13318" width="12.88671875" style="126" customWidth="1"/>
    <col min="13319" max="13319" width="9.77734375" style="126" customWidth="1"/>
    <col min="13320" max="13320" width="7.44140625" style="126" customWidth="1"/>
    <col min="13321" max="13321" width="9.44140625" style="126" customWidth="1"/>
    <col min="13322" max="13322" width="13.77734375" style="126" customWidth="1"/>
    <col min="13323" max="13323" width="7.44140625" style="126" customWidth="1"/>
    <col min="13324" max="13324" width="9.6640625" style="126" customWidth="1"/>
    <col min="13325" max="13325" width="9.88671875" style="126" customWidth="1"/>
    <col min="13326" max="13326" width="8.33203125" style="126" customWidth="1"/>
    <col min="13327" max="13327" width="7.21875" style="126" customWidth="1"/>
    <col min="13328" max="13328" width="8.44140625" style="126" customWidth="1"/>
    <col min="13329" max="13329" width="10.109375" style="126" customWidth="1"/>
    <col min="13330" max="13568" width="8.88671875" style="126"/>
    <col min="13569" max="13569" width="10.21875" style="126" customWidth="1"/>
    <col min="13570" max="13570" width="20.109375" style="126" customWidth="1"/>
    <col min="13571" max="13571" width="26" style="126" customWidth="1"/>
    <col min="13572" max="13572" width="14.109375" style="126" customWidth="1"/>
    <col min="13573" max="13573" width="10.109375" style="126" customWidth="1"/>
    <col min="13574" max="13574" width="12.88671875" style="126" customWidth="1"/>
    <col min="13575" max="13575" width="9.77734375" style="126" customWidth="1"/>
    <col min="13576" max="13576" width="7.44140625" style="126" customWidth="1"/>
    <col min="13577" max="13577" width="9.44140625" style="126" customWidth="1"/>
    <col min="13578" max="13578" width="13.77734375" style="126" customWidth="1"/>
    <col min="13579" max="13579" width="7.44140625" style="126" customWidth="1"/>
    <col min="13580" max="13580" width="9.6640625" style="126" customWidth="1"/>
    <col min="13581" max="13581" width="9.88671875" style="126" customWidth="1"/>
    <col min="13582" max="13582" width="8.33203125" style="126" customWidth="1"/>
    <col min="13583" max="13583" width="7.21875" style="126" customWidth="1"/>
    <col min="13584" max="13584" width="8.44140625" style="126" customWidth="1"/>
    <col min="13585" max="13585" width="10.109375" style="126" customWidth="1"/>
    <col min="13586" max="13824" width="8.88671875" style="126"/>
    <col min="13825" max="13825" width="10.21875" style="126" customWidth="1"/>
    <col min="13826" max="13826" width="20.109375" style="126" customWidth="1"/>
    <col min="13827" max="13827" width="26" style="126" customWidth="1"/>
    <col min="13828" max="13828" width="14.109375" style="126" customWidth="1"/>
    <col min="13829" max="13829" width="10.109375" style="126" customWidth="1"/>
    <col min="13830" max="13830" width="12.88671875" style="126" customWidth="1"/>
    <col min="13831" max="13831" width="9.77734375" style="126" customWidth="1"/>
    <col min="13832" max="13832" width="7.44140625" style="126" customWidth="1"/>
    <col min="13833" max="13833" width="9.44140625" style="126" customWidth="1"/>
    <col min="13834" max="13834" width="13.77734375" style="126" customWidth="1"/>
    <col min="13835" max="13835" width="7.44140625" style="126" customWidth="1"/>
    <col min="13836" max="13836" width="9.6640625" style="126" customWidth="1"/>
    <col min="13837" max="13837" width="9.88671875" style="126" customWidth="1"/>
    <col min="13838" max="13838" width="8.33203125" style="126" customWidth="1"/>
    <col min="13839" max="13839" width="7.21875" style="126" customWidth="1"/>
    <col min="13840" max="13840" width="8.44140625" style="126" customWidth="1"/>
    <col min="13841" max="13841" width="10.109375" style="126" customWidth="1"/>
    <col min="13842" max="14080" width="8.88671875" style="126"/>
    <col min="14081" max="14081" width="10.21875" style="126" customWidth="1"/>
    <col min="14082" max="14082" width="20.109375" style="126" customWidth="1"/>
    <col min="14083" max="14083" width="26" style="126" customWidth="1"/>
    <col min="14084" max="14084" width="14.109375" style="126" customWidth="1"/>
    <col min="14085" max="14085" width="10.109375" style="126" customWidth="1"/>
    <col min="14086" max="14086" width="12.88671875" style="126" customWidth="1"/>
    <col min="14087" max="14087" width="9.77734375" style="126" customWidth="1"/>
    <col min="14088" max="14088" width="7.44140625" style="126" customWidth="1"/>
    <col min="14089" max="14089" width="9.44140625" style="126" customWidth="1"/>
    <col min="14090" max="14090" width="13.77734375" style="126" customWidth="1"/>
    <col min="14091" max="14091" width="7.44140625" style="126" customWidth="1"/>
    <col min="14092" max="14092" width="9.6640625" style="126" customWidth="1"/>
    <col min="14093" max="14093" width="9.88671875" style="126" customWidth="1"/>
    <col min="14094" max="14094" width="8.33203125" style="126" customWidth="1"/>
    <col min="14095" max="14095" width="7.21875" style="126" customWidth="1"/>
    <col min="14096" max="14096" width="8.44140625" style="126" customWidth="1"/>
    <col min="14097" max="14097" width="10.109375" style="126" customWidth="1"/>
    <col min="14098" max="14336" width="8.88671875" style="126"/>
    <col min="14337" max="14337" width="10.21875" style="126" customWidth="1"/>
    <col min="14338" max="14338" width="20.109375" style="126" customWidth="1"/>
    <col min="14339" max="14339" width="26" style="126" customWidth="1"/>
    <col min="14340" max="14340" width="14.109375" style="126" customWidth="1"/>
    <col min="14341" max="14341" width="10.109375" style="126" customWidth="1"/>
    <col min="14342" max="14342" width="12.88671875" style="126" customWidth="1"/>
    <col min="14343" max="14343" width="9.77734375" style="126" customWidth="1"/>
    <col min="14344" max="14344" width="7.44140625" style="126" customWidth="1"/>
    <col min="14345" max="14345" width="9.44140625" style="126" customWidth="1"/>
    <col min="14346" max="14346" width="13.77734375" style="126" customWidth="1"/>
    <col min="14347" max="14347" width="7.44140625" style="126" customWidth="1"/>
    <col min="14348" max="14348" width="9.6640625" style="126" customWidth="1"/>
    <col min="14349" max="14349" width="9.88671875" style="126" customWidth="1"/>
    <col min="14350" max="14350" width="8.33203125" style="126" customWidth="1"/>
    <col min="14351" max="14351" width="7.21875" style="126" customWidth="1"/>
    <col min="14352" max="14352" width="8.44140625" style="126" customWidth="1"/>
    <col min="14353" max="14353" width="10.109375" style="126" customWidth="1"/>
    <col min="14354" max="14592" width="8.88671875" style="126"/>
    <col min="14593" max="14593" width="10.21875" style="126" customWidth="1"/>
    <col min="14594" max="14594" width="20.109375" style="126" customWidth="1"/>
    <col min="14595" max="14595" width="26" style="126" customWidth="1"/>
    <col min="14596" max="14596" width="14.109375" style="126" customWidth="1"/>
    <col min="14597" max="14597" width="10.109375" style="126" customWidth="1"/>
    <col min="14598" max="14598" width="12.88671875" style="126" customWidth="1"/>
    <col min="14599" max="14599" width="9.77734375" style="126" customWidth="1"/>
    <col min="14600" max="14600" width="7.44140625" style="126" customWidth="1"/>
    <col min="14601" max="14601" width="9.44140625" style="126" customWidth="1"/>
    <col min="14602" max="14602" width="13.77734375" style="126" customWidth="1"/>
    <col min="14603" max="14603" width="7.44140625" style="126" customWidth="1"/>
    <col min="14604" max="14604" width="9.6640625" style="126" customWidth="1"/>
    <col min="14605" max="14605" width="9.88671875" style="126" customWidth="1"/>
    <col min="14606" max="14606" width="8.33203125" style="126" customWidth="1"/>
    <col min="14607" max="14607" width="7.21875" style="126" customWidth="1"/>
    <col min="14608" max="14608" width="8.44140625" style="126" customWidth="1"/>
    <col min="14609" max="14609" width="10.109375" style="126" customWidth="1"/>
    <col min="14610" max="14848" width="8.88671875" style="126"/>
    <col min="14849" max="14849" width="10.21875" style="126" customWidth="1"/>
    <col min="14850" max="14850" width="20.109375" style="126" customWidth="1"/>
    <col min="14851" max="14851" width="26" style="126" customWidth="1"/>
    <col min="14852" max="14852" width="14.109375" style="126" customWidth="1"/>
    <col min="14853" max="14853" width="10.109375" style="126" customWidth="1"/>
    <col min="14854" max="14854" width="12.88671875" style="126" customWidth="1"/>
    <col min="14855" max="14855" width="9.77734375" style="126" customWidth="1"/>
    <col min="14856" max="14856" width="7.44140625" style="126" customWidth="1"/>
    <col min="14857" max="14857" width="9.44140625" style="126" customWidth="1"/>
    <col min="14858" max="14858" width="13.77734375" style="126" customWidth="1"/>
    <col min="14859" max="14859" width="7.44140625" style="126" customWidth="1"/>
    <col min="14860" max="14860" width="9.6640625" style="126" customWidth="1"/>
    <col min="14861" max="14861" width="9.88671875" style="126" customWidth="1"/>
    <col min="14862" max="14862" width="8.33203125" style="126" customWidth="1"/>
    <col min="14863" max="14863" width="7.21875" style="126" customWidth="1"/>
    <col min="14864" max="14864" width="8.44140625" style="126" customWidth="1"/>
    <col min="14865" max="14865" width="10.109375" style="126" customWidth="1"/>
    <col min="14866" max="15104" width="8.88671875" style="126"/>
    <col min="15105" max="15105" width="10.21875" style="126" customWidth="1"/>
    <col min="15106" max="15106" width="20.109375" style="126" customWidth="1"/>
    <col min="15107" max="15107" width="26" style="126" customWidth="1"/>
    <col min="15108" max="15108" width="14.109375" style="126" customWidth="1"/>
    <col min="15109" max="15109" width="10.109375" style="126" customWidth="1"/>
    <col min="15110" max="15110" width="12.88671875" style="126" customWidth="1"/>
    <col min="15111" max="15111" width="9.77734375" style="126" customWidth="1"/>
    <col min="15112" max="15112" width="7.44140625" style="126" customWidth="1"/>
    <col min="15113" max="15113" width="9.44140625" style="126" customWidth="1"/>
    <col min="15114" max="15114" width="13.77734375" style="126" customWidth="1"/>
    <col min="15115" max="15115" width="7.44140625" style="126" customWidth="1"/>
    <col min="15116" max="15116" width="9.6640625" style="126" customWidth="1"/>
    <col min="15117" max="15117" width="9.88671875" style="126" customWidth="1"/>
    <col min="15118" max="15118" width="8.33203125" style="126" customWidth="1"/>
    <col min="15119" max="15119" width="7.21875" style="126" customWidth="1"/>
    <col min="15120" max="15120" width="8.44140625" style="126" customWidth="1"/>
    <col min="15121" max="15121" width="10.109375" style="126" customWidth="1"/>
    <col min="15122" max="15360" width="8.88671875" style="126"/>
    <col min="15361" max="15361" width="10.21875" style="126" customWidth="1"/>
    <col min="15362" max="15362" width="20.109375" style="126" customWidth="1"/>
    <col min="15363" max="15363" width="26" style="126" customWidth="1"/>
    <col min="15364" max="15364" width="14.109375" style="126" customWidth="1"/>
    <col min="15365" max="15365" width="10.109375" style="126" customWidth="1"/>
    <col min="15366" max="15366" width="12.88671875" style="126" customWidth="1"/>
    <col min="15367" max="15367" width="9.77734375" style="126" customWidth="1"/>
    <col min="15368" max="15368" width="7.44140625" style="126" customWidth="1"/>
    <col min="15369" max="15369" width="9.44140625" style="126" customWidth="1"/>
    <col min="15370" max="15370" width="13.77734375" style="126" customWidth="1"/>
    <col min="15371" max="15371" width="7.44140625" style="126" customWidth="1"/>
    <col min="15372" max="15372" width="9.6640625" style="126" customWidth="1"/>
    <col min="15373" max="15373" width="9.88671875" style="126" customWidth="1"/>
    <col min="15374" max="15374" width="8.33203125" style="126" customWidth="1"/>
    <col min="15375" max="15375" width="7.21875" style="126" customWidth="1"/>
    <col min="15376" max="15376" width="8.44140625" style="126" customWidth="1"/>
    <col min="15377" max="15377" width="10.109375" style="126" customWidth="1"/>
    <col min="15378" max="15616" width="8.88671875" style="126"/>
    <col min="15617" max="15617" width="10.21875" style="126" customWidth="1"/>
    <col min="15618" max="15618" width="20.109375" style="126" customWidth="1"/>
    <col min="15619" max="15619" width="26" style="126" customWidth="1"/>
    <col min="15620" max="15620" width="14.109375" style="126" customWidth="1"/>
    <col min="15621" max="15621" width="10.109375" style="126" customWidth="1"/>
    <col min="15622" max="15622" width="12.88671875" style="126" customWidth="1"/>
    <col min="15623" max="15623" width="9.77734375" style="126" customWidth="1"/>
    <col min="15624" max="15624" width="7.44140625" style="126" customWidth="1"/>
    <col min="15625" max="15625" width="9.44140625" style="126" customWidth="1"/>
    <col min="15626" max="15626" width="13.77734375" style="126" customWidth="1"/>
    <col min="15627" max="15627" width="7.44140625" style="126" customWidth="1"/>
    <col min="15628" max="15628" width="9.6640625" style="126" customWidth="1"/>
    <col min="15629" max="15629" width="9.88671875" style="126" customWidth="1"/>
    <col min="15630" max="15630" width="8.33203125" style="126" customWidth="1"/>
    <col min="15631" max="15631" width="7.21875" style="126" customWidth="1"/>
    <col min="15632" max="15632" width="8.44140625" style="126" customWidth="1"/>
    <col min="15633" max="15633" width="10.109375" style="126" customWidth="1"/>
    <col min="15634" max="15872" width="8.88671875" style="126"/>
    <col min="15873" max="15873" width="10.21875" style="126" customWidth="1"/>
    <col min="15874" max="15874" width="20.109375" style="126" customWidth="1"/>
    <col min="15875" max="15875" width="26" style="126" customWidth="1"/>
    <col min="15876" max="15876" width="14.109375" style="126" customWidth="1"/>
    <col min="15877" max="15877" width="10.109375" style="126" customWidth="1"/>
    <col min="15878" max="15878" width="12.88671875" style="126" customWidth="1"/>
    <col min="15879" max="15879" width="9.77734375" style="126" customWidth="1"/>
    <col min="15880" max="15880" width="7.44140625" style="126" customWidth="1"/>
    <col min="15881" max="15881" width="9.44140625" style="126" customWidth="1"/>
    <col min="15882" max="15882" width="13.77734375" style="126" customWidth="1"/>
    <col min="15883" max="15883" width="7.44140625" style="126" customWidth="1"/>
    <col min="15884" max="15884" width="9.6640625" style="126" customWidth="1"/>
    <col min="15885" max="15885" width="9.88671875" style="126" customWidth="1"/>
    <col min="15886" max="15886" width="8.33203125" style="126" customWidth="1"/>
    <col min="15887" max="15887" width="7.21875" style="126" customWidth="1"/>
    <col min="15888" max="15888" width="8.44140625" style="126" customWidth="1"/>
    <col min="15889" max="15889" width="10.109375" style="126" customWidth="1"/>
    <col min="15890" max="16128" width="8.88671875" style="126"/>
    <col min="16129" max="16129" width="10.21875" style="126" customWidth="1"/>
    <col min="16130" max="16130" width="20.109375" style="126" customWidth="1"/>
    <col min="16131" max="16131" width="26" style="126" customWidth="1"/>
    <col min="16132" max="16132" width="14.109375" style="126" customWidth="1"/>
    <col min="16133" max="16133" width="10.109375" style="126" customWidth="1"/>
    <col min="16134" max="16134" width="12.88671875" style="126" customWidth="1"/>
    <col min="16135" max="16135" width="9.77734375" style="126" customWidth="1"/>
    <col min="16136" max="16136" width="7.44140625" style="126" customWidth="1"/>
    <col min="16137" max="16137" width="9.44140625" style="126" customWidth="1"/>
    <col min="16138" max="16138" width="13.77734375" style="126" customWidth="1"/>
    <col min="16139" max="16139" width="7.44140625" style="126" customWidth="1"/>
    <col min="16140" max="16140" width="9.6640625" style="126" customWidth="1"/>
    <col min="16141" max="16141" width="9.88671875" style="126" customWidth="1"/>
    <col min="16142" max="16142" width="8.33203125" style="126" customWidth="1"/>
    <col min="16143" max="16143" width="7.21875" style="126" customWidth="1"/>
    <col min="16144" max="16144" width="8.44140625" style="126" customWidth="1"/>
    <col min="16145" max="16145" width="10.109375" style="126" customWidth="1"/>
    <col min="16146" max="16384" width="8.88671875" style="126"/>
  </cols>
  <sheetData>
    <row r="1" spans="1:18" ht="24" customHeight="1" x14ac:dyDescent="0.3">
      <c r="A1" s="125" t="s">
        <v>158</v>
      </c>
    </row>
    <row r="2" spans="1:18" ht="24" customHeight="1" x14ac:dyDescent="0.3">
      <c r="A2" s="127" t="s">
        <v>159</v>
      </c>
      <c r="C2" s="411" t="e">
        <f>#REF!</f>
        <v>#REF!</v>
      </c>
      <c r="D2" s="411"/>
      <c r="E2" s="411"/>
      <c r="F2" s="411"/>
      <c r="G2" s="411"/>
    </row>
    <row r="3" spans="1:18" ht="24" customHeight="1" x14ac:dyDescent="0.3">
      <c r="A3" s="127" t="s">
        <v>160</v>
      </c>
      <c r="C3" s="800" t="s">
        <v>634</v>
      </c>
    </row>
    <row r="4" spans="1:18" ht="24" customHeight="1" x14ac:dyDescent="0.3">
      <c r="A4" s="127" t="s">
        <v>161</v>
      </c>
      <c r="C4" s="800" t="s">
        <v>635</v>
      </c>
    </row>
    <row r="5" spans="1:18" ht="24" customHeight="1" x14ac:dyDescent="0.3">
      <c r="A5" s="127" t="s">
        <v>162</v>
      </c>
      <c r="C5" s="800" t="s">
        <v>633</v>
      </c>
    </row>
    <row r="6" spans="1:18" ht="9.75" customHeight="1" x14ac:dyDescent="0.3">
      <c r="A6" s="129"/>
    </row>
    <row r="7" spans="1:18" ht="17.25" customHeight="1" x14ac:dyDescent="0.3">
      <c r="A7" s="1352" t="s">
        <v>240</v>
      </c>
      <c r="B7" s="1353"/>
      <c r="C7" s="1353"/>
    </row>
    <row r="8" spans="1:18" ht="23.25" customHeight="1" x14ac:dyDescent="0.3">
      <c r="A8" s="130" t="s">
        <v>202</v>
      </c>
      <c r="D8" s="436" t="s">
        <v>241</v>
      </c>
      <c r="E8" s="437" t="e">
        <f>#REF!</f>
        <v>#REF!</v>
      </c>
      <c r="F8" s="436" t="s">
        <v>327</v>
      </c>
      <c r="G8" s="438" t="e">
        <f>#REF!</f>
        <v>#REF!</v>
      </c>
      <c r="I8" s="438"/>
      <c r="J8" s="126" t="s">
        <v>242</v>
      </c>
    </row>
    <row r="9" spans="1:18" s="107" customFormat="1" ht="23.25" customHeight="1" x14ac:dyDescent="0.2">
      <c r="A9" s="1354" t="s">
        <v>140</v>
      </c>
      <c r="B9" s="1354" t="s">
        <v>171</v>
      </c>
      <c r="C9" s="1354" t="s">
        <v>172</v>
      </c>
      <c r="D9" s="1355" t="s">
        <v>173</v>
      </c>
      <c r="E9" s="1356"/>
      <c r="F9" s="1357"/>
      <c r="G9" s="1357"/>
      <c r="H9" s="1358"/>
      <c r="I9" s="1331" t="s">
        <v>174</v>
      </c>
      <c r="J9" s="1332"/>
      <c r="K9" s="1332"/>
      <c r="L9" s="1333"/>
      <c r="M9" s="1327" t="s">
        <v>203</v>
      </c>
      <c r="N9" s="1328"/>
      <c r="O9" s="1327" t="s">
        <v>175</v>
      </c>
      <c r="P9" s="1328"/>
      <c r="Q9" s="1322" t="s">
        <v>243</v>
      </c>
    </row>
    <row r="10" spans="1:18" s="134" customFormat="1" ht="114" customHeight="1" x14ac:dyDescent="0.2">
      <c r="A10" s="1354"/>
      <c r="B10" s="1354"/>
      <c r="C10" s="1354"/>
      <c r="D10" s="1327" t="s">
        <v>176</v>
      </c>
      <c r="E10" s="1328"/>
      <c r="F10" s="131" t="s">
        <v>177</v>
      </c>
      <c r="G10" s="131" t="s">
        <v>178</v>
      </c>
      <c r="H10" s="132" t="s">
        <v>179</v>
      </c>
      <c r="I10" s="133" t="s">
        <v>176</v>
      </c>
      <c r="J10" s="133" t="s">
        <v>180</v>
      </c>
      <c r="K10" s="131" t="s">
        <v>178</v>
      </c>
      <c r="L10" s="132" t="s">
        <v>323</v>
      </c>
      <c r="M10" s="1329"/>
      <c r="N10" s="1330"/>
      <c r="O10" s="1329"/>
      <c r="P10" s="1330"/>
      <c r="Q10" s="1323"/>
    </row>
    <row r="11" spans="1:18" s="134" customFormat="1" ht="64.5" customHeight="1" x14ac:dyDescent="0.2">
      <c r="A11" s="1354"/>
      <c r="B11" s="1354"/>
      <c r="C11" s="1354"/>
      <c r="D11" s="131" t="s">
        <v>181</v>
      </c>
      <c r="E11" s="131" t="s">
        <v>182</v>
      </c>
      <c r="F11" s="131" t="s">
        <v>182</v>
      </c>
      <c r="G11" s="135"/>
      <c r="H11" s="136">
        <v>0</v>
      </c>
      <c r="I11" s="133" t="s">
        <v>183</v>
      </c>
      <c r="J11" s="133" t="s">
        <v>183</v>
      </c>
      <c r="K11" s="137">
        <v>0</v>
      </c>
      <c r="L11" s="136">
        <f>-10%*0</f>
        <v>0</v>
      </c>
      <c r="M11" s="131" t="s">
        <v>204</v>
      </c>
      <c r="N11" s="131" t="s">
        <v>205</v>
      </c>
      <c r="O11" s="131" t="s">
        <v>206</v>
      </c>
      <c r="P11" s="131" t="s">
        <v>205</v>
      </c>
      <c r="Q11" s="1324"/>
    </row>
    <row r="12" spans="1:18" ht="36" customHeight="1" x14ac:dyDescent="0.3">
      <c r="A12" s="138" t="s">
        <v>244</v>
      </c>
      <c r="B12" s="139"/>
      <c r="C12" s="139"/>
      <c r="D12" s="139"/>
      <c r="E12" s="139"/>
      <c r="F12" s="139"/>
      <c r="G12" s="139"/>
      <c r="H12" s="139"/>
      <c r="I12" s="139"/>
      <c r="J12" s="139"/>
      <c r="K12" s="139"/>
      <c r="L12" s="139"/>
      <c r="M12" s="139"/>
      <c r="N12" s="139"/>
      <c r="O12" s="139"/>
      <c r="P12" s="139"/>
      <c r="Q12" s="140"/>
    </row>
    <row r="13" spans="1:18" s="107" customFormat="1" ht="33.75" customHeight="1" x14ac:dyDescent="0.2">
      <c r="A13" s="141" t="s">
        <v>37</v>
      </c>
      <c r="B13" s="774" t="s">
        <v>668</v>
      </c>
      <c r="C13" s="775" t="s">
        <v>662</v>
      </c>
      <c r="D13" s="777"/>
      <c r="E13" s="778" t="e">
        <f>D13*E8/10^7</f>
        <v>#REF!</v>
      </c>
      <c r="F13" s="779" t="e">
        <f>E13</f>
        <v>#REF!</v>
      </c>
      <c r="G13" s="780"/>
      <c r="H13" s="781" t="e">
        <f>F13*$H$11</f>
        <v>#REF!</v>
      </c>
      <c r="I13" s="782" t="e">
        <f>#REF!/100</f>
        <v>#REF!</v>
      </c>
      <c r="J13" s="782" t="e">
        <f>#REF!/100</f>
        <v>#REF!</v>
      </c>
      <c r="K13" s="780" t="e">
        <f>J13*$K$11</f>
        <v>#REF!</v>
      </c>
      <c r="L13" s="781" t="e">
        <f>-J13*$L$11*0</f>
        <v>#REF!</v>
      </c>
      <c r="M13" s="783"/>
      <c r="N13" s="784"/>
      <c r="O13" s="781" t="e">
        <f>F13+G13+H13+M13</f>
        <v>#REF!</v>
      </c>
      <c r="P13" s="781" t="e">
        <f>J13+K13+L13+N13</f>
        <v>#REF!</v>
      </c>
      <c r="Q13" s="781" t="e">
        <f t="shared" ref="Q13" si="0">O13+P13</f>
        <v>#REF!</v>
      </c>
    </row>
    <row r="14" spans="1:18" s="107" customFormat="1" ht="35.25" customHeight="1" x14ac:dyDescent="0.2">
      <c r="A14" s="407" t="s">
        <v>19</v>
      </c>
      <c r="B14" s="774" t="s">
        <v>667</v>
      </c>
      <c r="C14" s="775" t="s">
        <v>663</v>
      </c>
      <c r="D14" s="785"/>
      <c r="E14" s="778"/>
      <c r="F14" s="779"/>
      <c r="G14" s="780"/>
      <c r="H14" s="781"/>
      <c r="I14" s="782" t="e">
        <f>#REF!/(100*0.9)</f>
        <v>#REF!</v>
      </c>
      <c r="J14" s="782" t="e">
        <f>I14*0.9</f>
        <v>#REF!</v>
      </c>
      <c r="K14" s="780" t="e">
        <f t="shared" ref="K14:K15" si="1">J14*$K$11</f>
        <v>#REF!</v>
      </c>
      <c r="L14" s="781" t="e">
        <f t="shared" ref="L14:L15" si="2">-J14*$L$11*0</f>
        <v>#REF!</v>
      </c>
      <c r="M14" s="783"/>
      <c r="N14" s="784"/>
      <c r="O14" s="781">
        <f t="shared" ref="O14" si="3">F14+G14+H14+M14</f>
        <v>0</v>
      </c>
      <c r="P14" s="781" t="e">
        <f t="shared" ref="P14" si="4">J14+K14+L14+N14</f>
        <v>#REF!</v>
      </c>
      <c r="Q14" s="781" t="e">
        <f>P14</f>
        <v>#REF!</v>
      </c>
    </row>
    <row r="15" spans="1:18" s="107" customFormat="1" ht="46.5" customHeight="1" x14ac:dyDescent="0.2">
      <c r="A15" s="407" t="s">
        <v>20</v>
      </c>
      <c r="B15" s="774" t="s">
        <v>666</v>
      </c>
      <c r="C15" s="775" t="s">
        <v>530</v>
      </c>
      <c r="D15" s="786"/>
      <c r="E15" s="779"/>
      <c r="F15" s="779"/>
      <c r="G15" s="780"/>
      <c r="H15" s="781"/>
      <c r="I15" s="782" t="e">
        <f>#REF!/10^7</f>
        <v>#REF!</v>
      </c>
      <c r="J15" s="782" t="e">
        <f>#REF!/100</f>
        <v>#REF!</v>
      </c>
      <c r="K15" s="780" t="e">
        <f t="shared" si="1"/>
        <v>#REF!</v>
      </c>
      <c r="L15" s="781" t="e">
        <f t="shared" si="2"/>
        <v>#REF!</v>
      </c>
      <c r="M15" s="787"/>
      <c r="N15" s="784"/>
      <c r="O15" s="781">
        <f>F15+G15+H15+M15</f>
        <v>0</v>
      </c>
      <c r="P15" s="781" t="e">
        <f>J15+K15+L15+N15</f>
        <v>#REF!</v>
      </c>
      <c r="Q15" s="781" t="e">
        <f>P15</f>
        <v>#REF!</v>
      </c>
      <c r="R15" s="771" t="s">
        <v>665</v>
      </c>
    </row>
    <row r="16" spans="1:18" s="107" customFormat="1" ht="32.25" customHeight="1" x14ac:dyDescent="0.2">
      <c r="A16" s="407" t="s">
        <v>21</v>
      </c>
      <c r="B16" s="773" t="s">
        <v>664</v>
      </c>
      <c r="C16" s="775" t="s">
        <v>530</v>
      </c>
      <c r="D16" s="788" t="s">
        <v>669</v>
      </c>
      <c r="E16" s="779" t="e">
        <f>12000000*E8/10^7</f>
        <v>#REF!</v>
      </c>
      <c r="F16" s="779" t="e">
        <f>E16*0.9</f>
        <v>#REF!</v>
      </c>
      <c r="G16" s="780"/>
      <c r="H16" s="781"/>
      <c r="I16" s="782"/>
      <c r="J16" s="782"/>
      <c r="K16" s="780"/>
      <c r="L16" s="781"/>
      <c r="M16" s="783"/>
      <c r="N16" s="784"/>
      <c r="O16" s="781"/>
      <c r="P16" s="781" t="e">
        <f>F16</f>
        <v>#REF!</v>
      </c>
      <c r="Q16" s="789" t="s">
        <v>514</v>
      </c>
    </row>
    <row r="17" spans="1:19" s="107" customFormat="1" ht="33" customHeight="1" x14ac:dyDescent="0.2">
      <c r="A17" s="106" t="s">
        <v>22</v>
      </c>
      <c r="B17" s="773" t="s">
        <v>678</v>
      </c>
      <c r="C17" s="776" t="s">
        <v>317</v>
      </c>
      <c r="D17" s="790"/>
      <c r="E17" s="791"/>
      <c r="F17" s="781"/>
      <c r="G17" s="780"/>
      <c r="H17" s="780"/>
      <c r="I17" s="792"/>
      <c r="J17" s="792"/>
      <c r="K17" s="780"/>
      <c r="L17" s="780"/>
      <c r="M17" s="784"/>
      <c r="N17" s="793" t="e">
        <f>(#REF!/100+#REF!/100-Q13-Q14-Q15)</f>
        <v>#REF!</v>
      </c>
      <c r="O17" s="781"/>
      <c r="P17" s="781" t="e">
        <f t="shared" ref="P17" si="5">J17+K17+L17+N17</f>
        <v>#REF!</v>
      </c>
      <c r="Q17" s="781" t="e">
        <f t="shared" ref="Q17" si="6">O17+P17</f>
        <v>#REF!</v>
      </c>
      <c r="R17" s="107" t="s">
        <v>0</v>
      </c>
      <c r="S17" s="107" t="s">
        <v>0</v>
      </c>
    </row>
    <row r="18" spans="1:19" s="107" customFormat="1" ht="20.25" customHeight="1" x14ac:dyDescent="0.2">
      <c r="A18" s="150"/>
      <c r="B18" s="663" t="s">
        <v>207</v>
      </c>
      <c r="C18" s="664"/>
      <c r="D18" s="794"/>
      <c r="E18" s="780"/>
      <c r="F18" s="781" t="e">
        <f>SUM(F13:F13)*0</f>
        <v>#REF!</v>
      </c>
      <c r="G18" s="795"/>
      <c r="H18" s="780"/>
      <c r="I18" s="780"/>
      <c r="J18" s="781" t="e">
        <f>SUM(J13:J13)*0</f>
        <v>#REF!</v>
      </c>
      <c r="K18" s="796"/>
      <c r="L18" s="780"/>
      <c r="M18" s="780"/>
      <c r="N18" s="780">
        <f>SUM(N13:N13)*0</f>
        <v>0</v>
      </c>
      <c r="O18" s="797" t="e">
        <f>SUM(O13:O17)*0</f>
        <v>#REF!</v>
      </c>
      <c r="P18" s="798" t="e">
        <f>SUM(P13+P14+P15+P17)</f>
        <v>#REF!</v>
      </c>
      <c r="Q18" s="797" t="e">
        <f>SUM(Q13:Q17)</f>
        <v>#REF!</v>
      </c>
      <c r="S18" s="146"/>
    </row>
    <row r="19" spans="1:19" customFormat="1" x14ac:dyDescent="0.2">
      <c r="A19" s="650" t="s">
        <v>511</v>
      </c>
      <c r="B19" s="651"/>
      <c r="C19" s="651"/>
      <c r="D19" s="651"/>
      <c r="E19" s="651"/>
      <c r="F19" s="651"/>
      <c r="G19" s="651"/>
      <c r="H19" s="651"/>
      <c r="I19" s="651"/>
      <c r="J19" s="651"/>
      <c r="K19" s="651"/>
      <c r="L19" s="651"/>
      <c r="M19" s="651"/>
      <c r="N19" s="651"/>
      <c r="O19" s="651"/>
      <c r="P19" s="651"/>
      <c r="Q19" s="652"/>
    </row>
    <row r="20" spans="1:19" customFormat="1" ht="65.25" customHeight="1" x14ac:dyDescent="0.2">
      <c r="A20" s="653" t="s">
        <v>506</v>
      </c>
      <c r="B20" s="654" t="s">
        <v>512</v>
      </c>
      <c r="C20" s="655" t="s">
        <v>513</v>
      </c>
      <c r="D20" s="656"/>
      <c r="E20" s="657">
        <v>0</v>
      </c>
      <c r="F20" s="658"/>
      <c r="G20" s="659"/>
      <c r="H20" s="659"/>
      <c r="I20" s="658"/>
      <c r="J20" s="660">
        <v>0</v>
      </c>
      <c r="K20" s="661"/>
      <c r="L20" s="659"/>
      <c r="M20" s="659"/>
      <c r="N20" s="660"/>
      <c r="O20" s="658">
        <v>0</v>
      </c>
      <c r="P20" s="658">
        <v>0</v>
      </c>
      <c r="Q20" s="662" t="s">
        <v>514</v>
      </c>
    </row>
    <row r="21" spans="1:19" customFormat="1" ht="64.5" customHeight="1" x14ac:dyDescent="0.2">
      <c r="A21" s="653" t="s">
        <v>507</v>
      </c>
      <c r="B21" s="654" t="s">
        <v>515</v>
      </c>
      <c r="C21" s="655" t="s">
        <v>516</v>
      </c>
      <c r="D21" s="656"/>
      <c r="E21" s="657"/>
      <c r="F21" s="658"/>
      <c r="G21" s="659"/>
      <c r="H21" s="659"/>
      <c r="I21" s="658"/>
      <c r="J21" s="660"/>
      <c r="K21" s="661"/>
      <c r="L21" s="659"/>
      <c r="M21" s="659"/>
      <c r="N21" s="660"/>
      <c r="O21" s="658"/>
      <c r="P21" s="658"/>
      <c r="Q21" s="662" t="s">
        <v>514</v>
      </c>
    </row>
    <row r="22" spans="1:19" s="107" customFormat="1" ht="20.25" customHeight="1" x14ac:dyDescent="0.2">
      <c r="A22" s="147"/>
      <c r="B22" s="643"/>
      <c r="C22" s="644"/>
      <c r="D22" s="148"/>
      <c r="E22" s="149"/>
      <c r="F22" s="645"/>
      <c r="G22" s="646"/>
      <c r="H22" s="149"/>
      <c r="I22" s="149"/>
      <c r="J22" s="645"/>
      <c r="K22" s="647"/>
      <c r="L22" s="149"/>
      <c r="M22" s="149"/>
      <c r="N22" s="149"/>
      <c r="O22" s="648"/>
      <c r="P22" s="649"/>
      <c r="Q22" s="648"/>
      <c r="S22" s="146"/>
    </row>
    <row r="23" spans="1:19" s="107" customFormat="1" ht="18.75" customHeight="1" x14ac:dyDescent="0.2">
      <c r="A23" s="155"/>
      <c r="B23" s="665"/>
      <c r="C23" s="158"/>
      <c r="D23" s="666"/>
      <c r="E23" s="169"/>
      <c r="F23" s="169"/>
      <c r="G23" s="169"/>
      <c r="H23" s="169"/>
      <c r="I23" s="169"/>
      <c r="J23" s="169"/>
      <c r="K23" s="169"/>
      <c r="L23" s="169"/>
      <c r="M23" s="169"/>
      <c r="N23" s="169"/>
      <c r="O23" s="169"/>
      <c r="P23" s="169"/>
      <c r="Q23" s="169"/>
      <c r="R23" s="433" t="e">
        <f>(Q13+Q14+Q15)/Q18</f>
        <v>#REF!</v>
      </c>
      <c r="S23" s="433" t="e">
        <f>Q17/Q18</f>
        <v>#REF!</v>
      </c>
    </row>
    <row r="24" spans="1:19" ht="64.5" hidden="1" customHeight="1" x14ac:dyDescent="0.3">
      <c r="A24" s="1361" t="s">
        <v>184</v>
      </c>
      <c r="B24" s="1362"/>
      <c r="C24" s="1362"/>
      <c r="D24" s="1362"/>
      <c r="E24" s="1362"/>
      <c r="F24" s="1362"/>
      <c r="G24" s="1362"/>
      <c r="H24" s="1362"/>
      <c r="I24" s="1362"/>
      <c r="J24" s="1362"/>
      <c r="K24" s="1362"/>
      <c r="L24" s="1362"/>
      <c r="M24" s="1362"/>
      <c r="N24" s="1362"/>
      <c r="O24" s="1362"/>
      <c r="P24" s="1362"/>
      <c r="Q24" s="1363"/>
    </row>
    <row r="25" spans="1:19" s="107" customFormat="1" ht="43.5" hidden="1" customHeight="1" x14ac:dyDescent="0.2">
      <c r="A25" s="150"/>
      <c r="B25" s="151" t="s">
        <v>208</v>
      </c>
      <c r="C25" s="152"/>
      <c r="D25" s="142"/>
      <c r="E25" s="143" t="e">
        <f>D25*$E$8/10^7</f>
        <v>#REF!</v>
      </c>
      <c r="F25" s="145"/>
      <c r="G25" s="144"/>
      <c r="H25" s="144"/>
      <c r="I25" s="145"/>
      <c r="J25" s="764">
        <f>I25</f>
        <v>0</v>
      </c>
      <c r="K25" s="765"/>
      <c r="L25" s="144"/>
      <c r="M25" s="144"/>
      <c r="N25" s="153"/>
      <c r="O25" s="145">
        <f t="shared" ref="O25" si="7">F25+G25+H25+M25</f>
        <v>0</v>
      </c>
      <c r="P25" s="145">
        <f>J25+K25+L25+N25</f>
        <v>0</v>
      </c>
      <c r="Q25" s="145">
        <f t="shared" ref="Q25" si="8">O25+P25</f>
        <v>0</v>
      </c>
    </row>
    <row r="26" spans="1:19" s="107" customFormat="1" ht="21" thickBot="1" x14ac:dyDescent="0.25">
      <c r="A26" s="154"/>
      <c r="D26" s="107" t="s">
        <v>185</v>
      </c>
      <c r="I26" s="155"/>
      <c r="J26" s="1325"/>
      <c r="K26" s="1325"/>
      <c r="P26" s="107" t="s">
        <v>657</v>
      </c>
    </row>
    <row r="27" spans="1:19" s="107" customFormat="1" ht="33" customHeight="1" thickBot="1" x14ac:dyDescent="0.25">
      <c r="A27" s="156" t="s">
        <v>186</v>
      </c>
      <c r="B27" s="1359" t="s">
        <v>320</v>
      </c>
      <c r="C27" s="1359"/>
      <c r="D27" s="157" t="e">
        <f>Q18</f>
        <v>#REF!</v>
      </c>
      <c r="F27" s="1365" t="s">
        <v>658</v>
      </c>
      <c r="G27" s="1365"/>
      <c r="H27" s="1365"/>
      <c r="I27" s="1365"/>
      <c r="J27" s="1365"/>
      <c r="K27" s="1365"/>
      <c r="L27" s="1365"/>
      <c r="M27" s="1365"/>
      <c r="N27" s="1365"/>
      <c r="O27" s="1366"/>
      <c r="P27" s="157">
        <v>164.10636830242748</v>
      </c>
      <c r="Q27" s="158"/>
    </row>
    <row r="28" spans="1:19" s="107" customFormat="1" ht="24" customHeight="1" x14ac:dyDescent="0.2">
      <c r="A28" s="159" t="s">
        <v>187</v>
      </c>
      <c r="B28" s="1360" t="s">
        <v>188</v>
      </c>
      <c r="C28" s="1360"/>
      <c r="D28" s="155"/>
      <c r="E28" s="155"/>
      <c r="F28" s="155"/>
      <c r="G28" s="155"/>
      <c r="H28" s="155"/>
      <c r="I28" s="155"/>
      <c r="J28" s="155"/>
      <c r="K28" s="155"/>
      <c r="L28" s="155"/>
      <c r="M28" s="155"/>
      <c r="N28" s="155"/>
      <c r="O28" s="155" t="s">
        <v>0</v>
      </c>
      <c r="P28" s="155"/>
      <c r="Q28" s="155"/>
    </row>
    <row r="29" spans="1:19" ht="47.25" customHeight="1" x14ac:dyDescent="0.3">
      <c r="A29" s="766" t="s">
        <v>651</v>
      </c>
      <c r="B29" s="1368" t="s">
        <v>677</v>
      </c>
      <c r="C29" s="1368"/>
      <c r="D29" s="1368"/>
      <c r="E29" s="1368"/>
      <c r="F29" s="1368"/>
      <c r="G29" s="1368"/>
      <c r="H29" s="1368"/>
      <c r="I29" s="1368"/>
      <c r="J29" s="1368"/>
      <c r="K29" s="1368"/>
      <c r="L29" s="1368"/>
      <c r="M29" s="1368"/>
      <c r="N29" s="1368"/>
      <c r="O29" s="1368"/>
      <c r="P29" s="1368"/>
      <c r="Q29" s="1368"/>
    </row>
    <row r="30" spans="1:19" ht="27" customHeight="1" x14ac:dyDescent="0.3">
      <c r="A30" s="767" t="s">
        <v>652</v>
      </c>
      <c r="B30" s="1349" t="s">
        <v>650</v>
      </c>
      <c r="C30" s="1349"/>
      <c r="D30" s="1349"/>
      <c r="E30" s="1349"/>
      <c r="F30" s="1349"/>
      <c r="G30" s="1349"/>
      <c r="H30" s="1349"/>
      <c r="I30" s="1349"/>
      <c r="J30" s="1349"/>
      <c r="K30" s="1349"/>
      <c r="L30" s="1349"/>
      <c r="M30" s="1349"/>
      <c r="N30" s="1349"/>
      <c r="O30" s="1349"/>
      <c r="P30" s="1349"/>
      <c r="Q30" s="1349"/>
    </row>
    <row r="31" spans="1:19" ht="65.25" customHeight="1" x14ac:dyDescent="0.3">
      <c r="A31" s="767" t="s">
        <v>653</v>
      </c>
      <c r="B31" s="1334" t="s">
        <v>679</v>
      </c>
      <c r="C31" s="1334"/>
      <c r="D31" s="1334"/>
      <c r="E31" s="1334"/>
      <c r="F31" s="1334"/>
      <c r="G31" s="1334"/>
      <c r="H31" s="1334"/>
      <c r="I31" s="1334"/>
      <c r="J31" s="1334"/>
      <c r="K31" s="1334"/>
      <c r="L31" s="1334"/>
      <c r="M31" s="1334"/>
      <c r="N31" s="1334"/>
      <c r="O31" s="1334"/>
      <c r="P31" s="1334"/>
      <c r="Q31" s="1334"/>
    </row>
    <row r="32" spans="1:19" ht="36.75" customHeight="1" x14ac:dyDescent="0.3">
      <c r="A32" s="767" t="s">
        <v>654</v>
      </c>
      <c r="B32" s="1334" t="s">
        <v>696</v>
      </c>
      <c r="C32" s="1334"/>
      <c r="D32" s="1334"/>
      <c r="E32" s="1334"/>
      <c r="F32" s="1334"/>
      <c r="G32" s="1334"/>
      <c r="H32" s="1334"/>
      <c r="I32" s="1334"/>
      <c r="J32" s="1334"/>
      <c r="K32" s="1334"/>
      <c r="L32" s="1334"/>
      <c r="M32" s="1334"/>
      <c r="N32" s="1334"/>
      <c r="O32" s="1334"/>
      <c r="P32" s="1334"/>
      <c r="Q32" s="1334"/>
    </row>
    <row r="33" spans="1:17" ht="45" customHeight="1" x14ac:dyDescent="0.3">
      <c r="A33" s="767" t="s">
        <v>655</v>
      </c>
      <c r="B33" s="1326" t="s">
        <v>689</v>
      </c>
      <c r="C33" s="1326"/>
      <c r="D33" s="1326"/>
      <c r="E33" s="1326"/>
      <c r="F33" s="1326"/>
      <c r="G33" s="1326"/>
      <c r="H33" s="1326"/>
      <c r="I33" s="1326"/>
      <c r="J33" s="1326"/>
      <c r="K33" s="1326"/>
      <c r="L33" s="1326"/>
      <c r="M33" s="1326"/>
      <c r="N33" s="1326"/>
      <c r="O33" s="1326"/>
      <c r="P33" s="1326"/>
      <c r="Q33" s="1326"/>
    </row>
    <row r="34" spans="1:17" ht="46.5" customHeight="1" x14ac:dyDescent="0.3">
      <c r="A34" s="767" t="s">
        <v>670</v>
      </c>
      <c r="B34" s="1326" t="s">
        <v>676</v>
      </c>
      <c r="C34" s="1326"/>
      <c r="D34" s="1326"/>
      <c r="E34" s="1326"/>
      <c r="F34" s="1326"/>
      <c r="G34" s="1326"/>
      <c r="H34" s="1326"/>
      <c r="I34" s="1326"/>
      <c r="J34" s="1326"/>
      <c r="K34" s="1326"/>
      <c r="L34" s="1326"/>
      <c r="M34" s="1326"/>
      <c r="N34" s="1326"/>
      <c r="O34" s="1326"/>
      <c r="P34" s="1326"/>
      <c r="Q34" s="1326"/>
    </row>
    <row r="35" spans="1:17" ht="48" customHeight="1" x14ac:dyDescent="0.3">
      <c r="A35" s="767" t="s">
        <v>671</v>
      </c>
      <c r="B35" s="1326" t="s">
        <v>680</v>
      </c>
      <c r="C35" s="1326"/>
      <c r="D35" s="1326"/>
      <c r="E35" s="1326"/>
      <c r="F35" s="1326"/>
      <c r="G35" s="1326"/>
      <c r="H35" s="1326"/>
      <c r="I35" s="1326"/>
      <c r="J35" s="1326"/>
      <c r="K35" s="1326"/>
      <c r="L35" s="1326"/>
      <c r="M35" s="1326"/>
      <c r="N35" s="1326"/>
      <c r="O35" s="1326"/>
      <c r="P35" s="1326"/>
      <c r="Q35" s="1326"/>
    </row>
    <row r="36" spans="1:17" ht="35.25" customHeight="1" x14ac:dyDescent="0.3">
      <c r="A36" s="767" t="s">
        <v>672</v>
      </c>
      <c r="B36" s="1326" t="s">
        <v>697</v>
      </c>
      <c r="C36" s="1326"/>
      <c r="D36" s="1326"/>
      <c r="E36" s="1326"/>
      <c r="F36" s="1326"/>
      <c r="G36" s="1326"/>
      <c r="H36" s="1326"/>
      <c r="I36" s="1326"/>
      <c r="J36" s="1326"/>
      <c r="K36" s="1326"/>
      <c r="L36" s="1326"/>
      <c r="M36" s="1326"/>
      <c r="N36" s="1326"/>
      <c r="O36" s="1326"/>
      <c r="P36" s="1326"/>
      <c r="Q36" s="1326"/>
    </row>
    <row r="37" spans="1:17" ht="42.75" customHeight="1" x14ac:dyDescent="0.3">
      <c r="A37" s="767" t="s">
        <v>673</v>
      </c>
      <c r="B37" s="1326" t="s">
        <v>683</v>
      </c>
      <c r="C37" s="1326"/>
      <c r="D37" s="1326"/>
      <c r="E37" s="1326"/>
      <c r="F37" s="1326"/>
      <c r="G37" s="1326"/>
      <c r="H37" s="1326"/>
      <c r="I37" s="1326"/>
      <c r="J37" s="1326"/>
      <c r="K37" s="1326"/>
      <c r="L37" s="1326"/>
      <c r="M37" s="1326"/>
      <c r="N37" s="1326"/>
      <c r="O37" s="1326"/>
      <c r="P37" s="1326"/>
      <c r="Q37" s="1326"/>
    </row>
    <row r="38" spans="1:17" ht="30" customHeight="1" x14ac:dyDescent="0.3">
      <c r="A38" s="767" t="s">
        <v>681</v>
      </c>
      <c r="B38" s="1348" t="s">
        <v>675</v>
      </c>
      <c r="C38" s="1348"/>
      <c r="D38" s="1348"/>
      <c r="E38" s="1348"/>
      <c r="F38" s="1348"/>
      <c r="G38" s="1348"/>
      <c r="H38" s="1348"/>
      <c r="I38" s="1348"/>
      <c r="J38" s="1348"/>
      <c r="K38" s="1348"/>
      <c r="L38" s="1348"/>
      <c r="M38" s="1348"/>
      <c r="N38" s="1348"/>
      <c r="O38" s="1348"/>
      <c r="P38" s="1348"/>
      <c r="Q38" s="1348"/>
    </row>
    <row r="39" spans="1:17" ht="27.75" customHeight="1" x14ac:dyDescent="0.3">
      <c r="A39" s="767" t="s">
        <v>682</v>
      </c>
      <c r="B39" s="1348" t="s">
        <v>687</v>
      </c>
      <c r="C39" s="1348"/>
      <c r="D39" s="1348"/>
      <c r="E39" s="1348"/>
      <c r="F39" s="1348"/>
      <c r="G39" s="1348"/>
      <c r="H39" s="1348"/>
      <c r="I39" s="1348"/>
      <c r="J39" s="1348"/>
      <c r="K39" s="1348"/>
      <c r="L39" s="1348"/>
      <c r="M39" s="1348"/>
      <c r="N39" s="1348"/>
      <c r="O39" s="1348"/>
      <c r="P39" s="1348"/>
      <c r="Q39" s="1348"/>
    </row>
    <row r="40" spans="1:17" ht="27.75" customHeight="1" x14ac:dyDescent="0.3">
      <c r="A40" s="767" t="s">
        <v>684</v>
      </c>
      <c r="B40" s="1348" t="s">
        <v>688</v>
      </c>
      <c r="C40" s="1348"/>
      <c r="D40" s="1348"/>
      <c r="E40" s="1348"/>
      <c r="F40" s="1348"/>
      <c r="G40" s="1348"/>
      <c r="H40" s="1348"/>
      <c r="I40" s="1348"/>
      <c r="J40" s="1348"/>
      <c r="K40" s="1348"/>
      <c r="L40" s="1348"/>
      <c r="M40" s="1348"/>
      <c r="N40" s="1348"/>
      <c r="O40" s="1348"/>
      <c r="P40" s="1348"/>
      <c r="Q40" s="1348"/>
    </row>
    <row r="41" spans="1:17" ht="33" customHeight="1" x14ac:dyDescent="0.3">
      <c r="A41" s="767" t="s">
        <v>685</v>
      </c>
      <c r="B41" s="1349" t="s">
        <v>686</v>
      </c>
      <c r="C41" s="1349"/>
      <c r="D41" s="1349"/>
      <c r="E41" s="1349"/>
      <c r="F41" s="1349"/>
      <c r="G41" s="1349"/>
      <c r="H41" s="1349"/>
      <c r="I41" s="1349"/>
      <c r="J41" s="1349"/>
      <c r="K41" s="1349"/>
      <c r="L41" s="1349"/>
      <c r="M41" s="1349"/>
      <c r="N41" s="1349"/>
      <c r="O41" s="1349"/>
      <c r="P41" s="1349"/>
      <c r="Q41" s="1349"/>
    </row>
    <row r="42" spans="1:17" ht="27.75" customHeight="1" x14ac:dyDescent="0.3">
      <c r="A42" s="160"/>
      <c r="B42" s="1347"/>
      <c r="C42" s="1347"/>
      <c r="D42" s="1347"/>
      <c r="E42" s="1347"/>
      <c r="F42" s="1347"/>
      <c r="G42" s="1347"/>
      <c r="H42" s="1347"/>
      <c r="I42" s="1347"/>
      <c r="J42" s="1347"/>
      <c r="K42" s="1347"/>
      <c r="L42" s="1347"/>
      <c r="M42" s="1347"/>
      <c r="N42" s="1347"/>
      <c r="O42" s="1347"/>
      <c r="P42" s="1347"/>
      <c r="Q42" s="1347"/>
    </row>
    <row r="43" spans="1:17" ht="21" customHeight="1" thickBot="1" x14ac:dyDescent="0.35">
      <c r="A43" s="130" t="s">
        <v>189</v>
      </c>
      <c r="B43" s="163" t="s">
        <v>245</v>
      </c>
      <c r="D43" s="161"/>
      <c r="E43" s="161"/>
      <c r="F43" s="161"/>
      <c r="G43" s="161"/>
      <c r="H43" s="161"/>
      <c r="I43" s="162"/>
      <c r="J43" s="162"/>
      <c r="K43" s="162"/>
      <c r="L43" s="162"/>
      <c r="M43" s="162"/>
      <c r="N43" s="162"/>
    </row>
    <row r="44" spans="1:17" s="107" customFormat="1" ht="39.75" customHeight="1" thickBot="1" x14ac:dyDescent="0.25">
      <c r="A44" s="1350" t="s">
        <v>140</v>
      </c>
      <c r="B44" s="1350" t="s">
        <v>124</v>
      </c>
      <c r="C44" s="1335" t="s">
        <v>190</v>
      </c>
      <c r="D44" s="1364"/>
      <c r="E44" s="1336"/>
      <c r="F44" s="164" t="s">
        <v>191</v>
      </c>
      <c r="G44" s="1350" t="s">
        <v>4</v>
      </c>
      <c r="H44" s="1341" t="s">
        <v>154</v>
      </c>
      <c r="I44" s="1342"/>
    </row>
    <row r="45" spans="1:17" s="107" customFormat="1" ht="29.25" customHeight="1" thickBot="1" x14ac:dyDescent="0.25">
      <c r="A45" s="1351"/>
      <c r="B45" s="1351"/>
      <c r="C45" s="165" t="s">
        <v>192</v>
      </c>
      <c r="D45" s="1335" t="s">
        <v>193</v>
      </c>
      <c r="E45" s="1336"/>
      <c r="F45" s="166"/>
      <c r="G45" s="1351"/>
      <c r="H45" s="1343"/>
      <c r="I45" s="1344"/>
    </row>
    <row r="46" spans="1:17" s="107" customFormat="1" ht="39.75" customHeight="1" thickBot="1" x14ac:dyDescent="0.25">
      <c r="A46" s="167">
        <v>1</v>
      </c>
      <c r="B46" s="772" t="s">
        <v>649</v>
      </c>
      <c r="C46" s="168" t="e">
        <f>O18</f>
        <v>#REF!</v>
      </c>
      <c r="D46" s="1337" t="e">
        <f>Q18+#REF!/100</f>
        <v>#REF!</v>
      </c>
      <c r="E46" s="1336"/>
      <c r="F46" s="169"/>
      <c r="G46" s="170" t="e">
        <f>C46+D46+F46</f>
        <v>#REF!</v>
      </c>
      <c r="H46" s="1339" t="s">
        <v>246</v>
      </c>
      <c r="I46" s="1340"/>
    </row>
    <row r="47" spans="1:17" s="107" customFormat="1" ht="27" customHeight="1" thickBot="1" x14ac:dyDescent="0.25">
      <c r="A47" s="171">
        <f>A46+1</f>
        <v>2</v>
      </c>
      <c r="B47" s="172" t="s">
        <v>194</v>
      </c>
      <c r="C47" s="173"/>
      <c r="D47" s="1337" t="e">
        <f>#REF!</f>
        <v>#REF!</v>
      </c>
      <c r="E47" s="1338"/>
      <c r="F47" s="174" t="e">
        <f>(D47+C47)*$F$45</f>
        <v>#REF!</v>
      </c>
      <c r="G47" s="170" t="e">
        <f>C47+D47+F47</f>
        <v>#REF!</v>
      </c>
      <c r="H47" s="1345" t="s">
        <v>636</v>
      </c>
      <c r="I47" s="1346"/>
    </row>
    <row r="48" spans="1:17" s="107" customFormat="1" ht="27" customHeight="1" thickBot="1" x14ac:dyDescent="0.25">
      <c r="A48" s="171">
        <f t="shared" ref="A48:A58" si="9">A47+1</f>
        <v>3</v>
      </c>
      <c r="B48" s="172" t="s">
        <v>153</v>
      </c>
      <c r="C48" s="173" t="e">
        <f>#REF!</f>
        <v>#REF!</v>
      </c>
      <c r="D48" s="1337" t="e">
        <f>#REF!-#REF!</f>
        <v>#REF!</v>
      </c>
      <c r="E48" s="1338"/>
      <c r="F48" s="174" t="e">
        <f t="shared" ref="F48:F57" si="10">(D48+C48)*$F$45</f>
        <v>#REF!</v>
      </c>
      <c r="G48" s="170" t="e">
        <f t="shared" ref="G48:G59" si="11">C48+D48+F48</f>
        <v>#REF!</v>
      </c>
      <c r="H48" s="1335"/>
      <c r="I48" s="1336"/>
    </row>
    <row r="49" spans="1:16" s="107" customFormat="1" ht="24.75" customHeight="1" thickBot="1" x14ac:dyDescent="0.25">
      <c r="A49" s="171">
        <f t="shared" si="9"/>
        <v>4</v>
      </c>
      <c r="B49" s="172" t="s">
        <v>195</v>
      </c>
      <c r="C49" s="168" t="e">
        <f>#REF!</f>
        <v>#REF!</v>
      </c>
      <c r="D49" s="1337" t="e">
        <f>#REF!-#REF!</f>
        <v>#REF!</v>
      </c>
      <c r="E49" s="1338"/>
      <c r="F49" s="174" t="e">
        <f t="shared" si="10"/>
        <v>#REF!</v>
      </c>
      <c r="G49" s="170" t="e">
        <f t="shared" si="11"/>
        <v>#REF!</v>
      </c>
      <c r="H49" s="1345" t="s">
        <v>692</v>
      </c>
      <c r="I49" s="1346"/>
    </row>
    <row r="50" spans="1:16" s="107" customFormat="1" ht="27" customHeight="1" thickBot="1" x14ac:dyDescent="0.25">
      <c r="A50" s="171">
        <f t="shared" si="9"/>
        <v>5</v>
      </c>
      <c r="B50" s="172" t="s">
        <v>25</v>
      </c>
      <c r="C50" s="168" t="e">
        <f>#REF!</f>
        <v>#REF!</v>
      </c>
      <c r="D50" s="1337" t="e">
        <f>#REF!-#REF!</f>
        <v>#REF!</v>
      </c>
      <c r="E50" s="1338"/>
      <c r="F50" s="174" t="e">
        <f t="shared" si="10"/>
        <v>#REF!</v>
      </c>
      <c r="G50" s="170" t="e">
        <f t="shared" si="11"/>
        <v>#REF!</v>
      </c>
      <c r="H50" s="1335"/>
      <c r="I50" s="1336"/>
    </row>
    <row r="51" spans="1:16" s="107" customFormat="1" ht="63" customHeight="1" thickBot="1" x14ac:dyDescent="0.25">
      <c r="A51" s="171">
        <f t="shared" si="9"/>
        <v>6</v>
      </c>
      <c r="B51" s="172" t="s">
        <v>196</v>
      </c>
      <c r="C51" s="173"/>
      <c r="D51" s="1382" t="e">
        <f>#REF!</f>
        <v>#REF!</v>
      </c>
      <c r="E51" s="1383"/>
      <c r="F51" s="174" t="e">
        <f t="shared" si="10"/>
        <v>#REF!</v>
      </c>
      <c r="G51" s="170" t="e">
        <f t="shared" si="11"/>
        <v>#REF!</v>
      </c>
      <c r="H51" s="1377" t="s">
        <v>695</v>
      </c>
      <c r="I51" s="1378"/>
    </row>
    <row r="52" spans="1:16" s="107" customFormat="1" ht="67.5" customHeight="1" thickBot="1" x14ac:dyDescent="0.25">
      <c r="A52" s="171">
        <f t="shared" si="9"/>
        <v>7</v>
      </c>
      <c r="B52" s="175" t="s">
        <v>209</v>
      </c>
      <c r="C52" s="168" t="e">
        <f>#REF!</f>
        <v>#REF!</v>
      </c>
      <c r="D52" s="1337" t="e">
        <f>#REF!+#REF!</f>
        <v>#REF!</v>
      </c>
      <c r="E52" s="1338"/>
      <c r="F52" s="174" t="e">
        <f t="shared" si="10"/>
        <v>#REF!</v>
      </c>
      <c r="G52" s="170" t="e">
        <f t="shared" si="11"/>
        <v>#REF!</v>
      </c>
      <c r="H52" s="1377" t="s">
        <v>508</v>
      </c>
      <c r="I52" s="1378"/>
    </row>
    <row r="53" spans="1:16" s="107" customFormat="1" ht="27.75" customHeight="1" thickBot="1" x14ac:dyDescent="0.25">
      <c r="A53" s="171">
        <f t="shared" si="9"/>
        <v>8</v>
      </c>
      <c r="B53" s="799" t="s">
        <v>210</v>
      </c>
      <c r="C53" s="168" t="e">
        <f>#REF!+#REF!</f>
        <v>#REF!</v>
      </c>
      <c r="D53" s="1337" t="e">
        <f>#REF!+#REF!-#REF!-#REF!</f>
        <v>#REF!</v>
      </c>
      <c r="E53" s="1338"/>
      <c r="F53" s="174" t="e">
        <f t="shared" si="10"/>
        <v>#REF!</v>
      </c>
      <c r="G53" s="170" t="e">
        <f t="shared" si="11"/>
        <v>#REF!</v>
      </c>
      <c r="H53" s="1335"/>
      <c r="I53" s="1336"/>
    </row>
    <row r="54" spans="1:16" s="107" customFormat="1" ht="27.75" customHeight="1" thickBot="1" x14ac:dyDescent="0.25">
      <c r="A54" s="171">
        <f t="shared" si="9"/>
        <v>9</v>
      </c>
      <c r="B54" s="172" t="s">
        <v>137</v>
      </c>
      <c r="C54" s="168" t="e">
        <f>#REF!</f>
        <v>#REF!</v>
      </c>
      <c r="D54" s="1380"/>
      <c r="E54" s="1381"/>
      <c r="F54" s="174" t="e">
        <f t="shared" si="10"/>
        <v>#REF!</v>
      </c>
      <c r="G54" s="170" t="e">
        <f t="shared" si="11"/>
        <v>#REF!</v>
      </c>
      <c r="H54" s="1345"/>
      <c r="I54" s="1346"/>
    </row>
    <row r="55" spans="1:16" s="107" customFormat="1" ht="27" customHeight="1" thickBot="1" x14ac:dyDescent="0.25">
      <c r="A55" s="171">
        <f t="shared" si="9"/>
        <v>10</v>
      </c>
      <c r="B55" s="172" t="s">
        <v>197</v>
      </c>
      <c r="C55" s="168" t="e">
        <f>#REF!</f>
        <v>#REF!</v>
      </c>
      <c r="D55" s="1380">
        <v>0</v>
      </c>
      <c r="E55" s="1381"/>
      <c r="F55" s="174" t="e">
        <f t="shared" si="10"/>
        <v>#REF!</v>
      </c>
      <c r="G55" s="170" t="e">
        <f t="shared" si="11"/>
        <v>#REF!</v>
      </c>
      <c r="H55" s="1345"/>
      <c r="I55" s="1346"/>
    </row>
    <row r="56" spans="1:16" s="107" customFormat="1" ht="27" customHeight="1" thickBot="1" x14ac:dyDescent="0.25">
      <c r="A56" s="171">
        <f>A54+1</f>
        <v>10</v>
      </c>
      <c r="B56" s="172" t="s">
        <v>491</v>
      </c>
      <c r="C56" s="168"/>
      <c r="D56" s="1337" t="e">
        <f>#REF!</f>
        <v>#REF!</v>
      </c>
      <c r="E56" s="1338"/>
      <c r="F56" s="174"/>
      <c r="G56" s="170" t="e">
        <f t="shared" si="11"/>
        <v>#REF!</v>
      </c>
      <c r="H56" s="1345"/>
      <c r="I56" s="1346"/>
    </row>
    <row r="57" spans="1:16" s="107" customFormat="1" ht="27.75" customHeight="1" thickBot="1" x14ac:dyDescent="0.25">
      <c r="A57" s="171">
        <f t="shared" si="9"/>
        <v>11</v>
      </c>
      <c r="B57" s="172" t="s">
        <v>248</v>
      </c>
      <c r="C57" s="168" t="e">
        <f>#REF!</f>
        <v>#REF!</v>
      </c>
      <c r="D57" s="1375" t="e">
        <f>#REF!-#REF!</f>
        <v>#REF!</v>
      </c>
      <c r="E57" s="1376"/>
      <c r="F57" s="174" t="e">
        <f t="shared" si="10"/>
        <v>#REF!</v>
      </c>
      <c r="G57" s="170" t="e">
        <f t="shared" si="11"/>
        <v>#REF!</v>
      </c>
      <c r="H57" s="1393" t="s">
        <v>212</v>
      </c>
      <c r="I57" s="1394"/>
    </row>
    <row r="58" spans="1:16" s="107" customFormat="1" ht="27.75" customHeight="1" thickBot="1" x14ac:dyDescent="0.25">
      <c r="A58" s="171">
        <f t="shared" si="9"/>
        <v>12</v>
      </c>
      <c r="B58" s="172" t="s">
        <v>211</v>
      </c>
      <c r="C58" s="168"/>
      <c r="D58" s="1337" t="e">
        <f>#REF!</f>
        <v>#REF!</v>
      </c>
      <c r="E58" s="1338"/>
      <c r="F58" s="176"/>
      <c r="G58" s="170" t="e">
        <f t="shared" si="11"/>
        <v>#REF!</v>
      </c>
      <c r="H58" s="1335"/>
      <c r="I58" s="1336"/>
    </row>
    <row r="59" spans="1:16" s="107" customFormat="1" ht="27.75" customHeight="1" thickBot="1" x14ac:dyDescent="0.25">
      <c r="A59" s="171">
        <v>14</v>
      </c>
      <c r="B59" s="172" t="s">
        <v>239</v>
      </c>
      <c r="C59" s="172"/>
      <c r="D59" s="1337" t="e">
        <f>-#REF!</f>
        <v>#REF!</v>
      </c>
      <c r="E59" s="1338"/>
      <c r="F59" s="176"/>
      <c r="G59" s="170" t="e">
        <f t="shared" si="11"/>
        <v>#REF!</v>
      </c>
      <c r="H59" s="1335"/>
      <c r="I59" s="1336"/>
    </row>
    <row r="60" spans="1:16" ht="27" customHeight="1" thickBot="1" x14ac:dyDescent="0.35">
      <c r="A60" s="177"/>
      <c r="B60" s="178" t="s">
        <v>4</v>
      </c>
      <c r="C60" s="179" t="e">
        <f>SUM(C46:C59)</f>
        <v>#REF!</v>
      </c>
      <c r="D60" s="1387" t="e">
        <f>SUM(D46:E59)</f>
        <v>#REF!</v>
      </c>
      <c r="E60" s="1388"/>
      <c r="F60" s="180"/>
      <c r="G60" s="181" t="e">
        <f>SUM(G46:G59)</f>
        <v>#REF!</v>
      </c>
      <c r="H60" s="1389"/>
      <c r="I60" s="1390"/>
      <c r="J60" s="162"/>
      <c r="K60" s="162"/>
      <c r="L60" s="162"/>
      <c r="M60" s="162"/>
      <c r="N60" s="162"/>
    </row>
    <row r="61" spans="1:16" ht="21" customHeight="1" x14ac:dyDescent="0.3">
      <c r="A61" s="160"/>
      <c r="D61" s="161"/>
      <c r="E61" s="161"/>
      <c r="F61" s="161"/>
      <c r="G61" s="161"/>
      <c r="H61" s="161"/>
      <c r="I61" s="162"/>
      <c r="J61" s="162"/>
      <c r="K61" s="162"/>
      <c r="L61" s="162"/>
      <c r="M61" s="162"/>
      <c r="N61" s="162"/>
    </row>
    <row r="62" spans="1:16" x14ac:dyDescent="0.3">
      <c r="A62" s="182" t="s">
        <v>318</v>
      </c>
      <c r="N62" s="162"/>
    </row>
    <row r="63" spans="1:16" x14ac:dyDescent="0.3">
      <c r="A63" s="182" t="s">
        <v>674</v>
      </c>
      <c r="N63" s="162"/>
    </row>
    <row r="64" spans="1:16" ht="21" thickBot="1" x14ac:dyDescent="0.35">
      <c r="A64" s="130" t="s">
        <v>691</v>
      </c>
      <c r="F64" s="126" t="s">
        <v>185</v>
      </c>
      <c r="P64" s="126" t="s">
        <v>657</v>
      </c>
    </row>
    <row r="65" spans="1:17" ht="42" customHeight="1" thickBot="1" x14ac:dyDescent="0.35">
      <c r="A65" s="1391" t="s">
        <v>249</v>
      </c>
      <c r="B65" s="1391"/>
      <c r="C65" s="1391"/>
      <c r="D65" s="1391"/>
      <c r="E65" s="1392"/>
      <c r="F65" s="183" t="e">
        <f>G60</f>
        <v>#REF!</v>
      </c>
      <c r="I65" s="1369" t="s">
        <v>656</v>
      </c>
      <c r="J65" s="1369"/>
      <c r="K65" s="1369"/>
      <c r="L65" s="1369"/>
      <c r="M65" s="1369"/>
      <c r="N65" s="1369"/>
      <c r="O65" s="1370"/>
      <c r="P65" s="1371">
        <v>390.46164842492198</v>
      </c>
      <c r="Q65" s="1372"/>
    </row>
    <row r="66" spans="1:17" x14ac:dyDescent="0.3">
      <c r="A66" s="107" t="s">
        <v>198</v>
      </c>
    </row>
    <row r="67" spans="1:17" x14ac:dyDescent="0.3">
      <c r="A67" s="184"/>
    </row>
    <row r="68" spans="1:17" x14ac:dyDescent="0.3">
      <c r="A68" s="128" t="s">
        <v>247</v>
      </c>
    </row>
    <row r="69" spans="1:17" ht="27.95" customHeight="1" x14ac:dyDescent="0.3">
      <c r="A69" s="667" t="s">
        <v>140</v>
      </c>
      <c r="B69" s="667" t="s">
        <v>163</v>
      </c>
      <c r="C69" s="667" t="s">
        <v>164</v>
      </c>
      <c r="D69" s="1379" t="s">
        <v>165</v>
      </c>
      <c r="E69" s="1379"/>
      <c r="F69" s="1379"/>
      <c r="G69" s="1379"/>
    </row>
    <row r="70" spans="1:17" ht="45" customHeight="1" x14ac:dyDescent="0.3">
      <c r="A70" s="408" t="s">
        <v>128</v>
      </c>
      <c r="B70" s="409" t="s">
        <v>364</v>
      </c>
      <c r="C70" s="409" t="s">
        <v>637</v>
      </c>
      <c r="D70" s="1373"/>
      <c r="E70" s="1373"/>
      <c r="F70" s="1373"/>
      <c r="G70" s="1373"/>
    </row>
    <row r="71" spans="1:17" ht="41.25" customHeight="1" x14ac:dyDescent="0.3">
      <c r="A71" s="408" t="s">
        <v>166</v>
      </c>
      <c r="B71" s="409" t="s">
        <v>640</v>
      </c>
      <c r="C71" s="409" t="s">
        <v>641</v>
      </c>
      <c r="D71" s="1373"/>
      <c r="E71" s="1373"/>
      <c r="F71" s="1373"/>
      <c r="G71" s="1373"/>
    </row>
    <row r="72" spans="1:17" ht="41.25" customHeight="1" x14ac:dyDescent="0.3">
      <c r="A72" s="408" t="s">
        <v>167</v>
      </c>
      <c r="B72" s="409" t="s">
        <v>693</v>
      </c>
      <c r="C72" s="409" t="s">
        <v>694</v>
      </c>
      <c r="D72" s="1384"/>
      <c r="E72" s="1385"/>
      <c r="F72" s="1385"/>
      <c r="G72" s="1386"/>
    </row>
    <row r="73" spans="1:17" ht="41.25" customHeight="1" x14ac:dyDescent="0.3">
      <c r="A73" s="408" t="s">
        <v>168</v>
      </c>
      <c r="B73" s="409" t="s">
        <v>642</v>
      </c>
      <c r="C73" s="409" t="s">
        <v>643</v>
      </c>
      <c r="D73" s="1373"/>
      <c r="E73" s="1373"/>
      <c r="F73" s="1373"/>
      <c r="G73" s="1373"/>
    </row>
    <row r="74" spans="1:17" ht="41.25" customHeight="1" x14ac:dyDescent="0.3">
      <c r="A74" s="408" t="s">
        <v>23</v>
      </c>
      <c r="B74" s="409" t="s">
        <v>497</v>
      </c>
      <c r="C74" s="409" t="s">
        <v>638</v>
      </c>
      <c r="D74" s="1373"/>
      <c r="E74" s="1373"/>
      <c r="F74" s="1373"/>
      <c r="G74" s="1373"/>
    </row>
    <row r="75" spans="1:17" ht="36.75" customHeight="1" x14ac:dyDescent="0.3">
      <c r="A75" s="410" t="s">
        <v>169</v>
      </c>
      <c r="B75" s="409" t="s">
        <v>321</v>
      </c>
      <c r="C75" s="409" t="s">
        <v>517</v>
      </c>
      <c r="D75" s="1373"/>
      <c r="E75" s="1373"/>
      <c r="F75" s="1373"/>
      <c r="G75" s="1373"/>
    </row>
    <row r="76" spans="1:17" ht="33.75" customHeight="1" x14ac:dyDescent="0.3">
      <c r="A76" s="410" t="s">
        <v>170</v>
      </c>
      <c r="B76" s="409" t="s">
        <v>644</v>
      </c>
      <c r="C76" s="409" t="s">
        <v>645</v>
      </c>
      <c r="D76" s="1374"/>
      <c r="E76" s="1374"/>
      <c r="F76" s="1374"/>
      <c r="G76" s="1374"/>
    </row>
    <row r="77" spans="1:17" ht="32.25" customHeight="1" x14ac:dyDescent="0.3">
      <c r="A77" s="410" t="s">
        <v>324</v>
      </c>
      <c r="B77" s="409" t="s">
        <v>646</v>
      </c>
      <c r="C77" s="409" t="s">
        <v>647</v>
      </c>
      <c r="D77" s="1374"/>
      <c r="E77" s="1374"/>
      <c r="F77" s="1374"/>
      <c r="G77" s="1374"/>
    </row>
    <row r="78" spans="1:17" ht="32.25" customHeight="1" x14ac:dyDescent="0.3">
      <c r="A78" s="410" t="s">
        <v>518</v>
      </c>
      <c r="B78" s="409" t="s">
        <v>639</v>
      </c>
      <c r="C78" s="409" t="s">
        <v>648</v>
      </c>
      <c r="D78" s="1374"/>
      <c r="E78" s="1374"/>
      <c r="F78" s="1374"/>
      <c r="G78" s="1374"/>
    </row>
    <row r="79" spans="1:17" ht="27.75" customHeight="1" x14ac:dyDescent="0.3">
      <c r="A79" s="410" t="s">
        <v>24</v>
      </c>
      <c r="B79" s="409" t="s">
        <v>519</v>
      </c>
      <c r="C79" s="409" t="s">
        <v>520</v>
      </c>
      <c r="D79" s="1367"/>
      <c r="E79" s="1367"/>
      <c r="F79" s="1367"/>
      <c r="G79" s="1367"/>
    </row>
    <row r="83" spans="2:2" x14ac:dyDescent="0.3">
      <c r="B83" s="126" t="s">
        <v>490</v>
      </c>
    </row>
  </sheetData>
  <mergeCells count="79">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 ref="H51:I51"/>
    <mergeCell ref="D69:G69"/>
    <mergeCell ref="D54:E54"/>
    <mergeCell ref="D55:E55"/>
    <mergeCell ref="D51:E51"/>
    <mergeCell ref="H58:I58"/>
    <mergeCell ref="D58:E58"/>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Q9:Q11"/>
    <mergeCell ref="J26:K26"/>
    <mergeCell ref="B36:Q36"/>
    <mergeCell ref="B37:Q37"/>
    <mergeCell ref="M9:N10"/>
    <mergeCell ref="I9:L9"/>
    <mergeCell ref="B32:Q32"/>
    <mergeCell ref="B31:Q31"/>
    <mergeCell ref="B34:Q34"/>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30"/>
  <sheetViews>
    <sheetView topLeftCell="A49" workbookViewId="0">
      <selection activeCell="G15" sqref="G15"/>
    </sheetView>
  </sheetViews>
  <sheetFormatPr defaultRowHeight="15" x14ac:dyDescent="0.25"/>
  <cols>
    <col min="1" max="1" width="6.44140625" style="189" customWidth="1"/>
    <col min="2" max="2" width="43.33203125" style="189" customWidth="1"/>
    <col min="3" max="3" width="11.109375" style="189" customWidth="1"/>
    <col min="4" max="4" width="13.109375" style="189" customWidth="1"/>
    <col min="5" max="5" width="13.88671875" style="189" customWidth="1"/>
    <col min="6" max="6" width="12.44140625" style="189" customWidth="1"/>
    <col min="7" max="7" width="13" style="189" customWidth="1"/>
    <col min="8" max="8" width="11" style="189" customWidth="1"/>
    <col min="9" max="9" width="9.88671875" style="189" customWidth="1"/>
    <col min="10" max="10" width="11.109375" style="189" customWidth="1"/>
    <col min="11" max="11" width="9.44140625" style="189" customWidth="1"/>
    <col min="12" max="12" width="9.5546875" style="189" customWidth="1"/>
    <col min="13" max="13" width="10.77734375" style="189" customWidth="1"/>
    <col min="14" max="14" width="6.5546875" style="189" customWidth="1"/>
    <col min="15" max="15" width="7.5546875" style="189" customWidth="1"/>
    <col min="16" max="16" width="10.109375" style="189" customWidth="1"/>
    <col min="17" max="17" width="9.44140625" style="189" customWidth="1"/>
    <col min="18" max="18" width="11" style="189" customWidth="1"/>
    <col min="19" max="19" width="14" style="189" customWidth="1"/>
    <col min="20" max="20" width="9.88671875" style="189" customWidth="1"/>
    <col min="21" max="24" width="8.88671875" style="189"/>
    <col min="25" max="25" width="15" style="189" customWidth="1"/>
    <col min="26" max="26" width="6.44140625" style="189" customWidth="1"/>
    <col min="27" max="27" width="5.6640625" style="189" customWidth="1"/>
    <col min="28" max="28" width="9.109375" style="189" customWidth="1"/>
    <col min="29" max="31" width="8.88671875" style="189"/>
    <col min="32" max="32" width="11.6640625" style="189" customWidth="1"/>
    <col min="33" max="256" width="8.88671875" style="189"/>
    <col min="257" max="257" width="6.44140625" style="189" customWidth="1"/>
    <col min="258" max="258" width="43.33203125" style="189" customWidth="1"/>
    <col min="259" max="259" width="11.109375" style="189" customWidth="1"/>
    <col min="260" max="260" width="13.109375" style="189" customWidth="1"/>
    <col min="261" max="261" width="13.88671875" style="189" customWidth="1"/>
    <col min="262" max="262" width="8.33203125" style="189" customWidth="1"/>
    <col min="263" max="263" width="13" style="189" customWidth="1"/>
    <col min="264" max="264" width="8.109375" style="189" customWidth="1"/>
    <col min="265" max="265" width="7.88671875" style="189" customWidth="1"/>
    <col min="266" max="266" width="11.109375" style="189" customWidth="1"/>
    <col min="267" max="267" width="9.44140625" style="189" customWidth="1"/>
    <col min="268" max="268" width="9.5546875" style="189" customWidth="1"/>
    <col min="269" max="269" width="10.77734375" style="189" customWidth="1"/>
    <col min="270" max="270" width="6.5546875" style="189" customWidth="1"/>
    <col min="271" max="271" width="7.5546875" style="189" customWidth="1"/>
    <col min="272" max="272" width="10.109375" style="189" customWidth="1"/>
    <col min="273" max="273" width="9.44140625" style="189" customWidth="1"/>
    <col min="274" max="274" width="11" style="189" customWidth="1"/>
    <col min="275" max="275" width="14" style="189" customWidth="1"/>
    <col min="276" max="276" width="9.88671875" style="189" customWidth="1"/>
    <col min="277" max="280" width="8.88671875" style="189"/>
    <col min="281" max="281" width="15" style="189" customWidth="1"/>
    <col min="282" max="282" width="6.44140625" style="189" customWidth="1"/>
    <col min="283" max="283" width="5.6640625" style="189" customWidth="1"/>
    <col min="284" max="284" width="9.109375" style="189" customWidth="1"/>
    <col min="285" max="287" width="8.88671875" style="189"/>
    <col min="288" max="288" width="11.6640625" style="189" customWidth="1"/>
    <col min="289" max="512" width="8.88671875" style="189"/>
    <col min="513" max="513" width="6.44140625" style="189" customWidth="1"/>
    <col min="514" max="514" width="43.33203125" style="189" customWidth="1"/>
    <col min="515" max="515" width="11.109375" style="189" customWidth="1"/>
    <col min="516" max="516" width="13.109375" style="189" customWidth="1"/>
    <col min="517" max="517" width="13.88671875" style="189" customWidth="1"/>
    <col min="518" max="518" width="8.33203125" style="189" customWidth="1"/>
    <col min="519" max="519" width="13" style="189" customWidth="1"/>
    <col min="520" max="520" width="8.109375" style="189" customWidth="1"/>
    <col min="521" max="521" width="7.88671875" style="189" customWidth="1"/>
    <col min="522" max="522" width="11.109375" style="189" customWidth="1"/>
    <col min="523" max="523" width="9.44140625" style="189" customWidth="1"/>
    <col min="524" max="524" width="9.5546875" style="189" customWidth="1"/>
    <col min="525" max="525" width="10.77734375" style="189" customWidth="1"/>
    <col min="526" max="526" width="6.5546875" style="189" customWidth="1"/>
    <col min="527" max="527" width="7.5546875" style="189" customWidth="1"/>
    <col min="528" max="528" width="10.109375" style="189" customWidth="1"/>
    <col min="529" max="529" width="9.44140625" style="189" customWidth="1"/>
    <col min="530" max="530" width="11" style="189" customWidth="1"/>
    <col min="531" max="531" width="14" style="189" customWidth="1"/>
    <col min="532" max="532" width="9.88671875" style="189" customWidth="1"/>
    <col min="533" max="536" width="8.88671875" style="189"/>
    <col min="537" max="537" width="15" style="189" customWidth="1"/>
    <col min="538" max="538" width="6.44140625" style="189" customWidth="1"/>
    <col min="539" max="539" width="5.6640625" style="189" customWidth="1"/>
    <col min="540" max="540" width="9.109375" style="189" customWidth="1"/>
    <col min="541" max="543" width="8.88671875" style="189"/>
    <col min="544" max="544" width="11.6640625" style="189" customWidth="1"/>
    <col min="545" max="768" width="8.88671875" style="189"/>
    <col min="769" max="769" width="6.44140625" style="189" customWidth="1"/>
    <col min="770" max="770" width="43.33203125" style="189" customWidth="1"/>
    <col min="771" max="771" width="11.109375" style="189" customWidth="1"/>
    <col min="772" max="772" width="13.109375" style="189" customWidth="1"/>
    <col min="773" max="773" width="13.88671875" style="189" customWidth="1"/>
    <col min="774" max="774" width="8.33203125" style="189" customWidth="1"/>
    <col min="775" max="775" width="13" style="189" customWidth="1"/>
    <col min="776" max="776" width="8.109375" style="189" customWidth="1"/>
    <col min="777" max="777" width="7.88671875" style="189" customWidth="1"/>
    <col min="778" max="778" width="11.109375" style="189" customWidth="1"/>
    <col min="779" max="779" width="9.44140625" style="189" customWidth="1"/>
    <col min="780" max="780" width="9.5546875" style="189" customWidth="1"/>
    <col min="781" max="781" width="10.77734375" style="189" customWidth="1"/>
    <col min="782" max="782" width="6.5546875" style="189" customWidth="1"/>
    <col min="783" max="783" width="7.5546875" style="189" customWidth="1"/>
    <col min="784" max="784" width="10.109375" style="189" customWidth="1"/>
    <col min="785" max="785" width="9.44140625" style="189" customWidth="1"/>
    <col min="786" max="786" width="11" style="189" customWidth="1"/>
    <col min="787" max="787" width="14" style="189" customWidth="1"/>
    <col min="788" max="788" width="9.88671875" style="189" customWidth="1"/>
    <col min="789" max="792" width="8.88671875" style="189"/>
    <col min="793" max="793" width="15" style="189" customWidth="1"/>
    <col min="794" max="794" width="6.44140625" style="189" customWidth="1"/>
    <col min="795" max="795" width="5.6640625" style="189" customWidth="1"/>
    <col min="796" max="796" width="9.109375" style="189" customWidth="1"/>
    <col min="797" max="799" width="8.88671875" style="189"/>
    <col min="800" max="800" width="11.6640625" style="189" customWidth="1"/>
    <col min="801" max="1024" width="8.88671875" style="189"/>
    <col min="1025" max="1025" width="6.44140625" style="189" customWidth="1"/>
    <col min="1026" max="1026" width="43.33203125" style="189" customWidth="1"/>
    <col min="1027" max="1027" width="11.109375" style="189" customWidth="1"/>
    <col min="1028" max="1028" width="13.109375" style="189" customWidth="1"/>
    <col min="1029" max="1029" width="13.88671875" style="189" customWidth="1"/>
    <col min="1030" max="1030" width="8.33203125" style="189" customWidth="1"/>
    <col min="1031" max="1031" width="13" style="189" customWidth="1"/>
    <col min="1032" max="1032" width="8.109375" style="189" customWidth="1"/>
    <col min="1033" max="1033" width="7.88671875" style="189" customWidth="1"/>
    <col min="1034" max="1034" width="11.109375" style="189" customWidth="1"/>
    <col min="1035" max="1035" width="9.44140625" style="189" customWidth="1"/>
    <col min="1036" max="1036" width="9.5546875" style="189" customWidth="1"/>
    <col min="1037" max="1037" width="10.77734375" style="189" customWidth="1"/>
    <col min="1038" max="1038" width="6.5546875" style="189" customWidth="1"/>
    <col min="1039" max="1039" width="7.5546875" style="189" customWidth="1"/>
    <col min="1040" max="1040" width="10.109375" style="189" customWidth="1"/>
    <col min="1041" max="1041" width="9.44140625" style="189" customWidth="1"/>
    <col min="1042" max="1042" width="11" style="189" customWidth="1"/>
    <col min="1043" max="1043" width="14" style="189" customWidth="1"/>
    <col min="1044" max="1044" width="9.88671875" style="189" customWidth="1"/>
    <col min="1045" max="1048" width="8.88671875" style="189"/>
    <col min="1049" max="1049" width="15" style="189" customWidth="1"/>
    <col min="1050" max="1050" width="6.44140625" style="189" customWidth="1"/>
    <col min="1051" max="1051" width="5.6640625" style="189" customWidth="1"/>
    <col min="1052" max="1052" width="9.109375" style="189" customWidth="1"/>
    <col min="1053" max="1055" width="8.88671875" style="189"/>
    <col min="1056" max="1056" width="11.6640625" style="189" customWidth="1"/>
    <col min="1057" max="1280" width="8.88671875" style="189"/>
    <col min="1281" max="1281" width="6.44140625" style="189" customWidth="1"/>
    <col min="1282" max="1282" width="43.33203125" style="189" customWidth="1"/>
    <col min="1283" max="1283" width="11.109375" style="189" customWidth="1"/>
    <col min="1284" max="1284" width="13.109375" style="189" customWidth="1"/>
    <col min="1285" max="1285" width="13.88671875" style="189" customWidth="1"/>
    <col min="1286" max="1286" width="8.33203125" style="189" customWidth="1"/>
    <col min="1287" max="1287" width="13" style="189" customWidth="1"/>
    <col min="1288" max="1288" width="8.109375" style="189" customWidth="1"/>
    <col min="1289" max="1289" width="7.88671875" style="189" customWidth="1"/>
    <col min="1290" max="1290" width="11.109375" style="189" customWidth="1"/>
    <col min="1291" max="1291" width="9.44140625" style="189" customWidth="1"/>
    <col min="1292" max="1292" width="9.5546875" style="189" customWidth="1"/>
    <col min="1293" max="1293" width="10.77734375" style="189" customWidth="1"/>
    <col min="1294" max="1294" width="6.5546875" style="189" customWidth="1"/>
    <col min="1295" max="1295" width="7.5546875" style="189" customWidth="1"/>
    <col min="1296" max="1296" width="10.109375" style="189" customWidth="1"/>
    <col min="1297" max="1297" width="9.44140625" style="189" customWidth="1"/>
    <col min="1298" max="1298" width="11" style="189" customWidth="1"/>
    <col min="1299" max="1299" width="14" style="189" customWidth="1"/>
    <col min="1300" max="1300" width="9.88671875" style="189" customWidth="1"/>
    <col min="1301" max="1304" width="8.88671875" style="189"/>
    <col min="1305" max="1305" width="15" style="189" customWidth="1"/>
    <col min="1306" max="1306" width="6.44140625" style="189" customWidth="1"/>
    <col min="1307" max="1307" width="5.6640625" style="189" customWidth="1"/>
    <col min="1308" max="1308" width="9.109375" style="189" customWidth="1"/>
    <col min="1309" max="1311" width="8.88671875" style="189"/>
    <col min="1312" max="1312" width="11.6640625" style="189" customWidth="1"/>
    <col min="1313" max="1536" width="8.88671875" style="189"/>
    <col min="1537" max="1537" width="6.44140625" style="189" customWidth="1"/>
    <col min="1538" max="1538" width="43.33203125" style="189" customWidth="1"/>
    <col min="1539" max="1539" width="11.109375" style="189" customWidth="1"/>
    <col min="1540" max="1540" width="13.109375" style="189" customWidth="1"/>
    <col min="1541" max="1541" width="13.88671875" style="189" customWidth="1"/>
    <col min="1542" max="1542" width="8.33203125" style="189" customWidth="1"/>
    <col min="1543" max="1543" width="13" style="189" customWidth="1"/>
    <col min="1544" max="1544" width="8.109375" style="189" customWidth="1"/>
    <col min="1545" max="1545" width="7.88671875" style="189" customWidth="1"/>
    <col min="1546" max="1546" width="11.109375" style="189" customWidth="1"/>
    <col min="1547" max="1547" width="9.44140625" style="189" customWidth="1"/>
    <col min="1548" max="1548" width="9.5546875" style="189" customWidth="1"/>
    <col min="1549" max="1549" width="10.77734375" style="189" customWidth="1"/>
    <col min="1550" max="1550" width="6.5546875" style="189" customWidth="1"/>
    <col min="1551" max="1551" width="7.5546875" style="189" customWidth="1"/>
    <col min="1552" max="1552" width="10.109375" style="189" customWidth="1"/>
    <col min="1553" max="1553" width="9.44140625" style="189" customWidth="1"/>
    <col min="1554" max="1554" width="11" style="189" customWidth="1"/>
    <col min="1555" max="1555" width="14" style="189" customWidth="1"/>
    <col min="1556" max="1556" width="9.88671875" style="189" customWidth="1"/>
    <col min="1557" max="1560" width="8.88671875" style="189"/>
    <col min="1561" max="1561" width="15" style="189" customWidth="1"/>
    <col min="1562" max="1562" width="6.44140625" style="189" customWidth="1"/>
    <col min="1563" max="1563" width="5.6640625" style="189" customWidth="1"/>
    <col min="1564" max="1564" width="9.109375" style="189" customWidth="1"/>
    <col min="1565" max="1567" width="8.88671875" style="189"/>
    <col min="1568" max="1568" width="11.6640625" style="189" customWidth="1"/>
    <col min="1569" max="1792" width="8.88671875" style="189"/>
    <col min="1793" max="1793" width="6.44140625" style="189" customWidth="1"/>
    <col min="1794" max="1794" width="43.33203125" style="189" customWidth="1"/>
    <col min="1795" max="1795" width="11.109375" style="189" customWidth="1"/>
    <col min="1796" max="1796" width="13.109375" style="189" customWidth="1"/>
    <col min="1797" max="1797" width="13.88671875" style="189" customWidth="1"/>
    <col min="1798" max="1798" width="8.33203125" style="189" customWidth="1"/>
    <col min="1799" max="1799" width="13" style="189" customWidth="1"/>
    <col min="1800" max="1800" width="8.109375" style="189" customWidth="1"/>
    <col min="1801" max="1801" width="7.88671875" style="189" customWidth="1"/>
    <col min="1802" max="1802" width="11.109375" style="189" customWidth="1"/>
    <col min="1803" max="1803" width="9.44140625" style="189" customWidth="1"/>
    <col min="1804" max="1804" width="9.5546875" style="189" customWidth="1"/>
    <col min="1805" max="1805" width="10.77734375" style="189" customWidth="1"/>
    <col min="1806" max="1806" width="6.5546875" style="189" customWidth="1"/>
    <col min="1807" max="1807" width="7.5546875" style="189" customWidth="1"/>
    <col min="1808" max="1808" width="10.109375" style="189" customWidth="1"/>
    <col min="1809" max="1809" width="9.44140625" style="189" customWidth="1"/>
    <col min="1810" max="1810" width="11" style="189" customWidth="1"/>
    <col min="1811" max="1811" width="14" style="189" customWidth="1"/>
    <col min="1812" max="1812" width="9.88671875" style="189" customWidth="1"/>
    <col min="1813" max="1816" width="8.88671875" style="189"/>
    <col min="1817" max="1817" width="15" style="189" customWidth="1"/>
    <col min="1818" max="1818" width="6.44140625" style="189" customWidth="1"/>
    <col min="1819" max="1819" width="5.6640625" style="189" customWidth="1"/>
    <col min="1820" max="1820" width="9.109375" style="189" customWidth="1"/>
    <col min="1821" max="1823" width="8.88671875" style="189"/>
    <col min="1824" max="1824" width="11.6640625" style="189" customWidth="1"/>
    <col min="1825" max="2048" width="8.88671875" style="189"/>
    <col min="2049" max="2049" width="6.44140625" style="189" customWidth="1"/>
    <col min="2050" max="2050" width="43.33203125" style="189" customWidth="1"/>
    <col min="2051" max="2051" width="11.109375" style="189" customWidth="1"/>
    <col min="2052" max="2052" width="13.109375" style="189" customWidth="1"/>
    <col min="2053" max="2053" width="13.88671875" style="189" customWidth="1"/>
    <col min="2054" max="2054" width="8.33203125" style="189" customWidth="1"/>
    <col min="2055" max="2055" width="13" style="189" customWidth="1"/>
    <col min="2056" max="2056" width="8.109375" style="189" customWidth="1"/>
    <col min="2057" max="2057" width="7.88671875" style="189" customWidth="1"/>
    <col min="2058" max="2058" width="11.109375" style="189" customWidth="1"/>
    <col min="2059" max="2059" width="9.44140625" style="189" customWidth="1"/>
    <col min="2060" max="2060" width="9.5546875" style="189" customWidth="1"/>
    <col min="2061" max="2061" width="10.77734375" style="189" customWidth="1"/>
    <col min="2062" max="2062" width="6.5546875" style="189" customWidth="1"/>
    <col min="2063" max="2063" width="7.5546875" style="189" customWidth="1"/>
    <col min="2064" max="2064" width="10.109375" style="189" customWidth="1"/>
    <col min="2065" max="2065" width="9.44140625" style="189" customWidth="1"/>
    <col min="2066" max="2066" width="11" style="189" customWidth="1"/>
    <col min="2067" max="2067" width="14" style="189" customWidth="1"/>
    <col min="2068" max="2068" width="9.88671875" style="189" customWidth="1"/>
    <col min="2069" max="2072" width="8.88671875" style="189"/>
    <col min="2073" max="2073" width="15" style="189" customWidth="1"/>
    <col min="2074" max="2074" width="6.44140625" style="189" customWidth="1"/>
    <col min="2075" max="2075" width="5.6640625" style="189" customWidth="1"/>
    <col min="2076" max="2076" width="9.109375" style="189" customWidth="1"/>
    <col min="2077" max="2079" width="8.88671875" style="189"/>
    <col min="2080" max="2080" width="11.6640625" style="189" customWidth="1"/>
    <col min="2081" max="2304" width="8.88671875" style="189"/>
    <col min="2305" max="2305" width="6.44140625" style="189" customWidth="1"/>
    <col min="2306" max="2306" width="43.33203125" style="189" customWidth="1"/>
    <col min="2307" max="2307" width="11.109375" style="189" customWidth="1"/>
    <col min="2308" max="2308" width="13.109375" style="189" customWidth="1"/>
    <col min="2309" max="2309" width="13.88671875" style="189" customWidth="1"/>
    <col min="2310" max="2310" width="8.33203125" style="189" customWidth="1"/>
    <col min="2311" max="2311" width="13" style="189" customWidth="1"/>
    <col min="2312" max="2312" width="8.109375" style="189" customWidth="1"/>
    <col min="2313" max="2313" width="7.88671875" style="189" customWidth="1"/>
    <col min="2314" max="2314" width="11.109375" style="189" customWidth="1"/>
    <col min="2315" max="2315" width="9.44140625" style="189" customWidth="1"/>
    <col min="2316" max="2316" width="9.5546875" style="189" customWidth="1"/>
    <col min="2317" max="2317" width="10.77734375" style="189" customWidth="1"/>
    <col min="2318" max="2318" width="6.5546875" style="189" customWidth="1"/>
    <col min="2319" max="2319" width="7.5546875" style="189" customWidth="1"/>
    <col min="2320" max="2320" width="10.109375" style="189" customWidth="1"/>
    <col min="2321" max="2321" width="9.44140625" style="189" customWidth="1"/>
    <col min="2322" max="2322" width="11" style="189" customWidth="1"/>
    <col min="2323" max="2323" width="14" style="189" customWidth="1"/>
    <col min="2324" max="2324" width="9.88671875" style="189" customWidth="1"/>
    <col min="2325" max="2328" width="8.88671875" style="189"/>
    <col min="2329" max="2329" width="15" style="189" customWidth="1"/>
    <col min="2330" max="2330" width="6.44140625" style="189" customWidth="1"/>
    <col min="2331" max="2331" width="5.6640625" style="189" customWidth="1"/>
    <col min="2332" max="2332" width="9.109375" style="189" customWidth="1"/>
    <col min="2333" max="2335" width="8.88671875" style="189"/>
    <col min="2336" max="2336" width="11.6640625" style="189" customWidth="1"/>
    <col min="2337" max="2560" width="8.88671875" style="189"/>
    <col min="2561" max="2561" width="6.44140625" style="189" customWidth="1"/>
    <col min="2562" max="2562" width="43.33203125" style="189" customWidth="1"/>
    <col min="2563" max="2563" width="11.109375" style="189" customWidth="1"/>
    <col min="2564" max="2564" width="13.109375" style="189" customWidth="1"/>
    <col min="2565" max="2565" width="13.88671875" style="189" customWidth="1"/>
    <col min="2566" max="2566" width="8.33203125" style="189" customWidth="1"/>
    <col min="2567" max="2567" width="13" style="189" customWidth="1"/>
    <col min="2568" max="2568" width="8.109375" style="189" customWidth="1"/>
    <col min="2569" max="2569" width="7.88671875" style="189" customWidth="1"/>
    <col min="2570" max="2570" width="11.109375" style="189" customWidth="1"/>
    <col min="2571" max="2571" width="9.44140625" style="189" customWidth="1"/>
    <col min="2572" max="2572" width="9.5546875" style="189" customWidth="1"/>
    <col min="2573" max="2573" width="10.77734375" style="189" customWidth="1"/>
    <col min="2574" max="2574" width="6.5546875" style="189" customWidth="1"/>
    <col min="2575" max="2575" width="7.5546875" style="189" customWidth="1"/>
    <col min="2576" max="2576" width="10.109375" style="189" customWidth="1"/>
    <col min="2577" max="2577" width="9.44140625" style="189" customWidth="1"/>
    <col min="2578" max="2578" width="11" style="189" customWidth="1"/>
    <col min="2579" max="2579" width="14" style="189" customWidth="1"/>
    <col min="2580" max="2580" width="9.88671875" style="189" customWidth="1"/>
    <col min="2581" max="2584" width="8.88671875" style="189"/>
    <col min="2585" max="2585" width="15" style="189" customWidth="1"/>
    <col min="2586" max="2586" width="6.44140625" style="189" customWidth="1"/>
    <col min="2587" max="2587" width="5.6640625" style="189" customWidth="1"/>
    <col min="2588" max="2588" width="9.109375" style="189" customWidth="1"/>
    <col min="2589" max="2591" width="8.88671875" style="189"/>
    <col min="2592" max="2592" width="11.6640625" style="189" customWidth="1"/>
    <col min="2593" max="2816" width="8.88671875" style="189"/>
    <col min="2817" max="2817" width="6.44140625" style="189" customWidth="1"/>
    <col min="2818" max="2818" width="43.33203125" style="189" customWidth="1"/>
    <col min="2819" max="2819" width="11.109375" style="189" customWidth="1"/>
    <col min="2820" max="2820" width="13.109375" style="189" customWidth="1"/>
    <col min="2821" max="2821" width="13.88671875" style="189" customWidth="1"/>
    <col min="2822" max="2822" width="8.33203125" style="189" customWidth="1"/>
    <col min="2823" max="2823" width="13" style="189" customWidth="1"/>
    <col min="2824" max="2824" width="8.109375" style="189" customWidth="1"/>
    <col min="2825" max="2825" width="7.88671875" style="189" customWidth="1"/>
    <col min="2826" max="2826" width="11.109375" style="189" customWidth="1"/>
    <col min="2827" max="2827" width="9.44140625" style="189" customWidth="1"/>
    <col min="2828" max="2828" width="9.5546875" style="189" customWidth="1"/>
    <col min="2829" max="2829" width="10.77734375" style="189" customWidth="1"/>
    <col min="2830" max="2830" width="6.5546875" style="189" customWidth="1"/>
    <col min="2831" max="2831" width="7.5546875" style="189" customWidth="1"/>
    <col min="2832" max="2832" width="10.109375" style="189" customWidth="1"/>
    <col min="2833" max="2833" width="9.44140625" style="189" customWidth="1"/>
    <col min="2834" max="2834" width="11" style="189" customWidth="1"/>
    <col min="2835" max="2835" width="14" style="189" customWidth="1"/>
    <col min="2836" max="2836" width="9.88671875" style="189" customWidth="1"/>
    <col min="2837" max="2840" width="8.88671875" style="189"/>
    <col min="2841" max="2841" width="15" style="189" customWidth="1"/>
    <col min="2842" max="2842" width="6.44140625" style="189" customWidth="1"/>
    <col min="2843" max="2843" width="5.6640625" style="189" customWidth="1"/>
    <col min="2844" max="2844" width="9.109375" style="189" customWidth="1"/>
    <col min="2845" max="2847" width="8.88671875" style="189"/>
    <col min="2848" max="2848" width="11.6640625" style="189" customWidth="1"/>
    <col min="2849" max="3072" width="8.88671875" style="189"/>
    <col min="3073" max="3073" width="6.44140625" style="189" customWidth="1"/>
    <col min="3074" max="3074" width="43.33203125" style="189" customWidth="1"/>
    <col min="3075" max="3075" width="11.109375" style="189" customWidth="1"/>
    <col min="3076" max="3076" width="13.109375" style="189" customWidth="1"/>
    <col min="3077" max="3077" width="13.88671875" style="189" customWidth="1"/>
    <col min="3078" max="3078" width="8.33203125" style="189" customWidth="1"/>
    <col min="3079" max="3079" width="13" style="189" customWidth="1"/>
    <col min="3080" max="3080" width="8.109375" style="189" customWidth="1"/>
    <col min="3081" max="3081" width="7.88671875" style="189" customWidth="1"/>
    <col min="3082" max="3082" width="11.109375" style="189" customWidth="1"/>
    <col min="3083" max="3083" width="9.44140625" style="189" customWidth="1"/>
    <col min="3084" max="3084" width="9.5546875" style="189" customWidth="1"/>
    <col min="3085" max="3085" width="10.77734375" style="189" customWidth="1"/>
    <col min="3086" max="3086" width="6.5546875" style="189" customWidth="1"/>
    <col min="3087" max="3087" width="7.5546875" style="189" customWidth="1"/>
    <col min="3088" max="3088" width="10.109375" style="189" customWidth="1"/>
    <col min="3089" max="3089" width="9.44140625" style="189" customWidth="1"/>
    <col min="3090" max="3090" width="11" style="189" customWidth="1"/>
    <col min="3091" max="3091" width="14" style="189" customWidth="1"/>
    <col min="3092" max="3092" width="9.88671875" style="189" customWidth="1"/>
    <col min="3093" max="3096" width="8.88671875" style="189"/>
    <col min="3097" max="3097" width="15" style="189" customWidth="1"/>
    <col min="3098" max="3098" width="6.44140625" style="189" customWidth="1"/>
    <col min="3099" max="3099" width="5.6640625" style="189" customWidth="1"/>
    <col min="3100" max="3100" width="9.109375" style="189" customWidth="1"/>
    <col min="3101" max="3103" width="8.88671875" style="189"/>
    <col min="3104" max="3104" width="11.6640625" style="189" customWidth="1"/>
    <col min="3105" max="3328" width="8.88671875" style="189"/>
    <col min="3329" max="3329" width="6.44140625" style="189" customWidth="1"/>
    <col min="3330" max="3330" width="43.33203125" style="189" customWidth="1"/>
    <col min="3331" max="3331" width="11.109375" style="189" customWidth="1"/>
    <col min="3332" max="3332" width="13.109375" style="189" customWidth="1"/>
    <col min="3333" max="3333" width="13.88671875" style="189" customWidth="1"/>
    <col min="3334" max="3334" width="8.33203125" style="189" customWidth="1"/>
    <col min="3335" max="3335" width="13" style="189" customWidth="1"/>
    <col min="3336" max="3336" width="8.109375" style="189" customWidth="1"/>
    <col min="3337" max="3337" width="7.88671875" style="189" customWidth="1"/>
    <col min="3338" max="3338" width="11.109375" style="189" customWidth="1"/>
    <col min="3339" max="3339" width="9.44140625" style="189" customWidth="1"/>
    <col min="3340" max="3340" width="9.5546875" style="189" customWidth="1"/>
    <col min="3341" max="3341" width="10.77734375" style="189" customWidth="1"/>
    <col min="3342" max="3342" width="6.5546875" style="189" customWidth="1"/>
    <col min="3343" max="3343" width="7.5546875" style="189" customWidth="1"/>
    <col min="3344" max="3344" width="10.109375" style="189" customWidth="1"/>
    <col min="3345" max="3345" width="9.44140625" style="189" customWidth="1"/>
    <col min="3346" max="3346" width="11" style="189" customWidth="1"/>
    <col min="3347" max="3347" width="14" style="189" customWidth="1"/>
    <col min="3348" max="3348" width="9.88671875" style="189" customWidth="1"/>
    <col min="3349" max="3352" width="8.88671875" style="189"/>
    <col min="3353" max="3353" width="15" style="189" customWidth="1"/>
    <col min="3354" max="3354" width="6.44140625" style="189" customWidth="1"/>
    <col min="3355" max="3355" width="5.6640625" style="189" customWidth="1"/>
    <col min="3356" max="3356" width="9.109375" style="189" customWidth="1"/>
    <col min="3357" max="3359" width="8.88671875" style="189"/>
    <col min="3360" max="3360" width="11.6640625" style="189" customWidth="1"/>
    <col min="3361" max="3584" width="8.88671875" style="189"/>
    <col min="3585" max="3585" width="6.44140625" style="189" customWidth="1"/>
    <col min="3586" max="3586" width="43.33203125" style="189" customWidth="1"/>
    <col min="3587" max="3587" width="11.109375" style="189" customWidth="1"/>
    <col min="3588" max="3588" width="13.109375" style="189" customWidth="1"/>
    <col min="3589" max="3589" width="13.88671875" style="189" customWidth="1"/>
    <col min="3590" max="3590" width="8.33203125" style="189" customWidth="1"/>
    <col min="3591" max="3591" width="13" style="189" customWidth="1"/>
    <col min="3592" max="3592" width="8.109375" style="189" customWidth="1"/>
    <col min="3593" max="3593" width="7.88671875" style="189" customWidth="1"/>
    <col min="3594" max="3594" width="11.109375" style="189" customWidth="1"/>
    <col min="3595" max="3595" width="9.44140625" style="189" customWidth="1"/>
    <col min="3596" max="3596" width="9.5546875" style="189" customWidth="1"/>
    <col min="3597" max="3597" width="10.77734375" style="189" customWidth="1"/>
    <col min="3598" max="3598" width="6.5546875" style="189" customWidth="1"/>
    <col min="3599" max="3599" width="7.5546875" style="189" customWidth="1"/>
    <col min="3600" max="3600" width="10.109375" style="189" customWidth="1"/>
    <col min="3601" max="3601" width="9.44140625" style="189" customWidth="1"/>
    <col min="3602" max="3602" width="11" style="189" customWidth="1"/>
    <col min="3603" max="3603" width="14" style="189" customWidth="1"/>
    <col min="3604" max="3604" width="9.88671875" style="189" customWidth="1"/>
    <col min="3605" max="3608" width="8.88671875" style="189"/>
    <col min="3609" max="3609" width="15" style="189" customWidth="1"/>
    <col min="3610" max="3610" width="6.44140625" style="189" customWidth="1"/>
    <col min="3611" max="3611" width="5.6640625" style="189" customWidth="1"/>
    <col min="3612" max="3612" width="9.109375" style="189" customWidth="1"/>
    <col min="3613" max="3615" width="8.88671875" style="189"/>
    <col min="3616" max="3616" width="11.6640625" style="189" customWidth="1"/>
    <col min="3617" max="3840" width="8.88671875" style="189"/>
    <col min="3841" max="3841" width="6.44140625" style="189" customWidth="1"/>
    <col min="3842" max="3842" width="43.33203125" style="189" customWidth="1"/>
    <col min="3843" max="3843" width="11.109375" style="189" customWidth="1"/>
    <col min="3844" max="3844" width="13.109375" style="189" customWidth="1"/>
    <col min="3845" max="3845" width="13.88671875" style="189" customWidth="1"/>
    <col min="3846" max="3846" width="8.33203125" style="189" customWidth="1"/>
    <col min="3847" max="3847" width="13" style="189" customWidth="1"/>
    <col min="3848" max="3848" width="8.109375" style="189" customWidth="1"/>
    <col min="3849" max="3849" width="7.88671875" style="189" customWidth="1"/>
    <col min="3850" max="3850" width="11.109375" style="189" customWidth="1"/>
    <col min="3851" max="3851" width="9.44140625" style="189" customWidth="1"/>
    <col min="3852" max="3852" width="9.5546875" style="189" customWidth="1"/>
    <col min="3853" max="3853" width="10.77734375" style="189" customWidth="1"/>
    <col min="3854" max="3854" width="6.5546875" style="189" customWidth="1"/>
    <col min="3855" max="3855" width="7.5546875" style="189" customWidth="1"/>
    <col min="3856" max="3856" width="10.109375" style="189" customWidth="1"/>
    <col min="3857" max="3857" width="9.44140625" style="189" customWidth="1"/>
    <col min="3858" max="3858" width="11" style="189" customWidth="1"/>
    <col min="3859" max="3859" width="14" style="189" customWidth="1"/>
    <col min="3860" max="3860" width="9.88671875" style="189" customWidth="1"/>
    <col min="3861" max="3864" width="8.88671875" style="189"/>
    <col min="3865" max="3865" width="15" style="189" customWidth="1"/>
    <col min="3866" max="3866" width="6.44140625" style="189" customWidth="1"/>
    <col min="3867" max="3867" width="5.6640625" style="189" customWidth="1"/>
    <col min="3868" max="3868" width="9.109375" style="189" customWidth="1"/>
    <col min="3869" max="3871" width="8.88671875" style="189"/>
    <col min="3872" max="3872" width="11.6640625" style="189" customWidth="1"/>
    <col min="3873" max="4096" width="8.88671875" style="189"/>
    <col min="4097" max="4097" width="6.44140625" style="189" customWidth="1"/>
    <col min="4098" max="4098" width="43.33203125" style="189" customWidth="1"/>
    <col min="4099" max="4099" width="11.109375" style="189" customWidth="1"/>
    <col min="4100" max="4100" width="13.109375" style="189" customWidth="1"/>
    <col min="4101" max="4101" width="13.88671875" style="189" customWidth="1"/>
    <col min="4102" max="4102" width="8.33203125" style="189" customWidth="1"/>
    <col min="4103" max="4103" width="13" style="189" customWidth="1"/>
    <col min="4104" max="4104" width="8.109375" style="189" customWidth="1"/>
    <col min="4105" max="4105" width="7.88671875" style="189" customWidth="1"/>
    <col min="4106" max="4106" width="11.109375" style="189" customWidth="1"/>
    <col min="4107" max="4107" width="9.44140625" style="189" customWidth="1"/>
    <col min="4108" max="4108" width="9.5546875" style="189" customWidth="1"/>
    <col min="4109" max="4109" width="10.77734375" style="189" customWidth="1"/>
    <col min="4110" max="4110" width="6.5546875" style="189" customWidth="1"/>
    <col min="4111" max="4111" width="7.5546875" style="189" customWidth="1"/>
    <col min="4112" max="4112" width="10.109375" style="189" customWidth="1"/>
    <col min="4113" max="4113" width="9.44140625" style="189" customWidth="1"/>
    <col min="4114" max="4114" width="11" style="189" customWidth="1"/>
    <col min="4115" max="4115" width="14" style="189" customWidth="1"/>
    <col min="4116" max="4116" width="9.88671875" style="189" customWidth="1"/>
    <col min="4117" max="4120" width="8.88671875" style="189"/>
    <col min="4121" max="4121" width="15" style="189" customWidth="1"/>
    <col min="4122" max="4122" width="6.44140625" style="189" customWidth="1"/>
    <col min="4123" max="4123" width="5.6640625" style="189" customWidth="1"/>
    <col min="4124" max="4124" width="9.109375" style="189" customWidth="1"/>
    <col min="4125" max="4127" width="8.88671875" style="189"/>
    <col min="4128" max="4128" width="11.6640625" style="189" customWidth="1"/>
    <col min="4129" max="4352" width="8.88671875" style="189"/>
    <col min="4353" max="4353" width="6.44140625" style="189" customWidth="1"/>
    <col min="4354" max="4354" width="43.33203125" style="189" customWidth="1"/>
    <col min="4355" max="4355" width="11.109375" style="189" customWidth="1"/>
    <col min="4356" max="4356" width="13.109375" style="189" customWidth="1"/>
    <col min="4357" max="4357" width="13.88671875" style="189" customWidth="1"/>
    <col min="4358" max="4358" width="8.33203125" style="189" customWidth="1"/>
    <col min="4359" max="4359" width="13" style="189" customWidth="1"/>
    <col min="4360" max="4360" width="8.109375" style="189" customWidth="1"/>
    <col min="4361" max="4361" width="7.88671875" style="189" customWidth="1"/>
    <col min="4362" max="4362" width="11.109375" style="189" customWidth="1"/>
    <col min="4363" max="4363" width="9.44140625" style="189" customWidth="1"/>
    <col min="4364" max="4364" width="9.5546875" style="189" customWidth="1"/>
    <col min="4365" max="4365" width="10.77734375" style="189" customWidth="1"/>
    <col min="4366" max="4366" width="6.5546875" style="189" customWidth="1"/>
    <col min="4367" max="4367" width="7.5546875" style="189" customWidth="1"/>
    <col min="4368" max="4368" width="10.109375" style="189" customWidth="1"/>
    <col min="4369" max="4369" width="9.44140625" style="189" customWidth="1"/>
    <col min="4370" max="4370" width="11" style="189" customWidth="1"/>
    <col min="4371" max="4371" width="14" style="189" customWidth="1"/>
    <col min="4372" max="4372" width="9.88671875" style="189" customWidth="1"/>
    <col min="4373" max="4376" width="8.88671875" style="189"/>
    <col min="4377" max="4377" width="15" style="189" customWidth="1"/>
    <col min="4378" max="4378" width="6.44140625" style="189" customWidth="1"/>
    <col min="4379" max="4379" width="5.6640625" style="189" customWidth="1"/>
    <col min="4380" max="4380" width="9.109375" style="189" customWidth="1"/>
    <col min="4381" max="4383" width="8.88671875" style="189"/>
    <col min="4384" max="4384" width="11.6640625" style="189" customWidth="1"/>
    <col min="4385" max="4608" width="8.88671875" style="189"/>
    <col min="4609" max="4609" width="6.44140625" style="189" customWidth="1"/>
    <col min="4610" max="4610" width="43.33203125" style="189" customWidth="1"/>
    <col min="4611" max="4611" width="11.109375" style="189" customWidth="1"/>
    <col min="4612" max="4612" width="13.109375" style="189" customWidth="1"/>
    <col min="4613" max="4613" width="13.88671875" style="189" customWidth="1"/>
    <col min="4614" max="4614" width="8.33203125" style="189" customWidth="1"/>
    <col min="4615" max="4615" width="13" style="189" customWidth="1"/>
    <col min="4616" max="4616" width="8.109375" style="189" customWidth="1"/>
    <col min="4617" max="4617" width="7.88671875" style="189" customWidth="1"/>
    <col min="4618" max="4618" width="11.109375" style="189" customWidth="1"/>
    <col min="4619" max="4619" width="9.44140625" style="189" customWidth="1"/>
    <col min="4620" max="4620" width="9.5546875" style="189" customWidth="1"/>
    <col min="4621" max="4621" width="10.77734375" style="189" customWidth="1"/>
    <col min="4622" max="4622" width="6.5546875" style="189" customWidth="1"/>
    <col min="4623" max="4623" width="7.5546875" style="189" customWidth="1"/>
    <col min="4624" max="4624" width="10.109375" style="189" customWidth="1"/>
    <col min="4625" max="4625" width="9.44140625" style="189" customWidth="1"/>
    <col min="4626" max="4626" width="11" style="189" customWidth="1"/>
    <col min="4627" max="4627" width="14" style="189" customWidth="1"/>
    <col min="4628" max="4628" width="9.88671875" style="189" customWidth="1"/>
    <col min="4629" max="4632" width="8.88671875" style="189"/>
    <col min="4633" max="4633" width="15" style="189" customWidth="1"/>
    <col min="4634" max="4634" width="6.44140625" style="189" customWidth="1"/>
    <col min="4635" max="4635" width="5.6640625" style="189" customWidth="1"/>
    <col min="4636" max="4636" width="9.109375" style="189" customWidth="1"/>
    <col min="4637" max="4639" width="8.88671875" style="189"/>
    <col min="4640" max="4640" width="11.6640625" style="189" customWidth="1"/>
    <col min="4641" max="4864" width="8.88671875" style="189"/>
    <col min="4865" max="4865" width="6.44140625" style="189" customWidth="1"/>
    <col min="4866" max="4866" width="43.33203125" style="189" customWidth="1"/>
    <col min="4867" max="4867" width="11.109375" style="189" customWidth="1"/>
    <col min="4868" max="4868" width="13.109375" style="189" customWidth="1"/>
    <col min="4869" max="4869" width="13.88671875" style="189" customWidth="1"/>
    <col min="4870" max="4870" width="8.33203125" style="189" customWidth="1"/>
    <col min="4871" max="4871" width="13" style="189" customWidth="1"/>
    <col min="4872" max="4872" width="8.109375" style="189" customWidth="1"/>
    <col min="4873" max="4873" width="7.88671875" style="189" customWidth="1"/>
    <col min="4874" max="4874" width="11.109375" style="189" customWidth="1"/>
    <col min="4875" max="4875" width="9.44140625" style="189" customWidth="1"/>
    <col min="4876" max="4876" width="9.5546875" style="189" customWidth="1"/>
    <col min="4877" max="4877" width="10.77734375" style="189" customWidth="1"/>
    <col min="4878" max="4878" width="6.5546875" style="189" customWidth="1"/>
    <col min="4879" max="4879" width="7.5546875" style="189" customWidth="1"/>
    <col min="4880" max="4880" width="10.109375" style="189" customWidth="1"/>
    <col min="4881" max="4881" width="9.44140625" style="189" customWidth="1"/>
    <col min="4882" max="4882" width="11" style="189" customWidth="1"/>
    <col min="4883" max="4883" width="14" style="189" customWidth="1"/>
    <col min="4884" max="4884" width="9.88671875" style="189" customWidth="1"/>
    <col min="4885" max="4888" width="8.88671875" style="189"/>
    <col min="4889" max="4889" width="15" style="189" customWidth="1"/>
    <col min="4890" max="4890" width="6.44140625" style="189" customWidth="1"/>
    <col min="4891" max="4891" width="5.6640625" style="189" customWidth="1"/>
    <col min="4892" max="4892" width="9.109375" style="189" customWidth="1"/>
    <col min="4893" max="4895" width="8.88671875" style="189"/>
    <col min="4896" max="4896" width="11.6640625" style="189" customWidth="1"/>
    <col min="4897" max="5120" width="8.88671875" style="189"/>
    <col min="5121" max="5121" width="6.44140625" style="189" customWidth="1"/>
    <col min="5122" max="5122" width="43.33203125" style="189" customWidth="1"/>
    <col min="5123" max="5123" width="11.109375" style="189" customWidth="1"/>
    <col min="5124" max="5124" width="13.109375" style="189" customWidth="1"/>
    <col min="5125" max="5125" width="13.88671875" style="189" customWidth="1"/>
    <col min="5126" max="5126" width="8.33203125" style="189" customWidth="1"/>
    <col min="5127" max="5127" width="13" style="189" customWidth="1"/>
    <col min="5128" max="5128" width="8.109375" style="189" customWidth="1"/>
    <col min="5129" max="5129" width="7.88671875" style="189" customWidth="1"/>
    <col min="5130" max="5130" width="11.109375" style="189" customWidth="1"/>
    <col min="5131" max="5131" width="9.44140625" style="189" customWidth="1"/>
    <col min="5132" max="5132" width="9.5546875" style="189" customWidth="1"/>
    <col min="5133" max="5133" width="10.77734375" style="189" customWidth="1"/>
    <col min="5134" max="5134" width="6.5546875" style="189" customWidth="1"/>
    <col min="5135" max="5135" width="7.5546875" style="189" customWidth="1"/>
    <col min="5136" max="5136" width="10.109375" style="189" customWidth="1"/>
    <col min="5137" max="5137" width="9.44140625" style="189" customWidth="1"/>
    <col min="5138" max="5138" width="11" style="189" customWidth="1"/>
    <col min="5139" max="5139" width="14" style="189" customWidth="1"/>
    <col min="5140" max="5140" width="9.88671875" style="189" customWidth="1"/>
    <col min="5141" max="5144" width="8.88671875" style="189"/>
    <col min="5145" max="5145" width="15" style="189" customWidth="1"/>
    <col min="5146" max="5146" width="6.44140625" style="189" customWidth="1"/>
    <col min="5147" max="5147" width="5.6640625" style="189" customWidth="1"/>
    <col min="5148" max="5148" width="9.109375" style="189" customWidth="1"/>
    <col min="5149" max="5151" width="8.88671875" style="189"/>
    <col min="5152" max="5152" width="11.6640625" style="189" customWidth="1"/>
    <col min="5153" max="5376" width="8.88671875" style="189"/>
    <col min="5377" max="5377" width="6.44140625" style="189" customWidth="1"/>
    <col min="5378" max="5378" width="43.33203125" style="189" customWidth="1"/>
    <col min="5379" max="5379" width="11.109375" style="189" customWidth="1"/>
    <col min="5380" max="5380" width="13.109375" style="189" customWidth="1"/>
    <col min="5381" max="5381" width="13.88671875" style="189" customWidth="1"/>
    <col min="5382" max="5382" width="8.33203125" style="189" customWidth="1"/>
    <col min="5383" max="5383" width="13" style="189" customWidth="1"/>
    <col min="5384" max="5384" width="8.109375" style="189" customWidth="1"/>
    <col min="5385" max="5385" width="7.88671875" style="189" customWidth="1"/>
    <col min="5386" max="5386" width="11.109375" style="189" customWidth="1"/>
    <col min="5387" max="5387" width="9.44140625" style="189" customWidth="1"/>
    <col min="5388" max="5388" width="9.5546875" style="189" customWidth="1"/>
    <col min="5389" max="5389" width="10.77734375" style="189" customWidth="1"/>
    <col min="5390" max="5390" width="6.5546875" style="189" customWidth="1"/>
    <col min="5391" max="5391" width="7.5546875" style="189" customWidth="1"/>
    <col min="5392" max="5392" width="10.109375" style="189" customWidth="1"/>
    <col min="5393" max="5393" width="9.44140625" style="189" customWidth="1"/>
    <col min="5394" max="5394" width="11" style="189" customWidth="1"/>
    <col min="5395" max="5395" width="14" style="189" customWidth="1"/>
    <col min="5396" max="5396" width="9.88671875" style="189" customWidth="1"/>
    <col min="5397" max="5400" width="8.88671875" style="189"/>
    <col min="5401" max="5401" width="15" style="189" customWidth="1"/>
    <col min="5402" max="5402" width="6.44140625" style="189" customWidth="1"/>
    <col min="5403" max="5403" width="5.6640625" style="189" customWidth="1"/>
    <col min="5404" max="5404" width="9.109375" style="189" customWidth="1"/>
    <col min="5405" max="5407" width="8.88671875" style="189"/>
    <col min="5408" max="5408" width="11.6640625" style="189" customWidth="1"/>
    <col min="5409" max="5632" width="8.88671875" style="189"/>
    <col min="5633" max="5633" width="6.44140625" style="189" customWidth="1"/>
    <col min="5634" max="5634" width="43.33203125" style="189" customWidth="1"/>
    <col min="5635" max="5635" width="11.109375" style="189" customWidth="1"/>
    <col min="5636" max="5636" width="13.109375" style="189" customWidth="1"/>
    <col min="5637" max="5637" width="13.88671875" style="189" customWidth="1"/>
    <col min="5638" max="5638" width="8.33203125" style="189" customWidth="1"/>
    <col min="5639" max="5639" width="13" style="189" customWidth="1"/>
    <col min="5640" max="5640" width="8.109375" style="189" customWidth="1"/>
    <col min="5641" max="5641" width="7.88671875" style="189" customWidth="1"/>
    <col min="5642" max="5642" width="11.109375" style="189" customWidth="1"/>
    <col min="5643" max="5643" width="9.44140625" style="189" customWidth="1"/>
    <col min="5644" max="5644" width="9.5546875" style="189" customWidth="1"/>
    <col min="5645" max="5645" width="10.77734375" style="189" customWidth="1"/>
    <col min="5646" max="5646" width="6.5546875" style="189" customWidth="1"/>
    <col min="5647" max="5647" width="7.5546875" style="189" customWidth="1"/>
    <col min="5648" max="5648" width="10.109375" style="189" customWidth="1"/>
    <col min="5649" max="5649" width="9.44140625" style="189" customWidth="1"/>
    <col min="5650" max="5650" width="11" style="189" customWidth="1"/>
    <col min="5651" max="5651" width="14" style="189" customWidth="1"/>
    <col min="5652" max="5652" width="9.88671875" style="189" customWidth="1"/>
    <col min="5653" max="5656" width="8.88671875" style="189"/>
    <col min="5657" max="5657" width="15" style="189" customWidth="1"/>
    <col min="5658" max="5658" width="6.44140625" style="189" customWidth="1"/>
    <col min="5659" max="5659" width="5.6640625" style="189" customWidth="1"/>
    <col min="5660" max="5660" width="9.109375" style="189" customWidth="1"/>
    <col min="5661" max="5663" width="8.88671875" style="189"/>
    <col min="5664" max="5664" width="11.6640625" style="189" customWidth="1"/>
    <col min="5665" max="5888" width="8.88671875" style="189"/>
    <col min="5889" max="5889" width="6.44140625" style="189" customWidth="1"/>
    <col min="5890" max="5890" width="43.33203125" style="189" customWidth="1"/>
    <col min="5891" max="5891" width="11.109375" style="189" customWidth="1"/>
    <col min="5892" max="5892" width="13.109375" style="189" customWidth="1"/>
    <col min="5893" max="5893" width="13.88671875" style="189" customWidth="1"/>
    <col min="5894" max="5894" width="8.33203125" style="189" customWidth="1"/>
    <col min="5895" max="5895" width="13" style="189" customWidth="1"/>
    <col min="5896" max="5896" width="8.109375" style="189" customWidth="1"/>
    <col min="5897" max="5897" width="7.88671875" style="189" customWidth="1"/>
    <col min="5898" max="5898" width="11.109375" style="189" customWidth="1"/>
    <col min="5899" max="5899" width="9.44140625" style="189" customWidth="1"/>
    <col min="5900" max="5900" width="9.5546875" style="189" customWidth="1"/>
    <col min="5901" max="5901" width="10.77734375" style="189" customWidth="1"/>
    <col min="5902" max="5902" width="6.5546875" style="189" customWidth="1"/>
    <col min="5903" max="5903" width="7.5546875" style="189" customWidth="1"/>
    <col min="5904" max="5904" width="10.109375" style="189" customWidth="1"/>
    <col min="5905" max="5905" width="9.44140625" style="189" customWidth="1"/>
    <col min="5906" max="5906" width="11" style="189" customWidth="1"/>
    <col min="5907" max="5907" width="14" style="189" customWidth="1"/>
    <col min="5908" max="5908" width="9.88671875" style="189" customWidth="1"/>
    <col min="5909" max="5912" width="8.88671875" style="189"/>
    <col min="5913" max="5913" width="15" style="189" customWidth="1"/>
    <col min="5914" max="5914" width="6.44140625" style="189" customWidth="1"/>
    <col min="5915" max="5915" width="5.6640625" style="189" customWidth="1"/>
    <col min="5916" max="5916" width="9.109375" style="189" customWidth="1"/>
    <col min="5917" max="5919" width="8.88671875" style="189"/>
    <col min="5920" max="5920" width="11.6640625" style="189" customWidth="1"/>
    <col min="5921" max="6144" width="8.88671875" style="189"/>
    <col min="6145" max="6145" width="6.44140625" style="189" customWidth="1"/>
    <col min="6146" max="6146" width="43.33203125" style="189" customWidth="1"/>
    <col min="6147" max="6147" width="11.109375" style="189" customWidth="1"/>
    <col min="6148" max="6148" width="13.109375" style="189" customWidth="1"/>
    <col min="6149" max="6149" width="13.88671875" style="189" customWidth="1"/>
    <col min="6150" max="6150" width="8.33203125" style="189" customWidth="1"/>
    <col min="6151" max="6151" width="13" style="189" customWidth="1"/>
    <col min="6152" max="6152" width="8.109375" style="189" customWidth="1"/>
    <col min="6153" max="6153" width="7.88671875" style="189" customWidth="1"/>
    <col min="6154" max="6154" width="11.109375" style="189" customWidth="1"/>
    <col min="6155" max="6155" width="9.44140625" style="189" customWidth="1"/>
    <col min="6156" max="6156" width="9.5546875" style="189" customWidth="1"/>
    <col min="6157" max="6157" width="10.77734375" style="189" customWidth="1"/>
    <col min="6158" max="6158" width="6.5546875" style="189" customWidth="1"/>
    <col min="6159" max="6159" width="7.5546875" style="189" customWidth="1"/>
    <col min="6160" max="6160" width="10.109375" style="189" customWidth="1"/>
    <col min="6161" max="6161" width="9.44140625" style="189" customWidth="1"/>
    <col min="6162" max="6162" width="11" style="189" customWidth="1"/>
    <col min="6163" max="6163" width="14" style="189" customWidth="1"/>
    <col min="6164" max="6164" width="9.88671875" style="189" customWidth="1"/>
    <col min="6165" max="6168" width="8.88671875" style="189"/>
    <col min="6169" max="6169" width="15" style="189" customWidth="1"/>
    <col min="6170" max="6170" width="6.44140625" style="189" customWidth="1"/>
    <col min="6171" max="6171" width="5.6640625" style="189" customWidth="1"/>
    <col min="6172" max="6172" width="9.109375" style="189" customWidth="1"/>
    <col min="6173" max="6175" width="8.88671875" style="189"/>
    <col min="6176" max="6176" width="11.6640625" style="189" customWidth="1"/>
    <col min="6177" max="6400" width="8.88671875" style="189"/>
    <col min="6401" max="6401" width="6.44140625" style="189" customWidth="1"/>
    <col min="6402" max="6402" width="43.33203125" style="189" customWidth="1"/>
    <col min="6403" max="6403" width="11.109375" style="189" customWidth="1"/>
    <col min="6404" max="6404" width="13.109375" style="189" customWidth="1"/>
    <col min="6405" max="6405" width="13.88671875" style="189" customWidth="1"/>
    <col min="6406" max="6406" width="8.33203125" style="189" customWidth="1"/>
    <col min="6407" max="6407" width="13" style="189" customWidth="1"/>
    <col min="6408" max="6408" width="8.109375" style="189" customWidth="1"/>
    <col min="6409" max="6409" width="7.88671875" style="189" customWidth="1"/>
    <col min="6410" max="6410" width="11.109375" style="189" customWidth="1"/>
    <col min="6411" max="6411" width="9.44140625" style="189" customWidth="1"/>
    <col min="6412" max="6412" width="9.5546875" style="189" customWidth="1"/>
    <col min="6413" max="6413" width="10.77734375" style="189" customWidth="1"/>
    <col min="6414" max="6414" width="6.5546875" style="189" customWidth="1"/>
    <col min="6415" max="6415" width="7.5546875" style="189" customWidth="1"/>
    <col min="6416" max="6416" width="10.109375" style="189" customWidth="1"/>
    <col min="6417" max="6417" width="9.44140625" style="189" customWidth="1"/>
    <col min="6418" max="6418" width="11" style="189" customWidth="1"/>
    <col min="6419" max="6419" width="14" style="189" customWidth="1"/>
    <col min="6420" max="6420" width="9.88671875" style="189" customWidth="1"/>
    <col min="6421" max="6424" width="8.88671875" style="189"/>
    <col min="6425" max="6425" width="15" style="189" customWidth="1"/>
    <col min="6426" max="6426" width="6.44140625" style="189" customWidth="1"/>
    <col min="6427" max="6427" width="5.6640625" style="189" customWidth="1"/>
    <col min="6428" max="6428" width="9.109375" style="189" customWidth="1"/>
    <col min="6429" max="6431" width="8.88671875" style="189"/>
    <col min="6432" max="6432" width="11.6640625" style="189" customWidth="1"/>
    <col min="6433" max="6656" width="8.88671875" style="189"/>
    <col min="6657" max="6657" width="6.44140625" style="189" customWidth="1"/>
    <col min="6658" max="6658" width="43.33203125" style="189" customWidth="1"/>
    <col min="6659" max="6659" width="11.109375" style="189" customWidth="1"/>
    <col min="6660" max="6660" width="13.109375" style="189" customWidth="1"/>
    <col min="6661" max="6661" width="13.88671875" style="189" customWidth="1"/>
    <col min="6662" max="6662" width="8.33203125" style="189" customWidth="1"/>
    <col min="6663" max="6663" width="13" style="189" customWidth="1"/>
    <col min="6664" max="6664" width="8.109375" style="189" customWidth="1"/>
    <col min="6665" max="6665" width="7.88671875" style="189" customWidth="1"/>
    <col min="6666" max="6666" width="11.109375" style="189" customWidth="1"/>
    <col min="6667" max="6667" width="9.44140625" style="189" customWidth="1"/>
    <col min="6668" max="6668" width="9.5546875" style="189" customWidth="1"/>
    <col min="6669" max="6669" width="10.77734375" style="189" customWidth="1"/>
    <col min="6670" max="6670" width="6.5546875" style="189" customWidth="1"/>
    <col min="6671" max="6671" width="7.5546875" style="189" customWidth="1"/>
    <col min="6672" max="6672" width="10.109375" style="189" customWidth="1"/>
    <col min="6673" max="6673" width="9.44140625" style="189" customWidth="1"/>
    <col min="6674" max="6674" width="11" style="189" customWidth="1"/>
    <col min="6675" max="6675" width="14" style="189" customWidth="1"/>
    <col min="6676" max="6676" width="9.88671875" style="189" customWidth="1"/>
    <col min="6677" max="6680" width="8.88671875" style="189"/>
    <col min="6681" max="6681" width="15" style="189" customWidth="1"/>
    <col min="6682" max="6682" width="6.44140625" style="189" customWidth="1"/>
    <col min="6683" max="6683" width="5.6640625" style="189" customWidth="1"/>
    <col min="6684" max="6684" width="9.109375" style="189" customWidth="1"/>
    <col min="6685" max="6687" width="8.88671875" style="189"/>
    <col min="6688" max="6688" width="11.6640625" style="189" customWidth="1"/>
    <col min="6689" max="6912" width="8.88671875" style="189"/>
    <col min="6913" max="6913" width="6.44140625" style="189" customWidth="1"/>
    <col min="6914" max="6914" width="43.33203125" style="189" customWidth="1"/>
    <col min="6915" max="6915" width="11.109375" style="189" customWidth="1"/>
    <col min="6916" max="6916" width="13.109375" style="189" customWidth="1"/>
    <col min="6917" max="6917" width="13.88671875" style="189" customWidth="1"/>
    <col min="6918" max="6918" width="8.33203125" style="189" customWidth="1"/>
    <col min="6919" max="6919" width="13" style="189" customWidth="1"/>
    <col min="6920" max="6920" width="8.109375" style="189" customWidth="1"/>
    <col min="6921" max="6921" width="7.88671875" style="189" customWidth="1"/>
    <col min="6922" max="6922" width="11.109375" style="189" customWidth="1"/>
    <col min="6923" max="6923" width="9.44140625" style="189" customWidth="1"/>
    <col min="6924" max="6924" width="9.5546875" style="189" customWidth="1"/>
    <col min="6925" max="6925" width="10.77734375" style="189" customWidth="1"/>
    <col min="6926" max="6926" width="6.5546875" style="189" customWidth="1"/>
    <col min="6927" max="6927" width="7.5546875" style="189" customWidth="1"/>
    <col min="6928" max="6928" width="10.109375" style="189" customWidth="1"/>
    <col min="6929" max="6929" width="9.44140625" style="189" customWidth="1"/>
    <col min="6930" max="6930" width="11" style="189" customWidth="1"/>
    <col min="6931" max="6931" width="14" style="189" customWidth="1"/>
    <col min="6932" max="6932" width="9.88671875" style="189" customWidth="1"/>
    <col min="6933" max="6936" width="8.88671875" style="189"/>
    <col min="6937" max="6937" width="15" style="189" customWidth="1"/>
    <col min="6938" max="6938" width="6.44140625" style="189" customWidth="1"/>
    <col min="6939" max="6939" width="5.6640625" style="189" customWidth="1"/>
    <col min="6940" max="6940" width="9.109375" style="189" customWidth="1"/>
    <col min="6941" max="6943" width="8.88671875" style="189"/>
    <col min="6944" max="6944" width="11.6640625" style="189" customWidth="1"/>
    <col min="6945" max="7168" width="8.88671875" style="189"/>
    <col min="7169" max="7169" width="6.44140625" style="189" customWidth="1"/>
    <col min="7170" max="7170" width="43.33203125" style="189" customWidth="1"/>
    <col min="7171" max="7171" width="11.109375" style="189" customWidth="1"/>
    <col min="7172" max="7172" width="13.109375" style="189" customWidth="1"/>
    <col min="7173" max="7173" width="13.88671875" style="189" customWidth="1"/>
    <col min="7174" max="7174" width="8.33203125" style="189" customWidth="1"/>
    <col min="7175" max="7175" width="13" style="189" customWidth="1"/>
    <col min="7176" max="7176" width="8.109375" style="189" customWidth="1"/>
    <col min="7177" max="7177" width="7.88671875" style="189" customWidth="1"/>
    <col min="7178" max="7178" width="11.109375" style="189" customWidth="1"/>
    <col min="7179" max="7179" width="9.44140625" style="189" customWidth="1"/>
    <col min="7180" max="7180" width="9.5546875" style="189" customWidth="1"/>
    <col min="7181" max="7181" width="10.77734375" style="189" customWidth="1"/>
    <col min="7182" max="7182" width="6.5546875" style="189" customWidth="1"/>
    <col min="7183" max="7183" width="7.5546875" style="189" customWidth="1"/>
    <col min="7184" max="7184" width="10.109375" style="189" customWidth="1"/>
    <col min="7185" max="7185" width="9.44140625" style="189" customWidth="1"/>
    <col min="7186" max="7186" width="11" style="189" customWidth="1"/>
    <col min="7187" max="7187" width="14" style="189" customWidth="1"/>
    <col min="7188" max="7188" width="9.88671875" style="189" customWidth="1"/>
    <col min="7189" max="7192" width="8.88671875" style="189"/>
    <col min="7193" max="7193" width="15" style="189" customWidth="1"/>
    <col min="7194" max="7194" width="6.44140625" style="189" customWidth="1"/>
    <col min="7195" max="7195" width="5.6640625" style="189" customWidth="1"/>
    <col min="7196" max="7196" width="9.109375" style="189" customWidth="1"/>
    <col min="7197" max="7199" width="8.88671875" style="189"/>
    <col min="7200" max="7200" width="11.6640625" style="189" customWidth="1"/>
    <col min="7201" max="7424" width="8.88671875" style="189"/>
    <col min="7425" max="7425" width="6.44140625" style="189" customWidth="1"/>
    <col min="7426" max="7426" width="43.33203125" style="189" customWidth="1"/>
    <col min="7427" max="7427" width="11.109375" style="189" customWidth="1"/>
    <col min="7428" max="7428" width="13.109375" style="189" customWidth="1"/>
    <col min="7429" max="7429" width="13.88671875" style="189" customWidth="1"/>
    <col min="7430" max="7430" width="8.33203125" style="189" customWidth="1"/>
    <col min="7431" max="7431" width="13" style="189" customWidth="1"/>
    <col min="7432" max="7432" width="8.109375" style="189" customWidth="1"/>
    <col min="7433" max="7433" width="7.88671875" style="189" customWidth="1"/>
    <col min="7434" max="7434" width="11.109375" style="189" customWidth="1"/>
    <col min="7435" max="7435" width="9.44140625" style="189" customWidth="1"/>
    <col min="7436" max="7436" width="9.5546875" style="189" customWidth="1"/>
    <col min="7437" max="7437" width="10.77734375" style="189" customWidth="1"/>
    <col min="7438" max="7438" width="6.5546875" style="189" customWidth="1"/>
    <col min="7439" max="7439" width="7.5546875" style="189" customWidth="1"/>
    <col min="7440" max="7440" width="10.109375" style="189" customWidth="1"/>
    <col min="7441" max="7441" width="9.44140625" style="189" customWidth="1"/>
    <col min="7442" max="7442" width="11" style="189" customWidth="1"/>
    <col min="7443" max="7443" width="14" style="189" customWidth="1"/>
    <col min="7444" max="7444" width="9.88671875" style="189" customWidth="1"/>
    <col min="7445" max="7448" width="8.88671875" style="189"/>
    <col min="7449" max="7449" width="15" style="189" customWidth="1"/>
    <col min="7450" max="7450" width="6.44140625" style="189" customWidth="1"/>
    <col min="7451" max="7451" width="5.6640625" style="189" customWidth="1"/>
    <col min="7452" max="7452" width="9.109375" style="189" customWidth="1"/>
    <col min="7453" max="7455" width="8.88671875" style="189"/>
    <col min="7456" max="7456" width="11.6640625" style="189" customWidth="1"/>
    <col min="7457" max="7680" width="8.88671875" style="189"/>
    <col min="7681" max="7681" width="6.44140625" style="189" customWidth="1"/>
    <col min="7682" max="7682" width="43.33203125" style="189" customWidth="1"/>
    <col min="7683" max="7683" width="11.109375" style="189" customWidth="1"/>
    <col min="7684" max="7684" width="13.109375" style="189" customWidth="1"/>
    <col min="7685" max="7685" width="13.88671875" style="189" customWidth="1"/>
    <col min="7686" max="7686" width="8.33203125" style="189" customWidth="1"/>
    <col min="7687" max="7687" width="13" style="189" customWidth="1"/>
    <col min="7688" max="7688" width="8.109375" style="189" customWidth="1"/>
    <col min="7689" max="7689" width="7.88671875" style="189" customWidth="1"/>
    <col min="7690" max="7690" width="11.109375" style="189" customWidth="1"/>
    <col min="7691" max="7691" width="9.44140625" style="189" customWidth="1"/>
    <col min="7692" max="7692" width="9.5546875" style="189" customWidth="1"/>
    <col min="7693" max="7693" width="10.77734375" style="189" customWidth="1"/>
    <col min="7694" max="7694" width="6.5546875" style="189" customWidth="1"/>
    <col min="7695" max="7695" width="7.5546875" style="189" customWidth="1"/>
    <col min="7696" max="7696" width="10.109375" style="189" customWidth="1"/>
    <col min="7697" max="7697" width="9.44140625" style="189" customWidth="1"/>
    <col min="7698" max="7698" width="11" style="189" customWidth="1"/>
    <col min="7699" max="7699" width="14" style="189" customWidth="1"/>
    <col min="7700" max="7700" width="9.88671875" style="189" customWidth="1"/>
    <col min="7701" max="7704" width="8.88671875" style="189"/>
    <col min="7705" max="7705" width="15" style="189" customWidth="1"/>
    <col min="7706" max="7706" width="6.44140625" style="189" customWidth="1"/>
    <col min="7707" max="7707" width="5.6640625" style="189" customWidth="1"/>
    <col min="7708" max="7708" width="9.109375" style="189" customWidth="1"/>
    <col min="7709" max="7711" width="8.88671875" style="189"/>
    <col min="7712" max="7712" width="11.6640625" style="189" customWidth="1"/>
    <col min="7713" max="7936" width="8.88671875" style="189"/>
    <col min="7937" max="7937" width="6.44140625" style="189" customWidth="1"/>
    <col min="7938" max="7938" width="43.33203125" style="189" customWidth="1"/>
    <col min="7939" max="7939" width="11.109375" style="189" customWidth="1"/>
    <col min="7940" max="7940" width="13.109375" style="189" customWidth="1"/>
    <col min="7941" max="7941" width="13.88671875" style="189" customWidth="1"/>
    <col min="7942" max="7942" width="8.33203125" style="189" customWidth="1"/>
    <col min="7943" max="7943" width="13" style="189" customWidth="1"/>
    <col min="7944" max="7944" width="8.109375" style="189" customWidth="1"/>
    <col min="7945" max="7945" width="7.88671875" style="189" customWidth="1"/>
    <col min="7946" max="7946" width="11.109375" style="189" customWidth="1"/>
    <col min="7947" max="7947" width="9.44140625" style="189" customWidth="1"/>
    <col min="7948" max="7948" width="9.5546875" style="189" customWidth="1"/>
    <col min="7949" max="7949" width="10.77734375" style="189" customWidth="1"/>
    <col min="7950" max="7950" width="6.5546875" style="189" customWidth="1"/>
    <col min="7951" max="7951" width="7.5546875" style="189" customWidth="1"/>
    <col min="7952" max="7952" width="10.109375" style="189" customWidth="1"/>
    <col min="7953" max="7953" width="9.44140625" style="189" customWidth="1"/>
    <col min="7954" max="7954" width="11" style="189" customWidth="1"/>
    <col min="7955" max="7955" width="14" style="189" customWidth="1"/>
    <col min="7956" max="7956" width="9.88671875" style="189" customWidth="1"/>
    <col min="7957" max="7960" width="8.88671875" style="189"/>
    <col min="7961" max="7961" width="15" style="189" customWidth="1"/>
    <col min="7962" max="7962" width="6.44140625" style="189" customWidth="1"/>
    <col min="7963" max="7963" width="5.6640625" style="189" customWidth="1"/>
    <col min="7964" max="7964" width="9.109375" style="189" customWidth="1"/>
    <col min="7965" max="7967" width="8.88671875" style="189"/>
    <col min="7968" max="7968" width="11.6640625" style="189" customWidth="1"/>
    <col min="7969" max="8192" width="8.88671875" style="189"/>
    <col min="8193" max="8193" width="6.44140625" style="189" customWidth="1"/>
    <col min="8194" max="8194" width="43.33203125" style="189" customWidth="1"/>
    <col min="8195" max="8195" width="11.109375" style="189" customWidth="1"/>
    <col min="8196" max="8196" width="13.109375" style="189" customWidth="1"/>
    <col min="8197" max="8197" width="13.88671875" style="189" customWidth="1"/>
    <col min="8198" max="8198" width="8.33203125" style="189" customWidth="1"/>
    <col min="8199" max="8199" width="13" style="189" customWidth="1"/>
    <col min="8200" max="8200" width="8.109375" style="189" customWidth="1"/>
    <col min="8201" max="8201" width="7.88671875" style="189" customWidth="1"/>
    <col min="8202" max="8202" width="11.109375" style="189" customWidth="1"/>
    <col min="8203" max="8203" width="9.44140625" style="189" customWidth="1"/>
    <col min="8204" max="8204" width="9.5546875" style="189" customWidth="1"/>
    <col min="8205" max="8205" width="10.77734375" style="189" customWidth="1"/>
    <col min="8206" max="8206" width="6.5546875" style="189" customWidth="1"/>
    <col min="8207" max="8207" width="7.5546875" style="189" customWidth="1"/>
    <col min="8208" max="8208" width="10.109375" style="189" customWidth="1"/>
    <col min="8209" max="8209" width="9.44140625" style="189" customWidth="1"/>
    <col min="8210" max="8210" width="11" style="189" customWidth="1"/>
    <col min="8211" max="8211" width="14" style="189" customWidth="1"/>
    <col min="8212" max="8212" width="9.88671875" style="189" customWidth="1"/>
    <col min="8213" max="8216" width="8.88671875" style="189"/>
    <col min="8217" max="8217" width="15" style="189" customWidth="1"/>
    <col min="8218" max="8218" width="6.44140625" style="189" customWidth="1"/>
    <col min="8219" max="8219" width="5.6640625" style="189" customWidth="1"/>
    <col min="8220" max="8220" width="9.109375" style="189" customWidth="1"/>
    <col min="8221" max="8223" width="8.88671875" style="189"/>
    <col min="8224" max="8224" width="11.6640625" style="189" customWidth="1"/>
    <col min="8225" max="8448" width="8.88671875" style="189"/>
    <col min="8449" max="8449" width="6.44140625" style="189" customWidth="1"/>
    <col min="8450" max="8450" width="43.33203125" style="189" customWidth="1"/>
    <col min="8451" max="8451" width="11.109375" style="189" customWidth="1"/>
    <col min="8452" max="8452" width="13.109375" style="189" customWidth="1"/>
    <col min="8453" max="8453" width="13.88671875" style="189" customWidth="1"/>
    <col min="8454" max="8454" width="8.33203125" style="189" customWidth="1"/>
    <col min="8455" max="8455" width="13" style="189" customWidth="1"/>
    <col min="8456" max="8456" width="8.109375" style="189" customWidth="1"/>
    <col min="8457" max="8457" width="7.88671875" style="189" customWidth="1"/>
    <col min="8458" max="8458" width="11.109375" style="189" customWidth="1"/>
    <col min="8459" max="8459" width="9.44140625" style="189" customWidth="1"/>
    <col min="8460" max="8460" width="9.5546875" style="189" customWidth="1"/>
    <col min="8461" max="8461" width="10.77734375" style="189" customWidth="1"/>
    <col min="8462" max="8462" width="6.5546875" style="189" customWidth="1"/>
    <col min="8463" max="8463" width="7.5546875" style="189" customWidth="1"/>
    <col min="8464" max="8464" width="10.109375" style="189" customWidth="1"/>
    <col min="8465" max="8465" width="9.44140625" style="189" customWidth="1"/>
    <col min="8466" max="8466" width="11" style="189" customWidth="1"/>
    <col min="8467" max="8467" width="14" style="189" customWidth="1"/>
    <col min="8468" max="8468" width="9.88671875" style="189" customWidth="1"/>
    <col min="8469" max="8472" width="8.88671875" style="189"/>
    <col min="8473" max="8473" width="15" style="189" customWidth="1"/>
    <col min="8474" max="8474" width="6.44140625" style="189" customWidth="1"/>
    <col min="8475" max="8475" width="5.6640625" style="189" customWidth="1"/>
    <col min="8476" max="8476" width="9.109375" style="189" customWidth="1"/>
    <col min="8477" max="8479" width="8.88671875" style="189"/>
    <col min="8480" max="8480" width="11.6640625" style="189" customWidth="1"/>
    <col min="8481" max="8704" width="8.88671875" style="189"/>
    <col min="8705" max="8705" width="6.44140625" style="189" customWidth="1"/>
    <col min="8706" max="8706" width="43.33203125" style="189" customWidth="1"/>
    <col min="8707" max="8707" width="11.109375" style="189" customWidth="1"/>
    <col min="8708" max="8708" width="13.109375" style="189" customWidth="1"/>
    <col min="8709" max="8709" width="13.88671875" style="189" customWidth="1"/>
    <col min="8710" max="8710" width="8.33203125" style="189" customWidth="1"/>
    <col min="8711" max="8711" width="13" style="189" customWidth="1"/>
    <col min="8712" max="8712" width="8.109375" style="189" customWidth="1"/>
    <col min="8713" max="8713" width="7.88671875" style="189" customWidth="1"/>
    <col min="8714" max="8714" width="11.109375" style="189" customWidth="1"/>
    <col min="8715" max="8715" width="9.44140625" style="189" customWidth="1"/>
    <col min="8716" max="8716" width="9.5546875" style="189" customWidth="1"/>
    <col min="8717" max="8717" width="10.77734375" style="189" customWidth="1"/>
    <col min="8718" max="8718" width="6.5546875" style="189" customWidth="1"/>
    <col min="8719" max="8719" width="7.5546875" style="189" customWidth="1"/>
    <col min="8720" max="8720" width="10.109375" style="189" customWidth="1"/>
    <col min="8721" max="8721" width="9.44140625" style="189" customWidth="1"/>
    <col min="8722" max="8722" width="11" style="189" customWidth="1"/>
    <col min="8723" max="8723" width="14" style="189" customWidth="1"/>
    <col min="8724" max="8724" width="9.88671875" style="189" customWidth="1"/>
    <col min="8725" max="8728" width="8.88671875" style="189"/>
    <col min="8729" max="8729" width="15" style="189" customWidth="1"/>
    <col min="8730" max="8730" width="6.44140625" style="189" customWidth="1"/>
    <col min="8731" max="8731" width="5.6640625" style="189" customWidth="1"/>
    <col min="8732" max="8732" width="9.109375" style="189" customWidth="1"/>
    <col min="8733" max="8735" width="8.88671875" style="189"/>
    <col min="8736" max="8736" width="11.6640625" style="189" customWidth="1"/>
    <col min="8737" max="8960" width="8.88671875" style="189"/>
    <col min="8961" max="8961" width="6.44140625" style="189" customWidth="1"/>
    <col min="8962" max="8962" width="43.33203125" style="189" customWidth="1"/>
    <col min="8963" max="8963" width="11.109375" style="189" customWidth="1"/>
    <col min="8964" max="8964" width="13.109375" style="189" customWidth="1"/>
    <col min="8965" max="8965" width="13.88671875" style="189" customWidth="1"/>
    <col min="8966" max="8966" width="8.33203125" style="189" customWidth="1"/>
    <col min="8967" max="8967" width="13" style="189" customWidth="1"/>
    <col min="8968" max="8968" width="8.109375" style="189" customWidth="1"/>
    <col min="8969" max="8969" width="7.88671875" style="189" customWidth="1"/>
    <col min="8970" max="8970" width="11.109375" style="189" customWidth="1"/>
    <col min="8971" max="8971" width="9.44140625" style="189" customWidth="1"/>
    <col min="8972" max="8972" width="9.5546875" style="189" customWidth="1"/>
    <col min="8973" max="8973" width="10.77734375" style="189" customWidth="1"/>
    <col min="8974" max="8974" width="6.5546875" style="189" customWidth="1"/>
    <col min="8975" max="8975" width="7.5546875" style="189" customWidth="1"/>
    <col min="8976" max="8976" width="10.109375" style="189" customWidth="1"/>
    <col min="8977" max="8977" width="9.44140625" style="189" customWidth="1"/>
    <col min="8978" max="8978" width="11" style="189" customWidth="1"/>
    <col min="8979" max="8979" width="14" style="189" customWidth="1"/>
    <col min="8980" max="8980" width="9.88671875" style="189" customWidth="1"/>
    <col min="8981" max="8984" width="8.88671875" style="189"/>
    <col min="8985" max="8985" width="15" style="189" customWidth="1"/>
    <col min="8986" max="8986" width="6.44140625" style="189" customWidth="1"/>
    <col min="8987" max="8987" width="5.6640625" style="189" customWidth="1"/>
    <col min="8988" max="8988" width="9.109375" style="189" customWidth="1"/>
    <col min="8989" max="8991" width="8.88671875" style="189"/>
    <col min="8992" max="8992" width="11.6640625" style="189" customWidth="1"/>
    <col min="8993" max="9216" width="8.88671875" style="189"/>
    <col min="9217" max="9217" width="6.44140625" style="189" customWidth="1"/>
    <col min="9218" max="9218" width="43.33203125" style="189" customWidth="1"/>
    <col min="9219" max="9219" width="11.109375" style="189" customWidth="1"/>
    <col min="9220" max="9220" width="13.109375" style="189" customWidth="1"/>
    <col min="9221" max="9221" width="13.88671875" style="189" customWidth="1"/>
    <col min="9222" max="9222" width="8.33203125" style="189" customWidth="1"/>
    <col min="9223" max="9223" width="13" style="189" customWidth="1"/>
    <col min="9224" max="9224" width="8.109375" style="189" customWidth="1"/>
    <col min="9225" max="9225" width="7.88671875" style="189" customWidth="1"/>
    <col min="9226" max="9226" width="11.109375" style="189" customWidth="1"/>
    <col min="9227" max="9227" width="9.44140625" style="189" customWidth="1"/>
    <col min="9228" max="9228" width="9.5546875" style="189" customWidth="1"/>
    <col min="9229" max="9229" width="10.77734375" style="189" customWidth="1"/>
    <col min="9230" max="9230" width="6.5546875" style="189" customWidth="1"/>
    <col min="9231" max="9231" width="7.5546875" style="189" customWidth="1"/>
    <col min="9232" max="9232" width="10.109375" style="189" customWidth="1"/>
    <col min="9233" max="9233" width="9.44140625" style="189" customWidth="1"/>
    <col min="9234" max="9234" width="11" style="189" customWidth="1"/>
    <col min="9235" max="9235" width="14" style="189" customWidth="1"/>
    <col min="9236" max="9236" width="9.88671875" style="189" customWidth="1"/>
    <col min="9237" max="9240" width="8.88671875" style="189"/>
    <col min="9241" max="9241" width="15" style="189" customWidth="1"/>
    <col min="9242" max="9242" width="6.44140625" style="189" customWidth="1"/>
    <col min="9243" max="9243" width="5.6640625" style="189" customWidth="1"/>
    <col min="9244" max="9244" width="9.109375" style="189" customWidth="1"/>
    <col min="9245" max="9247" width="8.88671875" style="189"/>
    <col min="9248" max="9248" width="11.6640625" style="189" customWidth="1"/>
    <col min="9249" max="9472" width="8.88671875" style="189"/>
    <col min="9473" max="9473" width="6.44140625" style="189" customWidth="1"/>
    <col min="9474" max="9474" width="43.33203125" style="189" customWidth="1"/>
    <col min="9475" max="9475" width="11.109375" style="189" customWidth="1"/>
    <col min="9476" max="9476" width="13.109375" style="189" customWidth="1"/>
    <col min="9477" max="9477" width="13.88671875" style="189" customWidth="1"/>
    <col min="9478" max="9478" width="8.33203125" style="189" customWidth="1"/>
    <col min="9479" max="9479" width="13" style="189" customWidth="1"/>
    <col min="9480" max="9480" width="8.109375" style="189" customWidth="1"/>
    <col min="9481" max="9481" width="7.88671875" style="189" customWidth="1"/>
    <col min="9482" max="9482" width="11.109375" style="189" customWidth="1"/>
    <col min="9483" max="9483" width="9.44140625" style="189" customWidth="1"/>
    <col min="9484" max="9484" width="9.5546875" style="189" customWidth="1"/>
    <col min="9485" max="9485" width="10.77734375" style="189" customWidth="1"/>
    <col min="9486" max="9486" width="6.5546875" style="189" customWidth="1"/>
    <col min="9487" max="9487" width="7.5546875" style="189" customWidth="1"/>
    <col min="9488" max="9488" width="10.109375" style="189" customWidth="1"/>
    <col min="9489" max="9489" width="9.44140625" style="189" customWidth="1"/>
    <col min="9490" max="9490" width="11" style="189" customWidth="1"/>
    <col min="9491" max="9491" width="14" style="189" customWidth="1"/>
    <col min="9492" max="9492" width="9.88671875" style="189" customWidth="1"/>
    <col min="9493" max="9496" width="8.88671875" style="189"/>
    <col min="9497" max="9497" width="15" style="189" customWidth="1"/>
    <col min="9498" max="9498" width="6.44140625" style="189" customWidth="1"/>
    <col min="9499" max="9499" width="5.6640625" style="189" customWidth="1"/>
    <col min="9500" max="9500" width="9.109375" style="189" customWidth="1"/>
    <col min="9501" max="9503" width="8.88671875" style="189"/>
    <col min="9504" max="9504" width="11.6640625" style="189" customWidth="1"/>
    <col min="9505" max="9728" width="8.88671875" style="189"/>
    <col min="9729" max="9729" width="6.44140625" style="189" customWidth="1"/>
    <col min="9730" max="9730" width="43.33203125" style="189" customWidth="1"/>
    <col min="9731" max="9731" width="11.109375" style="189" customWidth="1"/>
    <col min="9732" max="9732" width="13.109375" style="189" customWidth="1"/>
    <col min="9733" max="9733" width="13.88671875" style="189" customWidth="1"/>
    <col min="9734" max="9734" width="8.33203125" style="189" customWidth="1"/>
    <col min="9735" max="9735" width="13" style="189" customWidth="1"/>
    <col min="9736" max="9736" width="8.109375" style="189" customWidth="1"/>
    <col min="9737" max="9737" width="7.88671875" style="189" customWidth="1"/>
    <col min="9738" max="9738" width="11.109375" style="189" customWidth="1"/>
    <col min="9739" max="9739" width="9.44140625" style="189" customWidth="1"/>
    <col min="9740" max="9740" width="9.5546875" style="189" customWidth="1"/>
    <col min="9741" max="9741" width="10.77734375" style="189" customWidth="1"/>
    <col min="9742" max="9742" width="6.5546875" style="189" customWidth="1"/>
    <col min="9743" max="9743" width="7.5546875" style="189" customWidth="1"/>
    <col min="9744" max="9744" width="10.109375" style="189" customWidth="1"/>
    <col min="9745" max="9745" width="9.44140625" style="189" customWidth="1"/>
    <col min="9746" max="9746" width="11" style="189" customWidth="1"/>
    <col min="9747" max="9747" width="14" style="189" customWidth="1"/>
    <col min="9748" max="9748" width="9.88671875" style="189" customWidth="1"/>
    <col min="9749" max="9752" width="8.88671875" style="189"/>
    <col min="9753" max="9753" width="15" style="189" customWidth="1"/>
    <col min="9754" max="9754" width="6.44140625" style="189" customWidth="1"/>
    <col min="9755" max="9755" width="5.6640625" style="189" customWidth="1"/>
    <col min="9756" max="9756" width="9.109375" style="189" customWidth="1"/>
    <col min="9757" max="9759" width="8.88671875" style="189"/>
    <col min="9760" max="9760" width="11.6640625" style="189" customWidth="1"/>
    <col min="9761" max="9984" width="8.88671875" style="189"/>
    <col min="9985" max="9985" width="6.44140625" style="189" customWidth="1"/>
    <col min="9986" max="9986" width="43.33203125" style="189" customWidth="1"/>
    <col min="9987" max="9987" width="11.109375" style="189" customWidth="1"/>
    <col min="9988" max="9988" width="13.109375" style="189" customWidth="1"/>
    <col min="9989" max="9989" width="13.88671875" style="189" customWidth="1"/>
    <col min="9990" max="9990" width="8.33203125" style="189" customWidth="1"/>
    <col min="9991" max="9991" width="13" style="189" customWidth="1"/>
    <col min="9992" max="9992" width="8.109375" style="189" customWidth="1"/>
    <col min="9993" max="9993" width="7.88671875" style="189" customWidth="1"/>
    <col min="9994" max="9994" width="11.109375" style="189" customWidth="1"/>
    <col min="9995" max="9995" width="9.44140625" style="189" customWidth="1"/>
    <col min="9996" max="9996" width="9.5546875" style="189" customWidth="1"/>
    <col min="9997" max="9997" width="10.77734375" style="189" customWidth="1"/>
    <col min="9998" max="9998" width="6.5546875" style="189" customWidth="1"/>
    <col min="9999" max="9999" width="7.5546875" style="189" customWidth="1"/>
    <col min="10000" max="10000" width="10.109375" style="189" customWidth="1"/>
    <col min="10001" max="10001" width="9.44140625" style="189" customWidth="1"/>
    <col min="10002" max="10002" width="11" style="189" customWidth="1"/>
    <col min="10003" max="10003" width="14" style="189" customWidth="1"/>
    <col min="10004" max="10004" width="9.88671875" style="189" customWidth="1"/>
    <col min="10005" max="10008" width="8.88671875" style="189"/>
    <col min="10009" max="10009" width="15" style="189" customWidth="1"/>
    <col min="10010" max="10010" width="6.44140625" style="189" customWidth="1"/>
    <col min="10011" max="10011" width="5.6640625" style="189" customWidth="1"/>
    <col min="10012" max="10012" width="9.109375" style="189" customWidth="1"/>
    <col min="10013" max="10015" width="8.88671875" style="189"/>
    <col min="10016" max="10016" width="11.6640625" style="189" customWidth="1"/>
    <col min="10017" max="10240" width="8.88671875" style="189"/>
    <col min="10241" max="10241" width="6.44140625" style="189" customWidth="1"/>
    <col min="10242" max="10242" width="43.33203125" style="189" customWidth="1"/>
    <col min="10243" max="10243" width="11.109375" style="189" customWidth="1"/>
    <col min="10244" max="10244" width="13.109375" style="189" customWidth="1"/>
    <col min="10245" max="10245" width="13.88671875" style="189" customWidth="1"/>
    <col min="10246" max="10246" width="8.33203125" style="189" customWidth="1"/>
    <col min="10247" max="10247" width="13" style="189" customWidth="1"/>
    <col min="10248" max="10248" width="8.109375" style="189" customWidth="1"/>
    <col min="10249" max="10249" width="7.88671875" style="189" customWidth="1"/>
    <col min="10250" max="10250" width="11.109375" style="189" customWidth="1"/>
    <col min="10251" max="10251" width="9.44140625" style="189" customWidth="1"/>
    <col min="10252" max="10252" width="9.5546875" style="189" customWidth="1"/>
    <col min="10253" max="10253" width="10.77734375" style="189" customWidth="1"/>
    <col min="10254" max="10254" width="6.5546875" style="189" customWidth="1"/>
    <col min="10255" max="10255" width="7.5546875" style="189" customWidth="1"/>
    <col min="10256" max="10256" width="10.109375" style="189" customWidth="1"/>
    <col min="10257" max="10257" width="9.44140625" style="189" customWidth="1"/>
    <col min="10258" max="10258" width="11" style="189" customWidth="1"/>
    <col min="10259" max="10259" width="14" style="189" customWidth="1"/>
    <col min="10260" max="10260" width="9.88671875" style="189" customWidth="1"/>
    <col min="10261" max="10264" width="8.88671875" style="189"/>
    <col min="10265" max="10265" width="15" style="189" customWidth="1"/>
    <col min="10266" max="10266" width="6.44140625" style="189" customWidth="1"/>
    <col min="10267" max="10267" width="5.6640625" style="189" customWidth="1"/>
    <col min="10268" max="10268" width="9.109375" style="189" customWidth="1"/>
    <col min="10269" max="10271" width="8.88671875" style="189"/>
    <col min="10272" max="10272" width="11.6640625" style="189" customWidth="1"/>
    <col min="10273" max="10496" width="8.88671875" style="189"/>
    <col min="10497" max="10497" width="6.44140625" style="189" customWidth="1"/>
    <col min="10498" max="10498" width="43.33203125" style="189" customWidth="1"/>
    <col min="10499" max="10499" width="11.109375" style="189" customWidth="1"/>
    <col min="10500" max="10500" width="13.109375" style="189" customWidth="1"/>
    <col min="10501" max="10501" width="13.88671875" style="189" customWidth="1"/>
    <col min="10502" max="10502" width="8.33203125" style="189" customWidth="1"/>
    <col min="10503" max="10503" width="13" style="189" customWidth="1"/>
    <col min="10504" max="10504" width="8.109375" style="189" customWidth="1"/>
    <col min="10505" max="10505" width="7.88671875" style="189" customWidth="1"/>
    <col min="10506" max="10506" width="11.109375" style="189" customWidth="1"/>
    <col min="10507" max="10507" width="9.44140625" style="189" customWidth="1"/>
    <col min="10508" max="10508" width="9.5546875" style="189" customWidth="1"/>
    <col min="10509" max="10509" width="10.77734375" style="189" customWidth="1"/>
    <col min="10510" max="10510" width="6.5546875" style="189" customWidth="1"/>
    <col min="10511" max="10511" width="7.5546875" style="189" customWidth="1"/>
    <col min="10512" max="10512" width="10.109375" style="189" customWidth="1"/>
    <col min="10513" max="10513" width="9.44140625" style="189" customWidth="1"/>
    <col min="10514" max="10514" width="11" style="189" customWidth="1"/>
    <col min="10515" max="10515" width="14" style="189" customWidth="1"/>
    <col min="10516" max="10516" width="9.88671875" style="189" customWidth="1"/>
    <col min="10517" max="10520" width="8.88671875" style="189"/>
    <col min="10521" max="10521" width="15" style="189" customWidth="1"/>
    <col min="10522" max="10522" width="6.44140625" style="189" customWidth="1"/>
    <col min="10523" max="10523" width="5.6640625" style="189" customWidth="1"/>
    <col min="10524" max="10524" width="9.109375" style="189" customWidth="1"/>
    <col min="10525" max="10527" width="8.88671875" style="189"/>
    <col min="10528" max="10528" width="11.6640625" style="189" customWidth="1"/>
    <col min="10529" max="10752" width="8.88671875" style="189"/>
    <col min="10753" max="10753" width="6.44140625" style="189" customWidth="1"/>
    <col min="10754" max="10754" width="43.33203125" style="189" customWidth="1"/>
    <col min="10755" max="10755" width="11.109375" style="189" customWidth="1"/>
    <col min="10756" max="10756" width="13.109375" style="189" customWidth="1"/>
    <col min="10757" max="10757" width="13.88671875" style="189" customWidth="1"/>
    <col min="10758" max="10758" width="8.33203125" style="189" customWidth="1"/>
    <col min="10759" max="10759" width="13" style="189" customWidth="1"/>
    <col min="10760" max="10760" width="8.109375" style="189" customWidth="1"/>
    <col min="10761" max="10761" width="7.88671875" style="189" customWidth="1"/>
    <col min="10762" max="10762" width="11.109375" style="189" customWidth="1"/>
    <col min="10763" max="10763" width="9.44140625" style="189" customWidth="1"/>
    <col min="10764" max="10764" width="9.5546875" style="189" customWidth="1"/>
    <col min="10765" max="10765" width="10.77734375" style="189" customWidth="1"/>
    <col min="10766" max="10766" width="6.5546875" style="189" customWidth="1"/>
    <col min="10767" max="10767" width="7.5546875" style="189" customWidth="1"/>
    <col min="10768" max="10768" width="10.109375" style="189" customWidth="1"/>
    <col min="10769" max="10769" width="9.44140625" style="189" customWidth="1"/>
    <col min="10770" max="10770" width="11" style="189" customWidth="1"/>
    <col min="10771" max="10771" width="14" style="189" customWidth="1"/>
    <col min="10772" max="10772" width="9.88671875" style="189" customWidth="1"/>
    <col min="10773" max="10776" width="8.88671875" style="189"/>
    <col min="10777" max="10777" width="15" style="189" customWidth="1"/>
    <col min="10778" max="10778" width="6.44140625" style="189" customWidth="1"/>
    <col min="10779" max="10779" width="5.6640625" style="189" customWidth="1"/>
    <col min="10780" max="10780" width="9.109375" style="189" customWidth="1"/>
    <col min="10781" max="10783" width="8.88671875" style="189"/>
    <col min="10784" max="10784" width="11.6640625" style="189" customWidth="1"/>
    <col min="10785" max="11008" width="8.88671875" style="189"/>
    <col min="11009" max="11009" width="6.44140625" style="189" customWidth="1"/>
    <col min="11010" max="11010" width="43.33203125" style="189" customWidth="1"/>
    <col min="11011" max="11011" width="11.109375" style="189" customWidth="1"/>
    <col min="11012" max="11012" width="13.109375" style="189" customWidth="1"/>
    <col min="11013" max="11013" width="13.88671875" style="189" customWidth="1"/>
    <col min="11014" max="11014" width="8.33203125" style="189" customWidth="1"/>
    <col min="11015" max="11015" width="13" style="189" customWidth="1"/>
    <col min="11016" max="11016" width="8.109375" style="189" customWidth="1"/>
    <col min="11017" max="11017" width="7.88671875" style="189" customWidth="1"/>
    <col min="11018" max="11018" width="11.109375" style="189" customWidth="1"/>
    <col min="11019" max="11019" width="9.44140625" style="189" customWidth="1"/>
    <col min="11020" max="11020" width="9.5546875" style="189" customWidth="1"/>
    <col min="11021" max="11021" width="10.77734375" style="189" customWidth="1"/>
    <col min="11022" max="11022" width="6.5546875" style="189" customWidth="1"/>
    <col min="11023" max="11023" width="7.5546875" style="189" customWidth="1"/>
    <col min="11024" max="11024" width="10.109375" style="189" customWidth="1"/>
    <col min="11025" max="11025" width="9.44140625" style="189" customWidth="1"/>
    <col min="11026" max="11026" width="11" style="189" customWidth="1"/>
    <col min="11027" max="11027" width="14" style="189" customWidth="1"/>
    <col min="11028" max="11028" width="9.88671875" style="189" customWidth="1"/>
    <col min="11029" max="11032" width="8.88671875" style="189"/>
    <col min="11033" max="11033" width="15" style="189" customWidth="1"/>
    <col min="11034" max="11034" width="6.44140625" style="189" customWidth="1"/>
    <col min="11035" max="11035" width="5.6640625" style="189" customWidth="1"/>
    <col min="11036" max="11036" width="9.109375" style="189" customWidth="1"/>
    <col min="11037" max="11039" width="8.88671875" style="189"/>
    <col min="11040" max="11040" width="11.6640625" style="189" customWidth="1"/>
    <col min="11041" max="11264" width="8.88671875" style="189"/>
    <col min="11265" max="11265" width="6.44140625" style="189" customWidth="1"/>
    <col min="11266" max="11266" width="43.33203125" style="189" customWidth="1"/>
    <col min="11267" max="11267" width="11.109375" style="189" customWidth="1"/>
    <col min="11268" max="11268" width="13.109375" style="189" customWidth="1"/>
    <col min="11269" max="11269" width="13.88671875" style="189" customWidth="1"/>
    <col min="11270" max="11270" width="8.33203125" style="189" customWidth="1"/>
    <col min="11271" max="11271" width="13" style="189" customWidth="1"/>
    <col min="11272" max="11272" width="8.109375" style="189" customWidth="1"/>
    <col min="11273" max="11273" width="7.88671875" style="189" customWidth="1"/>
    <col min="11274" max="11274" width="11.109375" style="189" customWidth="1"/>
    <col min="11275" max="11275" width="9.44140625" style="189" customWidth="1"/>
    <col min="11276" max="11276" width="9.5546875" style="189" customWidth="1"/>
    <col min="11277" max="11277" width="10.77734375" style="189" customWidth="1"/>
    <col min="11278" max="11278" width="6.5546875" style="189" customWidth="1"/>
    <col min="11279" max="11279" width="7.5546875" style="189" customWidth="1"/>
    <col min="11280" max="11280" width="10.109375" style="189" customWidth="1"/>
    <col min="11281" max="11281" width="9.44140625" style="189" customWidth="1"/>
    <col min="11282" max="11282" width="11" style="189" customWidth="1"/>
    <col min="11283" max="11283" width="14" style="189" customWidth="1"/>
    <col min="11284" max="11284" width="9.88671875" style="189" customWidth="1"/>
    <col min="11285" max="11288" width="8.88671875" style="189"/>
    <col min="11289" max="11289" width="15" style="189" customWidth="1"/>
    <col min="11290" max="11290" width="6.44140625" style="189" customWidth="1"/>
    <col min="11291" max="11291" width="5.6640625" style="189" customWidth="1"/>
    <col min="11292" max="11292" width="9.109375" style="189" customWidth="1"/>
    <col min="11293" max="11295" width="8.88671875" style="189"/>
    <col min="11296" max="11296" width="11.6640625" style="189" customWidth="1"/>
    <col min="11297" max="11520" width="8.88671875" style="189"/>
    <col min="11521" max="11521" width="6.44140625" style="189" customWidth="1"/>
    <col min="11522" max="11522" width="43.33203125" style="189" customWidth="1"/>
    <col min="11523" max="11523" width="11.109375" style="189" customWidth="1"/>
    <col min="11524" max="11524" width="13.109375" style="189" customWidth="1"/>
    <col min="11525" max="11525" width="13.88671875" style="189" customWidth="1"/>
    <col min="11526" max="11526" width="8.33203125" style="189" customWidth="1"/>
    <col min="11527" max="11527" width="13" style="189" customWidth="1"/>
    <col min="11528" max="11528" width="8.109375" style="189" customWidth="1"/>
    <col min="11529" max="11529" width="7.88671875" style="189" customWidth="1"/>
    <col min="11530" max="11530" width="11.109375" style="189" customWidth="1"/>
    <col min="11531" max="11531" width="9.44140625" style="189" customWidth="1"/>
    <col min="11532" max="11532" width="9.5546875" style="189" customWidth="1"/>
    <col min="11533" max="11533" width="10.77734375" style="189" customWidth="1"/>
    <col min="11534" max="11534" width="6.5546875" style="189" customWidth="1"/>
    <col min="11535" max="11535" width="7.5546875" style="189" customWidth="1"/>
    <col min="11536" max="11536" width="10.109375" style="189" customWidth="1"/>
    <col min="11537" max="11537" width="9.44140625" style="189" customWidth="1"/>
    <col min="11538" max="11538" width="11" style="189" customWidth="1"/>
    <col min="11539" max="11539" width="14" style="189" customWidth="1"/>
    <col min="11540" max="11540" width="9.88671875" style="189" customWidth="1"/>
    <col min="11541" max="11544" width="8.88671875" style="189"/>
    <col min="11545" max="11545" width="15" style="189" customWidth="1"/>
    <col min="11546" max="11546" width="6.44140625" style="189" customWidth="1"/>
    <col min="11547" max="11547" width="5.6640625" style="189" customWidth="1"/>
    <col min="11548" max="11548" width="9.109375" style="189" customWidth="1"/>
    <col min="11549" max="11551" width="8.88671875" style="189"/>
    <col min="11552" max="11552" width="11.6640625" style="189" customWidth="1"/>
    <col min="11553" max="11776" width="8.88671875" style="189"/>
    <col min="11777" max="11777" width="6.44140625" style="189" customWidth="1"/>
    <col min="11778" max="11778" width="43.33203125" style="189" customWidth="1"/>
    <col min="11779" max="11779" width="11.109375" style="189" customWidth="1"/>
    <col min="11780" max="11780" width="13.109375" style="189" customWidth="1"/>
    <col min="11781" max="11781" width="13.88671875" style="189" customWidth="1"/>
    <col min="11782" max="11782" width="8.33203125" style="189" customWidth="1"/>
    <col min="11783" max="11783" width="13" style="189" customWidth="1"/>
    <col min="11784" max="11784" width="8.109375" style="189" customWidth="1"/>
    <col min="11785" max="11785" width="7.88671875" style="189" customWidth="1"/>
    <col min="11786" max="11786" width="11.109375" style="189" customWidth="1"/>
    <col min="11787" max="11787" width="9.44140625" style="189" customWidth="1"/>
    <col min="11788" max="11788" width="9.5546875" style="189" customWidth="1"/>
    <col min="11789" max="11789" width="10.77734375" style="189" customWidth="1"/>
    <col min="11790" max="11790" width="6.5546875" style="189" customWidth="1"/>
    <col min="11791" max="11791" width="7.5546875" style="189" customWidth="1"/>
    <col min="11792" max="11792" width="10.109375" style="189" customWidth="1"/>
    <col min="11793" max="11793" width="9.44140625" style="189" customWidth="1"/>
    <col min="11794" max="11794" width="11" style="189" customWidth="1"/>
    <col min="11795" max="11795" width="14" style="189" customWidth="1"/>
    <col min="11796" max="11796" width="9.88671875" style="189" customWidth="1"/>
    <col min="11797" max="11800" width="8.88671875" style="189"/>
    <col min="11801" max="11801" width="15" style="189" customWidth="1"/>
    <col min="11802" max="11802" width="6.44140625" style="189" customWidth="1"/>
    <col min="11803" max="11803" width="5.6640625" style="189" customWidth="1"/>
    <col min="11804" max="11804" width="9.109375" style="189" customWidth="1"/>
    <col min="11805" max="11807" width="8.88671875" style="189"/>
    <col min="11808" max="11808" width="11.6640625" style="189" customWidth="1"/>
    <col min="11809" max="12032" width="8.88671875" style="189"/>
    <col min="12033" max="12033" width="6.44140625" style="189" customWidth="1"/>
    <col min="12034" max="12034" width="43.33203125" style="189" customWidth="1"/>
    <col min="12035" max="12035" width="11.109375" style="189" customWidth="1"/>
    <col min="12036" max="12036" width="13.109375" style="189" customWidth="1"/>
    <col min="12037" max="12037" width="13.88671875" style="189" customWidth="1"/>
    <col min="12038" max="12038" width="8.33203125" style="189" customWidth="1"/>
    <col min="12039" max="12039" width="13" style="189" customWidth="1"/>
    <col min="12040" max="12040" width="8.109375" style="189" customWidth="1"/>
    <col min="12041" max="12041" width="7.88671875" style="189" customWidth="1"/>
    <col min="12042" max="12042" width="11.109375" style="189" customWidth="1"/>
    <col min="12043" max="12043" width="9.44140625" style="189" customWidth="1"/>
    <col min="12044" max="12044" width="9.5546875" style="189" customWidth="1"/>
    <col min="12045" max="12045" width="10.77734375" style="189" customWidth="1"/>
    <col min="12046" max="12046" width="6.5546875" style="189" customWidth="1"/>
    <col min="12047" max="12047" width="7.5546875" style="189" customWidth="1"/>
    <col min="12048" max="12048" width="10.109375" style="189" customWidth="1"/>
    <col min="12049" max="12049" width="9.44140625" style="189" customWidth="1"/>
    <col min="12050" max="12050" width="11" style="189" customWidth="1"/>
    <col min="12051" max="12051" width="14" style="189" customWidth="1"/>
    <col min="12052" max="12052" width="9.88671875" style="189" customWidth="1"/>
    <col min="12053" max="12056" width="8.88671875" style="189"/>
    <col min="12057" max="12057" width="15" style="189" customWidth="1"/>
    <col min="12058" max="12058" width="6.44140625" style="189" customWidth="1"/>
    <col min="12059" max="12059" width="5.6640625" style="189" customWidth="1"/>
    <col min="12060" max="12060" width="9.109375" style="189" customWidth="1"/>
    <col min="12061" max="12063" width="8.88671875" style="189"/>
    <col min="12064" max="12064" width="11.6640625" style="189" customWidth="1"/>
    <col min="12065" max="12288" width="8.88671875" style="189"/>
    <col min="12289" max="12289" width="6.44140625" style="189" customWidth="1"/>
    <col min="12290" max="12290" width="43.33203125" style="189" customWidth="1"/>
    <col min="12291" max="12291" width="11.109375" style="189" customWidth="1"/>
    <col min="12292" max="12292" width="13.109375" style="189" customWidth="1"/>
    <col min="12293" max="12293" width="13.88671875" style="189" customWidth="1"/>
    <col min="12294" max="12294" width="8.33203125" style="189" customWidth="1"/>
    <col min="12295" max="12295" width="13" style="189" customWidth="1"/>
    <col min="12296" max="12296" width="8.109375" style="189" customWidth="1"/>
    <col min="12297" max="12297" width="7.88671875" style="189" customWidth="1"/>
    <col min="12298" max="12298" width="11.109375" style="189" customWidth="1"/>
    <col min="12299" max="12299" width="9.44140625" style="189" customWidth="1"/>
    <col min="12300" max="12300" width="9.5546875" style="189" customWidth="1"/>
    <col min="12301" max="12301" width="10.77734375" style="189" customWidth="1"/>
    <col min="12302" max="12302" width="6.5546875" style="189" customWidth="1"/>
    <col min="12303" max="12303" width="7.5546875" style="189" customWidth="1"/>
    <col min="12304" max="12304" width="10.109375" style="189" customWidth="1"/>
    <col min="12305" max="12305" width="9.44140625" style="189" customWidth="1"/>
    <col min="12306" max="12306" width="11" style="189" customWidth="1"/>
    <col min="12307" max="12307" width="14" style="189" customWidth="1"/>
    <col min="12308" max="12308" width="9.88671875" style="189" customWidth="1"/>
    <col min="12309" max="12312" width="8.88671875" style="189"/>
    <col min="12313" max="12313" width="15" style="189" customWidth="1"/>
    <col min="12314" max="12314" width="6.44140625" style="189" customWidth="1"/>
    <col min="12315" max="12315" width="5.6640625" style="189" customWidth="1"/>
    <col min="12316" max="12316" width="9.109375" style="189" customWidth="1"/>
    <col min="12317" max="12319" width="8.88671875" style="189"/>
    <col min="12320" max="12320" width="11.6640625" style="189" customWidth="1"/>
    <col min="12321" max="12544" width="8.88671875" style="189"/>
    <col min="12545" max="12545" width="6.44140625" style="189" customWidth="1"/>
    <col min="12546" max="12546" width="43.33203125" style="189" customWidth="1"/>
    <col min="12547" max="12547" width="11.109375" style="189" customWidth="1"/>
    <col min="12548" max="12548" width="13.109375" style="189" customWidth="1"/>
    <col min="12549" max="12549" width="13.88671875" style="189" customWidth="1"/>
    <col min="12550" max="12550" width="8.33203125" style="189" customWidth="1"/>
    <col min="12551" max="12551" width="13" style="189" customWidth="1"/>
    <col min="12552" max="12552" width="8.109375" style="189" customWidth="1"/>
    <col min="12553" max="12553" width="7.88671875" style="189" customWidth="1"/>
    <col min="12554" max="12554" width="11.109375" style="189" customWidth="1"/>
    <col min="12555" max="12555" width="9.44140625" style="189" customWidth="1"/>
    <col min="12556" max="12556" width="9.5546875" style="189" customWidth="1"/>
    <col min="12557" max="12557" width="10.77734375" style="189" customWidth="1"/>
    <col min="12558" max="12558" width="6.5546875" style="189" customWidth="1"/>
    <col min="12559" max="12559" width="7.5546875" style="189" customWidth="1"/>
    <col min="12560" max="12560" width="10.109375" style="189" customWidth="1"/>
    <col min="12561" max="12561" width="9.44140625" style="189" customWidth="1"/>
    <col min="12562" max="12562" width="11" style="189" customWidth="1"/>
    <col min="12563" max="12563" width="14" style="189" customWidth="1"/>
    <col min="12564" max="12564" width="9.88671875" style="189" customWidth="1"/>
    <col min="12565" max="12568" width="8.88671875" style="189"/>
    <col min="12569" max="12569" width="15" style="189" customWidth="1"/>
    <col min="12570" max="12570" width="6.44140625" style="189" customWidth="1"/>
    <col min="12571" max="12571" width="5.6640625" style="189" customWidth="1"/>
    <col min="12572" max="12572" width="9.109375" style="189" customWidth="1"/>
    <col min="12573" max="12575" width="8.88671875" style="189"/>
    <col min="12576" max="12576" width="11.6640625" style="189" customWidth="1"/>
    <col min="12577" max="12800" width="8.88671875" style="189"/>
    <col min="12801" max="12801" width="6.44140625" style="189" customWidth="1"/>
    <col min="12802" max="12802" width="43.33203125" style="189" customWidth="1"/>
    <col min="12803" max="12803" width="11.109375" style="189" customWidth="1"/>
    <col min="12804" max="12804" width="13.109375" style="189" customWidth="1"/>
    <col min="12805" max="12805" width="13.88671875" style="189" customWidth="1"/>
    <col min="12806" max="12806" width="8.33203125" style="189" customWidth="1"/>
    <col min="12807" max="12807" width="13" style="189" customWidth="1"/>
    <col min="12808" max="12808" width="8.109375" style="189" customWidth="1"/>
    <col min="12809" max="12809" width="7.88671875" style="189" customWidth="1"/>
    <col min="12810" max="12810" width="11.109375" style="189" customWidth="1"/>
    <col min="12811" max="12811" width="9.44140625" style="189" customWidth="1"/>
    <col min="12812" max="12812" width="9.5546875" style="189" customWidth="1"/>
    <col min="12813" max="12813" width="10.77734375" style="189" customWidth="1"/>
    <col min="12814" max="12814" width="6.5546875" style="189" customWidth="1"/>
    <col min="12815" max="12815" width="7.5546875" style="189" customWidth="1"/>
    <col min="12816" max="12816" width="10.109375" style="189" customWidth="1"/>
    <col min="12817" max="12817" width="9.44140625" style="189" customWidth="1"/>
    <col min="12818" max="12818" width="11" style="189" customWidth="1"/>
    <col min="12819" max="12819" width="14" style="189" customWidth="1"/>
    <col min="12820" max="12820" width="9.88671875" style="189" customWidth="1"/>
    <col min="12821" max="12824" width="8.88671875" style="189"/>
    <col min="12825" max="12825" width="15" style="189" customWidth="1"/>
    <col min="12826" max="12826" width="6.44140625" style="189" customWidth="1"/>
    <col min="12827" max="12827" width="5.6640625" style="189" customWidth="1"/>
    <col min="12828" max="12828" width="9.109375" style="189" customWidth="1"/>
    <col min="12829" max="12831" width="8.88671875" style="189"/>
    <col min="12832" max="12832" width="11.6640625" style="189" customWidth="1"/>
    <col min="12833" max="13056" width="8.88671875" style="189"/>
    <col min="13057" max="13057" width="6.44140625" style="189" customWidth="1"/>
    <col min="13058" max="13058" width="43.33203125" style="189" customWidth="1"/>
    <col min="13059" max="13059" width="11.109375" style="189" customWidth="1"/>
    <col min="13060" max="13060" width="13.109375" style="189" customWidth="1"/>
    <col min="13061" max="13061" width="13.88671875" style="189" customWidth="1"/>
    <col min="13062" max="13062" width="8.33203125" style="189" customWidth="1"/>
    <col min="13063" max="13063" width="13" style="189" customWidth="1"/>
    <col min="13064" max="13064" width="8.109375" style="189" customWidth="1"/>
    <col min="13065" max="13065" width="7.88671875" style="189" customWidth="1"/>
    <col min="13066" max="13066" width="11.109375" style="189" customWidth="1"/>
    <col min="13067" max="13067" width="9.44140625" style="189" customWidth="1"/>
    <col min="13068" max="13068" width="9.5546875" style="189" customWidth="1"/>
    <col min="13069" max="13069" width="10.77734375" style="189" customWidth="1"/>
    <col min="13070" max="13070" width="6.5546875" style="189" customWidth="1"/>
    <col min="13071" max="13071" width="7.5546875" style="189" customWidth="1"/>
    <col min="13072" max="13072" width="10.109375" style="189" customWidth="1"/>
    <col min="13073" max="13073" width="9.44140625" style="189" customWidth="1"/>
    <col min="13074" max="13074" width="11" style="189" customWidth="1"/>
    <col min="13075" max="13075" width="14" style="189" customWidth="1"/>
    <col min="13076" max="13076" width="9.88671875" style="189" customWidth="1"/>
    <col min="13077" max="13080" width="8.88671875" style="189"/>
    <col min="13081" max="13081" width="15" style="189" customWidth="1"/>
    <col min="13082" max="13082" width="6.44140625" style="189" customWidth="1"/>
    <col min="13083" max="13083" width="5.6640625" style="189" customWidth="1"/>
    <col min="13084" max="13084" width="9.109375" style="189" customWidth="1"/>
    <col min="13085" max="13087" width="8.88671875" style="189"/>
    <col min="13088" max="13088" width="11.6640625" style="189" customWidth="1"/>
    <col min="13089" max="13312" width="8.88671875" style="189"/>
    <col min="13313" max="13313" width="6.44140625" style="189" customWidth="1"/>
    <col min="13314" max="13314" width="43.33203125" style="189" customWidth="1"/>
    <col min="13315" max="13315" width="11.109375" style="189" customWidth="1"/>
    <col min="13316" max="13316" width="13.109375" style="189" customWidth="1"/>
    <col min="13317" max="13317" width="13.88671875" style="189" customWidth="1"/>
    <col min="13318" max="13318" width="8.33203125" style="189" customWidth="1"/>
    <col min="13319" max="13319" width="13" style="189" customWidth="1"/>
    <col min="13320" max="13320" width="8.109375" style="189" customWidth="1"/>
    <col min="13321" max="13321" width="7.88671875" style="189" customWidth="1"/>
    <col min="13322" max="13322" width="11.109375" style="189" customWidth="1"/>
    <col min="13323" max="13323" width="9.44140625" style="189" customWidth="1"/>
    <col min="13324" max="13324" width="9.5546875" style="189" customWidth="1"/>
    <col min="13325" max="13325" width="10.77734375" style="189" customWidth="1"/>
    <col min="13326" max="13326" width="6.5546875" style="189" customWidth="1"/>
    <col min="13327" max="13327" width="7.5546875" style="189" customWidth="1"/>
    <col min="13328" max="13328" width="10.109375" style="189" customWidth="1"/>
    <col min="13329" max="13329" width="9.44140625" style="189" customWidth="1"/>
    <col min="13330" max="13330" width="11" style="189" customWidth="1"/>
    <col min="13331" max="13331" width="14" style="189" customWidth="1"/>
    <col min="13332" max="13332" width="9.88671875" style="189" customWidth="1"/>
    <col min="13333" max="13336" width="8.88671875" style="189"/>
    <col min="13337" max="13337" width="15" style="189" customWidth="1"/>
    <col min="13338" max="13338" width="6.44140625" style="189" customWidth="1"/>
    <col min="13339" max="13339" width="5.6640625" style="189" customWidth="1"/>
    <col min="13340" max="13340" width="9.109375" style="189" customWidth="1"/>
    <col min="13341" max="13343" width="8.88671875" style="189"/>
    <col min="13344" max="13344" width="11.6640625" style="189" customWidth="1"/>
    <col min="13345" max="13568" width="8.88671875" style="189"/>
    <col min="13569" max="13569" width="6.44140625" style="189" customWidth="1"/>
    <col min="13570" max="13570" width="43.33203125" style="189" customWidth="1"/>
    <col min="13571" max="13571" width="11.109375" style="189" customWidth="1"/>
    <col min="13572" max="13572" width="13.109375" style="189" customWidth="1"/>
    <col min="13573" max="13573" width="13.88671875" style="189" customWidth="1"/>
    <col min="13574" max="13574" width="8.33203125" style="189" customWidth="1"/>
    <col min="13575" max="13575" width="13" style="189" customWidth="1"/>
    <col min="13576" max="13576" width="8.109375" style="189" customWidth="1"/>
    <col min="13577" max="13577" width="7.88671875" style="189" customWidth="1"/>
    <col min="13578" max="13578" width="11.109375" style="189" customWidth="1"/>
    <col min="13579" max="13579" width="9.44140625" style="189" customWidth="1"/>
    <col min="13580" max="13580" width="9.5546875" style="189" customWidth="1"/>
    <col min="13581" max="13581" width="10.77734375" style="189" customWidth="1"/>
    <col min="13582" max="13582" width="6.5546875" style="189" customWidth="1"/>
    <col min="13583" max="13583" width="7.5546875" style="189" customWidth="1"/>
    <col min="13584" max="13584" width="10.109375" style="189" customWidth="1"/>
    <col min="13585" max="13585" width="9.44140625" style="189" customWidth="1"/>
    <col min="13586" max="13586" width="11" style="189" customWidth="1"/>
    <col min="13587" max="13587" width="14" style="189" customWidth="1"/>
    <col min="13588" max="13588" width="9.88671875" style="189" customWidth="1"/>
    <col min="13589" max="13592" width="8.88671875" style="189"/>
    <col min="13593" max="13593" width="15" style="189" customWidth="1"/>
    <col min="13594" max="13594" width="6.44140625" style="189" customWidth="1"/>
    <col min="13595" max="13595" width="5.6640625" style="189" customWidth="1"/>
    <col min="13596" max="13596" width="9.109375" style="189" customWidth="1"/>
    <col min="13597" max="13599" width="8.88671875" style="189"/>
    <col min="13600" max="13600" width="11.6640625" style="189" customWidth="1"/>
    <col min="13601" max="13824" width="8.88671875" style="189"/>
    <col min="13825" max="13825" width="6.44140625" style="189" customWidth="1"/>
    <col min="13826" max="13826" width="43.33203125" style="189" customWidth="1"/>
    <col min="13827" max="13827" width="11.109375" style="189" customWidth="1"/>
    <col min="13828" max="13828" width="13.109375" style="189" customWidth="1"/>
    <col min="13829" max="13829" width="13.88671875" style="189" customWidth="1"/>
    <col min="13830" max="13830" width="8.33203125" style="189" customWidth="1"/>
    <col min="13831" max="13831" width="13" style="189" customWidth="1"/>
    <col min="13832" max="13832" width="8.109375" style="189" customWidth="1"/>
    <col min="13833" max="13833" width="7.88671875" style="189" customWidth="1"/>
    <col min="13834" max="13834" width="11.109375" style="189" customWidth="1"/>
    <col min="13835" max="13835" width="9.44140625" style="189" customWidth="1"/>
    <col min="13836" max="13836" width="9.5546875" style="189" customWidth="1"/>
    <col min="13837" max="13837" width="10.77734375" style="189" customWidth="1"/>
    <col min="13838" max="13838" width="6.5546875" style="189" customWidth="1"/>
    <col min="13839" max="13839" width="7.5546875" style="189" customWidth="1"/>
    <col min="13840" max="13840" width="10.109375" style="189" customWidth="1"/>
    <col min="13841" max="13841" width="9.44140625" style="189" customWidth="1"/>
    <col min="13842" max="13842" width="11" style="189" customWidth="1"/>
    <col min="13843" max="13843" width="14" style="189" customWidth="1"/>
    <col min="13844" max="13844" width="9.88671875" style="189" customWidth="1"/>
    <col min="13845" max="13848" width="8.88671875" style="189"/>
    <col min="13849" max="13849" width="15" style="189" customWidth="1"/>
    <col min="13850" max="13850" width="6.44140625" style="189" customWidth="1"/>
    <col min="13851" max="13851" width="5.6640625" style="189" customWidth="1"/>
    <col min="13852" max="13852" width="9.109375" style="189" customWidth="1"/>
    <col min="13853" max="13855" width="8.88671875" style="189"/>
    <col min="13856" max="13856" width="11.6640625" style="189" customWidth="1"/>
    <col min="13857" max="14080" width="8.88671875" style="189"/>
    <col min="14081" max="14081" width="6.44140625" style="189" customWidth="1"/>
    <col min="14082" max="14082" width="43.33203125" style="189" customWidth="1"/>
    <col min="14083" max="14083" width="11.109375" style="189" customWidth="1"/>
    <col min="14084" max="14084" width="13.109375" style="189" customWidth="1"/>
    <col min="14085" max="14085" width="13.88671875" style="189" customWidth="1"/>
    <col min="14086" max="14086" width="8.33203125" style="189" customWidth="1"/>
    <col min="14087" max="14087" width="13" style="189" customWidth="1"/>
    <col min="14088" max="14088" width="8.109375" style="189" customWidth="1"/>
    <col min="14089" max="14089" width="7.88671875" style="189" customWidth="1"/>
    <col min="14090" max="14090" width="11.109375" style="189" customWidth="1"/>
    <col min="14091" max="14091" width="9.44140625" style="189" customWidth="1"/>
    <col min="14092" max="14092" width="9.5546875" style="189" customWidth="1"/>
    <col min="14093" max="14093" width="10.77734375" style="189" customWidth="1"/>
    <col min="14094" max="14094" width="6.5546875" style="189" customWidth="1"/>
    <col min="14095" max="14095" width="7.5546875" style="189" customWidth="1"/>
    <col min="14096" max="14096" width="10.109375" style="189" customWidth="1"/>
    <col min="14097" max="14097" width="9.44140625" style="189" customWidth="1"/>
    <col min="14098" max="14098" width="11" style="189" customWidth="1"/>
    <col min="14099" max="14099" width="14" style="189" customWidth="1"/>
    <col min="14100" max="14100" width="9.88671875" style="189" customWidth="1"/>
    <col min="14101" max="14104" width="8.88671875" style="189"/>
    <col min="14105" max="14105" width="15" style="189" customWidth="1"/>
    <col min="14106" max="14106" width="6.44140625" style="189" customWidth="1"/>
    <col min="14107" max="14107" width="5.6640625" style="189" customWidth="1"/>
    <col min="14108" max="14108" width="9.109375" style="189" customWidth="1"/>
    <col min="14109" max="14111" width="8.88671875" style="189"/>
    <col min="14112" max="14112" width="11.6640625" style="189" customWidth="1"/>
    <col min="14113" max="14336" width="8.88671875" style="189"/>
    <col min="14337" max="14337" width="6.44140625" style="189" customWidth="1"/>
    <col min="14338" max="14338" width="43.33203125" style="189" customWidth="1"/>
    <col min="14339" max="14339" width="11.109375" style="189" customWidth="1"/>
    <col min="14340" max="14340" width="13.109375" style="189" customWidth="1"/>
    <col min="14341" max="14341" width="13.88671875" style="189" customWidth="1"/>
    <col min="14342" max="14342" width="8.33203125" style="189" customWidth="1"/>
    <col min="14343" max="14343" width="13" style="189" customWidth="1"/>
    <col min="14344" max="14344" width="8.109375" style="189" customWidth="1"/>
    <col min="14345" max="14345" width="7.88671875" style="189" customWidth="1"/>
    <col min="14346" max="14346" width="11.109375" style="189" customWidth="1"/>
    <col min="14347" max="14347" width="9.44140625" style="189" customWidth="1"/>
    <col min="14348" max="14348" width="9.5546875" style="189" customWidth="1"/>
    <col min="14349" max="14349" width="10.77734375" style="189" customWidth="1"/>
    <col min="14350" max="14350" width="6.5546875" style="189" customWidth="1"/>
    <col min="14351" max="14351" width="7.5546875" style="189" customWidth="1"/>
    <col min="14352" max="14352" width="10.109375" style="189" customWidth="1"/>
    <col min="14353" max="14353" width="9.44140625" style="189" customWidth="1"/>
    <col min="14354" max="14354" width="11" style="189" customWidth="1"/>
    <col min="14355" max="14355" width="14" style="189" customWidth="1"/>
    <col min="14356" max="14356" width="9.88671875" style="189" customWidth="1"/>
    <col min="14357" max="14360" width="8.88671875" style="189"/>
    <col min="14361" max="14361" width="15" style="189" customWidth="1"/>
    <col min="14362" max="14362" width="6.44140625" style="189" customWidth="1"/>
    <col min="14363" max="14363" width="5.6640625" style="189" customWidth="1"/>
    <col min="14364" max="14364" width="9.109375" style="189" customWidth="1"/>
    <col min="14365" max="14367" width="8.88671875" style="189"/>
    <col min="14368" max="14368" width="11.6640625" style="189" customWidth="1"/>
    <col min="14369" max="14592" width="8.88671875" style="189"/>
    <col min="14593" max="14593" width="6.44140625" style="189" customWidth="1"/>
    <col min="14594" max="14594" width="43.33203125" style="189" customWidth="1"/>
    <col min="14595" max="14595" width="11.109375" style="189" customWidth="1"/>
    <col min="14596" max="14596" width="13.109375" style="189" customWidth="1"/>
    <col min="14597" max="14597" width="13.88671875" style="189" customWidth="1"/>
    <col min="14598" max="14598" width="8.33203125" style="189" customWidth="1"/>
    <col min="14599" max="14599" width="13" style="189" customWidth="1"/>
    <col min="14600" max="14600" width="8.109375" style="189" customWidth="1"/>
    <col min="14601" max="14601" width="7.88671875" style="189" customWidth="1"/>
    <col min="14602" max="14602" width="11.109375" style="189" customWidth="1"/>
    <col min="14603" max="14603" width="9.44140625" style="189" customWidth="1"/>
    <col min="14604" max="14604" width="9.5546875" style="189" customWidth="1"/>
    <col min="14605" max="14605" width="10.77734375" style="189" customWidth="1"/>
    <col min="14606" max="14606" width="6.5546875" style="189" customWidth="1"/>
    <col min="14607" max="14607" width="7.5546875" style="189" customWidth="1"/>
    <col min="14608" max="14608" width="10.109375" style="189" customWidth="1"/>
    <col min="14609" max="14609" width="9.44140625" style="189" customWidth="1"/>
    <col min="14610" max="14610" width="11" style="189" customWidth="1"/>
    <col min="14611" max="14611" width="14" style="189" customWidth="1"/>
    <col min="14612" max="14612" width="9.88671875" style="189" customWidth="1"/>
    <col min="14613" max="14616" width="8.88671875" style="189"/>
    <col min="14617" max="14617" width="15" style="189" customWidth="1"/>
    <col min="14618" max="14618" width="6.44140625" style="189" customWidth="1"/>
    <col min="14619" max="14619" width="5.6640625" style="189" customWidth="1"/>
    <col min="14620" max="14620" width="9.109375" style="189" customWidth="1"/>
    <col min="14621" max="14623" width="8.88671875" style="189"/>
    <col min="14624" max="14624" width="11.6640625" style="189" customWidth="1"/>
    <col min="14625" max="14848" width="8.88671875" style="189"/>
    <col min="14849" max="14849" width="6.44140625" style="189" customWidth="1"/>
    <col min="14850" max="14850" width="43.33203125" style="189" customWidth="1"/>
    <col min="14851" max="14851" width="11.109375" style="189" customWidth="1"/>
    <col min="14852" max="14852" width="13.109375" style="189" customWidth="1"/>
    <col min="14853" max="14853" width="13.88671875" style="189" customWidth="1"/>
    <col min="14854" max="14854" width="8.33203125" style="189" customWidth="1"/>
    <col min="14855" max="14855" width="13" style="189" customWidth="1"/>
    <col min="14856" max="14856" width="8.109375" style="189" customWidth="1"/>
    <col min="14857" max="14857" width="7.88671875" style="189" customWidth="1"/>
    <col min="14858" max="14858" width="11.109375" style="189" customWidth="1"/>
    <col min="14859" max="14859" width="9.44140625" style="189" customWidth="1"/>
    <col min="14860" max="14860" width="9.5546875" style="189" customWidth="1"/>
    <col min="14861" max="14861" width="10.77734375" style="189" customWidth="1"/>
    <col min="14862" max="14862" width="6.5546875" style="189" customWidth="1"/>
    <col min="14863" max="14863" width="7.5546875" style="189" customWidth="1"/>
    <col min="14864" max="14864" width="10.109375" style="189" customWidth="1"/>
    <col min="14865" max="14865" width="9.44140625" style="189" customWidth="1"/>
    <col min="14866" max="14866" width="11" style="189" customWidth="1"/>
    <col min="14867" max="14867" width="14" style="189" customWidth="1"/>
    <col min="14868" max="14868" width="9.88671875" style="189" customWidth="1"/>
    <col min="14869" max="14872" width="8.88671875" style="189"/>
    <col min="14873" max="14873" width="15" style="189" customWidth="1"/>
    <col min="14874" max="14874" width="6.44140625" style="189" customWidth="1"/>
    <col min="14875" max="14875" width="5.6640625" style="189" customWidth="1"/>
    <col min="14876" max="14876" width="9.109375" style="189" customWidth="1"/>
    <col min="14877" max="14879" width="8.88671875" style="189"/>
    <col min="14880" max="14880" width="11.6640625" style="189" customWidth="1"/>
    <col min="14881" max="15104" width="8.88671875" style="189"/>
    <col min="15105" max="15105" width="6.44140625" style="189" customWidth="1"/>
    <col min="15106" max="15106" width="43.33203125" style="189" customWidth="1"/>
    <col min="15107" max="15107" width="11.109375" style="189" customWidth="1"/>
    <col min="15108" max="15108" width="13.109375" style="189" customWidth="1"/>
    <col min="15109" max="15109" width="13.88671875" style="189" customWidth="1"/>
    <col min="15110" max="15110" width="8.33203125" style="189" customWidth="1"/>
    <col min="15111" max="15111" width="13" style="189" customWidth="1"/>
    <col min="15112" max="15112" width="8.109375" style="189" customWidth="1"/>
    <col min="15113" max="15113" width="7.88671875" style="189" customWidth="1"/>
    <col min="15114" max="15114" width="11.109375" style="189" customWidth="1"/>
    <col min="15115" max="15115" width="9.44140625" style="189" customWidth="1"/>
    <col min="15116" max="15116" width="9.5546875" style="189" customWidth="1"/>
    <col min="15117" max="15117" width="10.77734375" style="189" customWidth="1"/>
    <col min="15118" max="15118" width="6.5546875" style="189" customWidth="1"/>
    <col min="15119" max="15119" width="7.5546875" style="189" customWidth="1"/>
    <col min="15120" max="15120" width="10.109375" style="189" customWidth="1"/>
    <col min="15121" max="15121" width="9.44140625" style="189" customWidth="1"/>
    <col min="15122" max="15122" width="11" style="189" customWidth="1"/>
    <col min="15123" max="15123" width="14" style="189" customWidth="1"/>
    <col min="15124" max="15124" width="9.88671875" style="189" customWidth="1"/>
    <col min="15125" max="15128" width="8.88671875" style="189"/>
    <col min="15129" max="15129" width="15" style="189" customWidth="1"/>
    <col min="15130" max="15130" width="6.44140625" style="189" customWidth="1"/>
    <col min="15131" max="15131" width="5.6640625" style="189" customWidth="1"/>
    <col min="15132" max="15132" width="9.109375" style="189" customWidth="1"/>
    <col min="15133" max="15135" width="8.88671875" style="189"/>
    <col min="15136" max="15136" width="11.6640625" style="189" customWidth="1"/>
    <col min="15137" max="15360" width="8.88671875" style="189"/>
    <col min="15361" max="15361" width="6.44140625" style="189" customWidth="1"/>
    <col min="15362" max="15362" width="43.33203125" style="189" customWidth="1"/>
    <col min="15363" max="15363" width="11.109375" style="189" customWidth="1"/>
    <col min="15364" max="15364" width="13.109375" style="189" customWidth="1"/>
    <col min="15365" max="15365" width="13.88671875" style="189" customWidth="1"/>
    <col min="15366" max="15366" width="8.33203125" style="189" customWidth="1"/>
    <col min="15367" max="15367" width="13" style="189" customWidth="1"/>
    <col min="15368" max="15368" width="8.109375" style="189" customWidth="1"/>
    <col min="15369" max="15369" width="7.88671875" style="189" customWidth="1"/>
    <col min="15370" max="15370" width="11.109375" style="189" customWidth="1"/>
    <col min="15371" max="15371" width="9.44140625" style="189" customWidth="1"/>
    <col min="15372" max="15372" width="9.5546875" style="189" customWidth="1"/>
    <col min="15373" max="15373" width="10.77734375" style="189" customWidth="1"/>
    <col min="15374" max="15374" width="6.5546875" style="189" customWidth="1"/>
    <col min="15375" max="15375" width="7.5546875" style="189" customWidth="1"/>
    <col min="15376" max="15376" width="10.109375" style="189" customWidth="1"/>
    <col min="15377" max="15377" width="9.44140625" style="189" customWidth="1"/>
    <col min="15378" max="15378" width="11" style="189" customWidth="1"/>
    <col min="15379" max="15379" width="14" style="189" customWidth="1"/>
    <col min="15380" max="15380" width="9.88671875" style="189" customWidth="1"/>
    <col min="15381" max="15384" width="8.88671875" style="189"/>
    <col min="15385" max="15385" width="15" style="189" customWidth="1"/>
    <col min="15386" max="15386" width="6.44140625" style="189" customWidth="1"/>
    <col min="15387" max="15387" width="5.6640625" style="189" customWidth="1"/>
    <col min="15388" max="15388" width="9.109375" style="189" customWidth="1"/>
    <col min="15389" max="15391" width="8.88671875" style="189"/>
    <col min="15392" max="15392" width="11.6640625" style="189" customWidth="1"/>
    <col min="15393" max="15616" width="8.88671875" style="189"/>
    <col min="15617" max="15617" width="6.44140625" style="189" customWidth="1"/>
    <col min="15618" max="15618" width="43.33203125" style="189" customWidth="1"/>
    <col min="15619" max="15619" width="11.109375" style="189" customWidth="1"/>
    <col min="15620" max="15620" width="13.109375" style="189" customWidth="1"/>
    <col min="15621" max="15621" width="13.88671875" style="189" customWidth="1"/>
    <col min="15622" max="15622" width="8.33203125" style="189" customWidth="1"/>
    <col min="15623" max="15623" width="13" style="189" customWidth="1"/>
    <col min="15624" max="15624" width="8.109375" style="189" customWidth="1"/>
    <col min="15625" max="15625" width="7.88671875" style="189" customWidth="1"/>
    <col min="15626" max="15626" width="11.109375" style="189" customWidth="1"/>
    <col min="15627" max="15627" width="9.44140625" style="189" customWidth="1"/>
    <col min="15628" max="15628" width="9.5546875" style="189" customWidth="1"/>
    <col min="15629" max="15629" width="10.77734375" style="189" customWidth="1"/>
    <col min="15630" max="15630" width="6.5546875" style="189" customWidth="1"/>
    <col min="15631" max="15631" width="7.5546875" style="189" customWidth="1"/>
    <col min="15632" max="15632" width="10.109375" style="189" customWidth="1"/>
    <col min="15633" max="15633" width="9.44140625" style="189" customWidth="1"/>
    <col min="15634" max="15634" width="11" style="189" customWidth="1"/>
    <col min="15635" max="15635" width="14" style="189" customWidth="1"/>
    <col min="15636" max="15636" width="9.88671875" style="189" customWidth="1"/>
    <col min="15637" max="15640" width="8.88671875" style="189"/>
    <col min="15641" max="15641" width="15" style="189" customWidth="1"/>
    <col min="15642" max="15642" width="6.44140625" style="189" customWidth="1"/>
    <col min="15643" max="15643" width="5.6640625" style="189" customWidth="1"/>
    <col min="15644" max="15644" width="9.109375" style="189" customWidth="1"/>
    <col min="15645" max="15647" width="8.88671875" style="189"/>
    <col min="15648" max="15648" width="11.6640625" style="189" customWidth="1"/>
    <col min="15649" max="15872" width="8.88671875" style="189"/>
    <col min="15873" max="15873" width="6.44140625" style="189" customWidth="1"/>
    <col min="15874" max="15874" width="43.33203125" style="189" customWidth="1"/>
    <col min="15875" max="15875" width="11.109375" style="189" customWidth="1"/>
    <col min="15876" max="15876" width="13.109375" style="189" customWidth="1"/>
    <col min="15877" max="15877" width="13.88671875" style="189" customWidth="1"/>
    <col min="15878" max="15878" width="8.33203125" style="189" customWidth="1"/>
    <col min="15879" max="15879" width="13" style="189" customWidth="1"/>
    <col min="15880" max="15880" width="8.109375" style="189" customWidth="1"/>
    <col min="15881" max="15881" width="7.88671875" style="189" customWidth="1"/>
    <col min="15882" max="15882" width="11.109375" style="189" customWidth="1"/>
    <col min="15883" max="15883" width="9.44140625" style="189" customWidth="1"/>
    <col min="15884" max="15884" width="9.5546875" style="189" customWidth="1"/>
    <col min="15885" max="15885" width="10.77734375" style="189" customWidth="1"/>
    <col min="15886" max="15886" width="6.5546875" style="189" customWidth="1"/>
    <col min="15887" max="15887" width="7.5546875" style="189" customWidth="1"/>
    <col min="15888" max="15888" width="10.109375" style="189" customWidth="1"/>
    <col min="15889" max="15889" width="9.44140625" style="189" customWidth="1"/>
    <col min="15890" max="15890" width="11" style="189" customWidth="1"/>
    <col min="15891" max="15891" width="14" style="189" customWidth="1"/>
    <col min="15892" max="15892" width="9.88671875" style="189" customWidth="1"/>
    <col min="15893" max="15896" width="8.88671875" style="189"/>
    <col min="15897" max="15897" width="15" style="189" customWidth="1"/>
    <col min="15898" max="15898" width="6.44140625" style="189" customWidth="1"/>
    <col min="15899" max="15899" width="5.6640625" style="189" customWidth="1"/>
    <col min="15900" max="15900" width="9.109375" style="189" customWidth="1"/>
    <col min="15901" max="15903" width="8.88671875" style="189"/>
    <col min="15904" max="15904" width="11.6640625" style="189" customWidth="1"/>
    <col min="15905" max="16128" width="8.88671875" style="189"/>
    <col min="16129" max="16129" width="6.44140625" style="189" customWidth="1"/>
    <col min="16130" max="16130" width="43.33203125" style="189" customWidth="1"/>
    <col min="16131" max="16131" width="11.109375" style="189" customWidth="1"/>
    <col min="16132" max="16132" width="13.109375" style="189" customWidth="1"/>
    <col min="16133" max="16133" width="13.88671875" style="189" customWidth="1"/>
    <col min="16134" max="16134" width="8.33203125" style="189" customWidth="1"/>
    <col min="16135" max="16135" width="13" style="189" customWidth="1"/>
    <col min="16136" max="16136" width="8.109375" style="189" customWidth="1"/>
    <col min="16137" max="16137" width="7.88671875" style="189" customWidth="1"/>
    <col min="16138" max="16138" width="11.109375" style="189" customWidth="1"/>
    <col min="16139" max="16139" width="9.44140625" style="189" customWidth="1"/>
    <col min="16140" max="16140" width="9.5546875" style="189" customWidth="1"/>
    <col min="16141" max="16141" width="10.77734375" style="189" customWidth="1"/>
    <col min="16142" max="16142" width="6.5546875" style="189" customWidth="1"/>
    <col min="16143" max="16143" width="7.5546875" style="189" customWidth="1"/>
    <col min="16144" max="16144" width="10.109375" style="189" customWidth="1"/>
    <col min="16145" max="16145" width="9.44140625" style="189" customWidth="1"/>
    <col min="16146" max="16146" width="11" style="189" customWidth="1"/>
    <col min="16147" max="16147" width="14" style="189" customWidth="1"/>
    <col min="16148" max="16148" width="9.88671875" style="189" customWidth="1"/>
    <col min="16149" max="16152" width="8.88671875" style="189"/>
    <col min="16153" max="16153" width="15" style="189" customWidth="1"/>
    <col min="16154" max="16154" width="6.44140625" style="189" customWidth="1"/>
    <col min="16155" max="16155" width="5.6640625" style="189" customWidth="1"/>
    <col min="16156" max="16156" width="9.109375" style="189" customWidth="1"/>
    <col min="16157" max="16159" width="8.88671875" style="189"/>
    <col min="16160" max="16160" width="11.6640625" style="189" customWidth="1"/>
    <col min="16161" max="16384" width="8.88671875" style="189"/>
  </cols>
  <sheetData>
    <row r="1" spans="1:36" ht="15.75" x14ac:dyDescent="0.25">
      <c r="A1" s="187"/>
      <c r="B1" s="187"/>
      <c r="C1" s="187"/>
      <c r="D1" s="187"/>
      <c r="E1" s="188" t="s">
        <v>251</v>
      </c>
      <c r="F1" s="187"/>
      <c r="G1" s="187"/>
      <c r="H1" s="187"/>
      <c r="I1" s="187"/>
      <c r="J1" s="187"/>
      <c r="K1" s="187"/>
      <c r="L1" s="187"/>
      <c r="M1" s="187"/>
      <c r="N1" s="187"/>
      <c r="O1" s="187"/>
      <c r="P1" s="187"/>
      <c r="Q1" s="187"/>
    </row>
    <row r="2" spans="1:36" ht="19.5" customHeight="1" x14ac:dyDescent="0.25">
      <c r="A2" s="187"/>
      <c r="B2" s="187"/>
      <c r="D2" s="187"/>
      <c r="F2" s="188"/>
      <c r="G2" s="188"/>
      <c r="H2" s="188"/>
      <c r="I2" s="187"/>
      <c r="J2" s="187"/>
      <c r="K2" s="187"/>
      <c r="L2" s="187"/>
      <c r="M2" s="187"/>
      <c r="N2" s="187"/>
      <c r="O2" s="187"/>
      <c r="P2" s="190"/>
      <c r="Q2" s="187"/>
    </row>
    <row r="3" spans="1:36" ht="15.75" x14ac:dyDescent="0.25">
      <c r="A3" s="187"/>
      <c r="B3" s="187"/>
      <c r="D3" s="187"/>
      <c r="E3" s="191" t="s">
        <v>252</v>
      </c>
      <c r="F3" s="192"/>
      <c r="G3" s="192"/>
      <c r="H3" s="193"/>
      <c r="I3" s="187"/>
      <c r="J3" s="187"/>
      <c r="L3" s="187"/>
      <c r="M3" s="187"/>
      <c r="N3" s="187"/>
      <c r="O3" s="187"/>
      <c r="P3" s="187"/>
      <c r="Q3" s="187"/>
    </row>
    <row r="4" spans="1:36" ht="15.75" x14ac:dyDescent="0.25">
      <c r="A4" s="187"/>
      <c r="B4" s="187"/>
      <c r="D4" s="187"/>
      <c r="E4" s="191" t="s">
        <v>253</v>
      </c>
      <c r="F4" s="192"/>
      <c r="G4" s="192"/>
      <c r="H4" s="194"/>
      <c r="I4" s="187"/>
      <c r="J4" s="187"/>
      <c r="K4" s="187"/>
      <c r="L4" s="187"/>
      <c r="M4" s="187"/>
      <c r="N4" s="187"/>
      <c r="O4" s="187"/>
      <c r="P4" s="187"/>
      <c r="Q4" s="187"/>
    </row>
    <row r="5" spans="1:36" ht="15.75" x14ac:dyDescent="0.25">
      <c r="A5" s="187"/>
      <c r="B5" s="187"/>
      <c r="C5" s="187"/>
      <c r="D5" s="187"/>
      <c r="E5" s="187"/>
      <c r="F5" s="187"/>
      <c r="G5" s="187"/>
      <c r="H5" s="187"/>
      <c r="I5" s="187"/>
      <c r="J5" s="187"/>
      <c r="K5" s="187"/>
      <c r="L5" s="187"/>
      <c r="M5" s="187"/>
      <c r="N5" s="187"/>
      <c r="O5" s="187"/>
      <c r="P5" s="69"/>
      <c r="Q5" s="187"/>
    </row>
    <row r="6" spans="1:36" ht="18" x14ac:dyDescent="0.25">
      <c r="A6" s="1397" t="s">
        <v>254</v>
      </c>
      <c r="B6" s="1397"/>
      <c r="C6" s="1397"/>
      <c r="D6" s="1397"/>
      <c r="E6" s="1397"/>
      <c r="F6" s="195"/>
      <c r="G6" s="195"/>
      <c r="H6" s="195"/>
      <c r="I6" s="187"/>
      <c r="J6" s="187"/>
      <c r="K6" s="187"/>
      <c r="L6" s="187"/>
      <c r="M6" s="187"/>
      <c r="N6" s="187"/>
      <c r="O6" s="187"/>
      <c r="P6" s="38"/>
      <c r="Q6" s="187"/>
    </row>
    <row r="7" spans="1:36" ht="18" x14ac:dyDescent="0.25">
      <c r="A7" s="1398" t="e">
        <f>#REF!</f>
        <v>#REF!</v>
      </c>
      <c r="B7" s="1398"/>
      <c r="C7" s="1398"/>
      <c r="D7" s="1398"/>
      <c r="E7" s="1398"/>
      <c r="F7" s="195"/>
      <c r="G7" s="195"/>
      <c r="H7" s="195"/>
      <c r="I7" s="187"/>
      <c r="J7" s="187"/>
      <c r="K7" s="187"/>
      <c r="L7" s="187"/>
      <c r="M7" s="187"/>
      <c r="N7" s="187"/>
      <c r="O7" s="187"/>
      <c r="P7" s="187"/>
      <c r="Q7" s="187"/>
    </row>
    <row r="8" spans="1:36" ht="39.75" customHeight="1" x14ac:dyDescent="0.25">
      <c r="A8" s="1399" t="e">
        <f>#REF!</f>
        <v>#REF!</v>
      </c>
      <c r="B8" s="1399" t="s">
        <v>255</v>
      </c>
      <c r="C8" s="1399"/>
      <c r="D8" s="1399"/>
      <c r="E8" s="1399"/>
      <c r="F8" s="195"/>
      <c r="G8" s="195"/>
      <c r="H8" s="195"/>
      <c r="I8" s="187"/>
      <c r="J8" s="187"/>
      <c r="K8" s="187"/>
      <c r="L8" s="187"/>
      <c r="M8" s="187"/>
      <c r="N8" s="187"/>
      <c r="O8" s="187"/>
      <c r="P8" s="187"/>
      <c r="Q8" s="187"/>
    </row>
    <row r="9" spans="1:36" ht="15.75" x14ac:dyDescent="0.25">
      <c r="A9" s="1400" t="s">
        <v>256</v>
      </c>
      <c r="B9" s="1400"/>
      <c r="C9" s="1400"/>
      <c r="D9" s="1400"/>
      <c r="E9" s="1400"/>
      <c r="F9" s="196"/>
      <c r="G9" s="196"/>
      <c r="H9" s="196"/>
      <c r="I9" s="187"/>
      <c r="J9" s="187"/>
      <c r="K9" s="187"/>
      <c r="L9" s="187"/>
      <c r="M9" s="187"/>
      <c r="N9" s="187"/>
      <c r="O9" s="187"/>
      <c r="P9" s="187"/>
      <c r="Q9" s="187"/>
    </row>
    <row r="10" spans="1:36" ht="15.75" x14ac:dyDescent="0.25">
      <c r="A10" s="1401" t="s">
        <v>257</v>
      </c>
      <c r="B10" s="1401"/>
      <c r="C10" s="1401"/>
      <c r="D10" s="1401"/>
      <c r="E10" s="1401"/>
      <c r="F10" s="196"/>
      <c r="G10" s="196"/>
      <c r="H10" s="196"/>
      <c r="I10" s="187"/>
      <c r="J10" s="187"/>
      <c r="K10" s="187"/>
      <c r="L10" s="187"/>
      <c r="M10" s="187"/>
      <c r="N10" s="187"/>
      <c r="O10" s="187"/>
      <c r="P10" s="187"/>
      <c r="Q10" s="187"/>
    </row>
    <row r="11" spans="1:36" ht="15.75" x14ac:dyDescent="0.25">
      <c r="A11" s="197"/>
      <c r="B11" s="197"/>
      <c r="C11" s="197"/>
      <c r="D11" s="187"/>
      <c r="E11" s="187"/>
      <c r="F11" s="196"/>
      <c r="G11" s="196"/>
      <c r="H11" s="196"/>
      <c r="I11" s="187"/>
      <c r="J11" s="187"/>
      <c r="K11" s="187"/>
      <c r="L11" s="187"/>
      <c r="M11" s="187"/>
      <c r="N11" s="187"/>
      <c r="O11" s="187"/>
      <c r="P11" s="187"/>
      <c r="Q11" s="187"/>
    </row>
    <row r="12" spans="1:36" ht="16.5" thickBot="1" x14ac:dyDescent="0.3">
      <c r="A12" s="198"/>
      <c r="B12" s="199" t="s">
        <v>258</v>
      </c>
      <c r="C12" s="200">
        <f>C44</f>
        <v>75</v>
      </c>
      <c r="D12" s="201"/>
      <c r="E12" s="202" t="s">
        <v>259</v>
      </c>
      <c r="F12" s="203"/>
      <c r="G12" s="203"/>
      <c r="H12" s="203"/>
      <c r="I12" s="187"/>
      <c r="J12" s="187"/>
      <c r="K12" s="203"/>
      <c r="L12" s="187"/>
      <c r="M12" s="187"/>
      <c r="N12" s="187"/>
      <c r="O12" s="187"/>
      <c r="P12" s="187"/>
      <c r="Q12" s="187"/>
      <c r="S12" s="204"/>
      <c r="T12" s="205"/>
      <c r="U12" s="205"/>
      <c r="V12" s="206"/>
      <c r="W12" s="205"/>
      <c r="AE12" s="205"/>
      <c r="AF12" s="205"/>
      <c r="AG12" s="205"/>
      <c r="AH12" s="205"/>
      <c r="AI12" s="205"/>
      <c r="AJ12" s="205"/>
    </row>
    <row r="13" spans="1:36" ht="16.5" thickBot="1" x14ac:dyDescent="0.3">
      <c r="A13" s="198"/>
      <c r="B13" s="199" t="s">
        <v>260</v>
      </c>
      <c r="C13" s="200">
        <f>C45</f>
        <v>68</v>
      </c>
      <c r="D13" s="201"/>
      <c r="E13" s="202"/>
      <c r="F13" s="203"/>
      <c r="G13" s="203"/>
      <c r="H13" s="203"/>
      <c r="I13" s="187"/>
      <c r="J13" s="187"/>
      <c r="K13" s="203"/>
      <c r="L13" s="187"/>
      <c r="M13" s="187"/>
      <c r="N13" s="187"/>
      <c r="O13" s="187"/>
      <c r="P13" s="187"/>
      <c r="Q13" s="187"/>
      <c r="S13" s="204"/>
      <c r="T13" s="205"/>
      <c r="U13" s="205"/>
      <c r="V13" s="206"/>
      <c r="W13" s="205"/>
      <c r="AE13" s="205"/>
      <c r="AF13" s="205"/>
      <c r="AG13" s="205"/>
      <c r="AH13" s="205"/>
      <c r="AI13" s="205"/>
      <c r="AJ13" s="205"/>
    </row>
    <row r="14" spans="1:36" ht="32.25" customHeight="1" thickBot="1" x14ac:dyDescent="0.3">
      <c r="A14" s="207" t="s">
        <v>261</v>
      </c>
      <c r="B14" s="208" t="s">
        <v>262</v>
      </c>
      <c r="C14" s="208" t="s">
        <v>15</v>
      </c>
      <c r="D14" s="209" t="s">
        <v>12</v>
      </c>
      <c r="E14" s="210" t="s">
        <v>4</v>
      </c>
      <c r="F14" s="197"/>
      <c r="G14" s="197"/>
      <c r="H14" s="211"/>
      <c r="I14" s="211"/>
      <c r="J14" s="211"/>
      <c r="K14" s="211"/>
      <c r="L14" s="212"/>
      <c r="M14" s="212"/>
      <c r="N14" s="212"/>
      <c r="O14" s="212"/>
      <c r="P14" s="196"/>
      <c r="Q14" s="187"/>
      <c r="R14" s="196"/>
      <c r="S14" s="213"/>
      <c r="T14" s="205"/>
      <c r="U14" s="205"/>
      <c r="V14" s="205"/>
      <c r="W14" s="205"/>
      <c r="X14" s="196"/>
      <c r="Y14" s="196"/>
      <c r="Z14" s="196"/>
      <c r="AA14" s="196"/>
      <c r="AB14" s="214"/>
      <c r="AE14" s="215"/>
      <c r="AF14" s="205"/>
      <c r="AG14" s="205"/>
      <c r="AH14" s="205"/>
      <c r="AI14" s="205"/>
      <c r="AJ14" s="205"/>
    </row>
    <row r="15" spans="1:36" ht="30" customHeight="1" x14ac:dyDescent="0.25">
      <c r="A15" s="216">
        <v>1</v>
      </c>
      <c r="B15" s="217" t="s">
        <v>263</v>
      </c>
      <c r="C15" s="218" t="e">
        <f>C54</f>
        <v>#REF!</v>
      </c>
      <c r="D15" s="219" t="e">
        <f>SUM(D54:G54)</f>
        <v>#REF!</v>
      </c>
      <c r="E15" s="220" t="e">
        <f>C15+D15</f>
        <v>#REF!</v>
      </c>
      <c r="F15" s="197"/>
      <c r="G15" s="197"/>
      <c r="H15" s="221"/>
      <c r="I15" s="222"/>
      <c r="J15" s="221"/>
      <c r="K15" s="222"/>
      <c r="L15" s="187"/>
      <c r="M15" s="187"/>
      <c r="N15" s="187"/>
      <c r="O15" s="187"/>
      <c r="P15" s="223"/>
      <c r="Q15" s="224"/>
      <c r="R15" s="225"/>
      <c r="S15" s="226"/>
      <c r="T15" s="205"/>
      <c r="U15" s="205"/>
      <c r="V15" s="205"/>
      <c r="W15" s="205"/>
      <c r="X15" s="225"/>
      <c r="Y15" s="225"/>
      <c r="Z15" s="225"/>
      <c r="AA15" s="225"/>
      <c r="AB15" s="225"/>
      <c r="AE15" s="227"/>
      <c r="AF15" s="228"/>
      <c r="AG15" s="205"/>
      <c r="AH15" s="205"/>
      <c r="AI15" s="205"/>
      <c r="AJ15" s="205"/>
    </row>
    <row r="16" spans="1:36" ht="37.5" customHeight="1" x14ac:dyDescent="0.25">
      <c r="A16" s="216">
        <v>2</v>
      </c>
      <c r="B16" s="229" t="s">
        <v>264</v>
      </c>
      <c r="C16" s="218" t="e">
        <f>C55+C56+C57</f>
        <v>#REF!</v>
      </c>
      <c r="D16" s="230" t="e">
        <f>SUM(D55:G57)</f>
        <v>#REF!</v>
      </c>
      <c r="E16" s="220" t="e">
        <f t="shared" ref="E16:E33" si="0">C16+D16</f>
        <v>#REF!</v>
      </c>
      <c r="F16" s="187"/>
      <c r="G16" s="187"/>
      <c r="H16" s="224"/>
      <c r="I16" s="190"/>
      <c r="J16" s="224"/>
      <c r="K16" s="231"/>
      <c r="L16" s="232"/>
      <c r="M16" s="232"/>
      <c r="N16" s="232"/>
      <c r="O16" s="232"/>
      <c r="P16" s="223"/>
      <c r="Q16" s="224"/>
      <c r="R16" s="225"/>
      <c r="S16" s="233"/>
      <c r="T16" s="234"/>
      <c r="U16" s="235"/>
      <c r="V16" s="235"/>
      <c r="W16" s="236"/>
      <c r="X16" s="225"/>
      <c r="Y16" s="225"/>
      <c r="Z16" s="225"/>
      <c r="AA16" s="225"/>
      <c r="AB16" s="225"/>
      <c r="AE16" s="227"/>
      <c r="AF16" s="228"/>
      <c r="AG16" s="205"/>
      <c r="AH16" s="237"/>
      <c r="AI16" s="205"/>
      <c r="AJ16" s="205"/>
    </row>
    <row r="17" spans="1:36" ht="34.5" customHeight="1" x14ac:dyDescent="0.25">
      <c r="A17" s="216">
        <v>3</v>
      </c>
      <c r="B17" s="229" t="s">
        <v>265</v>
      </c>
      <c r="C17" s="218"/>
      <c r="D17" s="238" t="e">
        <f>SUM(D58:G58)</f>
        <v>#REF!</v>
      </c>
      <c r="E17" s="220" t="e">
        <f t="shared" si="0"/>
        <v>#REF!</v>
      </c>
      <c r="F17" s="239"/>
      <c r="G17" s="239"/>
      <c r="H17" s="240"/>
      <c r="I17" s="241"/>
      <c r="J17" s="240"/>
      <c r="K17" s="241"/>
      <c r="L17" s="187"/>
      <c r="M17" s="187"/>
      <c r="N17" s="187"/>
      <c r="O17" s="187"/>
      <c r="P17" s="223"/>
      <c r="Q17" s="224"/>
      <c r="R17" s="225"/>
      <c r="S17" s="233"/>
      <c r="T17" s="242"/>
      <c r="U17" s="235"/>
      <c r="V17" s="235"/>
      <c r="W17" s="236"/>
      <c r="X17" s="225"/>
      <c r="Y17" s="225"/>
      <c r="Z17" s="225"/>
      <c r="AA17" s="225"/>
      <c r="AB17" s="225"/>
      <c r="AE17" s="205"/>
      <c r="AF17" s="205"/>
      <c r="AG17" s="205"/>
      <c r="AH17" s="205"/>
      <c r="AI17" s="205"/>
      <c r="AJ17" s="205"/>
    </row>
    <row r="18" spans="1:36" ht="23.25" customHeight="1" x14ac:dyDescent="0.25">
      <c r="A18" s="216">
        <v>4</v>
      </c>
      <c r="B18" s="243" t="s">
        <v>266</v>
      </c>
      <c r="C18" s="218" t="e">
        <f>C59</f>
        <v>#REF!</v>
      </c>
      <c r="D18" s="238">
        <f>SUM(D59:G59)</f>
        <v>0</v>
      </c>
      <c r="E18" s="220" t="e">
        <f t="shared" si="0"/>
        <v>#REF!</v>
      </c>
      <c r="F18" s="239"/>
      <c r="G18" s="239"/>
      <c r="H18" s="225"/>
      <c r="I18" s="223"/>
      <c r="J18" s="225"/>
      <c r="K18" s="244"/>
      <c r="L18" s="190"/>
      <c r="M18" s="190"/>
      <c r="N18" s="190"/>
      <c r="O18" s="190"/>
      <c r="P18" s="223"/>
      <c r="Q18" s="224"/>
      <c r="R18" s="225"/>
      <c r="S18" s="245"/>
      <c r="T18" s="246"/>
      <c r="U18" s="245"/>
      <c r="V18" s="245"/>
      <c r="W18" s="245"/>
      <c r="X18" s="225"/>
      <c r="Y18" s="225"/>
      <c r="Z18" s="225"/>
      <c r="AA18" s="225"/>
      <c r="AB18" s="225"/>
      <c r="AE18" s="245"/>
      <c r="AF18" s="245"/>
      <c r="AG18" s="247"/>
      <c r="AH18" s="247"/>
      <c r="AI18" s="235"/>
      <c r="AJ18" s="205"/>
    </row>
    <row r="19" spans="1:36" ht="30" customHeight="1" x14ac:dyDescent="0.25">
      <c r="A19" s="216">
        <v>5</v>
      </c>
      <c r="B19" s="229" t="s">
        <v>267</v>
      </c>
      <c r="C19" s="218"/>
      <c r="D19" s="238" t="e">
        <f>SUM(D61:G61)</f>
        <v>#REF!</v>
      </c>
      <c r="E19" s="220" t="e">
        <f t="shared" si="0"/>
        <v>#REF!</v>
      </c>
      <c r="F19" s="187"/>
      <c r="G19" s="239"/>
      <c r="H19" s="240"/>
      <c r="I19" s="241"/>
      <c r="J19" s="240"/>
      <c r="K19" s="241"/>
      <c r="L19" s="187"/>
      <c r="M19" s="187"/>
      <c r="N19" s="187"/>
      <c r="O19" s="187"/>
      <c r="P19" s="223"/>
      <c r="Q19" s="224"/>
      <c r="R19" s="225"/>
      <c r="S19" s="205"/>
      <c r="T19" s="205"/>
      <c r="U19" s="205"/>
      <c r="V19" s="205"/>
      <c r="W19" s="245"/>
      <c r="X19" s="225"/>
      <c r="Y19" s="225"/>
      <c r="Z19" s="225"/>
      <c r="AA19" s="225"/>
      <c r="AB19" s="225"/>
      <c r="AE19" s="245"/>
      <c r="AF19" s="245"/>
      <c r="AI19" s="248"/>
      <c r="AJ19" s="205"/>
    </row>
    <row r="20" spans="1:36" ht="30" customHeight="1" x14ac:dyDescent="0.25">
      <c r="A20" s="216">
        <v>6</v>
      </c>
      <c r="B20" s="229" t="s">
        <v>268</v>
      </c>
      <c r="C20" s="244"/>
      <c r="D20" s="238" t="e">
        <f>SUM(D60:G60)+SUM(D62:G62)</f>
        <v>#REF!</v>
      </c>
      <c r="E20" s="220" t="e">
        <f t="shared" si="0"/>
        <v>#REF!</v>
      </c>
      <c r="F20" s="187"/>
      <c r="G20" s="239"/>
      <c r="H20" s="240"/>
      <c r="I20" s="241"/>
      <c r="J20" s="240"/>
      <c r="K20" s="241"/>
      <c r="L20" s="187"/>
      <c r="M20" s="187"/>
      <c r="N20" s="187"/>
      <c r="O20" s="187"/>
      <c r="P20" s="223"/>
      <c r="Q20" s="224"/>
      <c r="R20" s="225"/>
      <c r="S20" s="205"/>
      <c r="T20" s="205"/>
      <c r="U20" s="205"/>
      <c r="V20" s="205"/>
      <c r="W20" s="245"/>
      <c r="X20" s="225"/>
      <c r="Y20" s="225"/>
      <c r="Z20" s="225"/>
      <c r="AA20" s="225"/>
      <c r="AB20" s="225"/>
      <c r="AE20" s="245"/>
      <c r="AF20" s="245"/>
      <c r="AI20" s="248"/>
      <c r="AJ20" s="205"/>
    </row>
    <row r="21" spans="1:36" ht="48.75" customHeight="1" x14ac:dyDescent="0.25">
      <c r="A21" s="216">
        <v>7</v>
      </c>
      <c r="B21" s="229" t="s">
        <v>269</v>
      </c>
      <c r="C21" s="249"/>
      <c r="D21" s="230" t="e">
        <f>SUM(D63:G66)</f>
        <v>#REF!</v>
      </c>
      <c r="E21" s="220" t="e">
        <f t="shared" si="0"/>
        <v>#REF!</v>
      </c>
      <c r="H21" s="240"/>
      <c r="I21" s="241"/>
      <c r="J21" s="240"/>
      <c r="K21" s="241"/>
    </row>
    <row r="22" spans="1:36" ht="42.75" customHeight="1" x14ac:dyDescent="0.25">
      <c r="A22" s="216">
        <v>8</v>
      </c>
      <c r="B22" s="250" t="s">
        <v>270</v>
      </c>
      <c r="C22" s="251" t="e">
        <f>C67</f>
        <v>#REF!</v>
      </c>
      <c r="D22" s="252"/>
      <c r="E22" s="220" t="e">
        <f t="shared" si="0"/>
        <v>#REF!</v>
      </c>
      <c r="F22" s="187"/>
      <c r="G22" s="240"/>
      <c r="H22" s="240"/>
      <c r="I22" s="253"/>
      <c r="J22" s="240"/>
      <c r="K22" s="231"/>
      <c r="L22" s="190"/>
      <c r="M22" s="190"/>
      <c r="N22" s="190"/>
      <c r="O22" s="190"/>
      <c r="P22" s="223"/>
      <c r="Q22" s="224"/>
      <c r="R22" s="225"/>
      <c r="S22" s="254"/>
      <c r="T22" s="255"/>
      <c r="U22" s="256"/>
      <c r="V22" s="257"/>
      <c r="W22" s="258"/>
      <c r="X22" s="225"/>
      <c r="Y22" s="225"/>
      <c r="Z22" s="225"/>
      <c r="AA22" s="225"/>
      <c r="AB22" s="225"/>
      <c r="AE22" s="255"/>
      <c r="AF22" s="259"/>
      <c r="AG22" s="260"/>
      <c r="AH22" s="249"/>
      <c r="AI22" s="228"/>
      <c r="AJ22" s="205"/>
    </row>
    <row r="23" spans="1:36" ht="22.5" customHeight="1" x14ac:dyDescent="0.25">
      <c r="A23" s="216">
        <v>9</v>
      </c>
      <c r="B23" s="243" t="s">
        <v>271</v>
      </c>
      <c r="C23" s="261" t="e">
        <f>C68</f>
        <v>#REF!</v>
      </c>
      <c r="D23" s="238"/>
      <c r="E23" s="220" t="e">
        <f t="shared" si="0"/>
        <v>#REF!</v>
      </c>
      <c r="F23" s="187"/>
      <c r="G23" s="239"/>
      <c r="H23" s="225"/>
      <c r="I23" s="223"/>
      <c r="J23" s="225"/>
      <c r="K23" s="244"/>
      <c r="L23" s="190"/>
      <c r="M23" s="190"/>
      <c r="N23" s="190"/>
      <c r="O23" s="190"/>
      <c r="P23" s="196"/>
      <c r="Q23" s="262"/>
      <c r="R23" s="239"/>
      <c r="S23" s="263"/>
      <c r="T23" s="255"/>
      <c r="U23" s="256"/>
      <c r="V23" s="257"/>
      <c r="W23" s="258"/>
      <c r="X23" s="239"/>
      <c r="Y23" s="239"/>
      <c r="Z23" s="239"/>
      <c r="AA23" s="225"/>
      <c r="AB23" s="225"/>
      <c r="AE23" s="255"/>
      <c r="AF23" s="259"/>
      <c r="AG23" s="264"/>
      <c r="AI23" s="205"/>
      <c r="AJ23" s="205"/>
    </row>
    <row r="24" spans="1:36" ht="34.5" customHeight="1" x14ac:dyDescent="0.25">
      <c r="A24" s="216">
        <v>10</v>
      </c>
      <c r="B24" s="250" t="s">
        <v>272</v>
      </c>
      <c r="C24" s="261" t="e">
        <f>C69</f>
        <v>#REF!</v>
      </c>
      <c r="D24" s="238" t="e">
        <f>G69</f>
        <v>#REF!</v>
      </c>
      <c r="E24" s="220" t="e">
        <f t="shared" si="0"/>
        <v>#REF!</v>
      </c>
      <c r="F24" s="187"/>
      <c r="G24" s="239"/>
      <c r="H24" s="240"/>
      <c r="I24" s="265"/>
      <c r="J24" s="240"/>
      <c r="K24" s="240"/>
      <c r="L24" s="190"/>
      <c r="M24" s="190"/>
      <c r="N24" s="190"/>
      <c r="O24" s="190"/>
      <c r="P24" s="196"/>
      <c r="Q24" s="262"/>
      <c r="R24" s="239"/>
      <c r="S24" s="263"/>
      <c r="T24" s="255"/>
      <c r="U24" s="256"/>
      <c r="V24" s="257"/>
      <c r="W24" s="258"/>
      <c r="X24" s="239"/>
      <c r="Y24" s="239"/>
      <c r="Z24" s="239"/>
      <c r="AA24" s="225"/>
      <c r="AB24" s="225"/>
      <c r="AE24" s="266"/>
      <c r="AF24" s="259"/>
      <c r="AG24" s="264"/>
      <c r="AI24" s="205"/>
      <c r="AJ24" s="205"/>
    </row>
    <row r="25" spans="1:36" ht="33.75" customHeight="1" x14ac:dyDescent="0.25">
      <c r="A25" s="267">
        <v>11</v>
      </c>
      <c r="B25" s="268" t="s">
        <v>273</v>
      </c>
      <c r="C25" s="1402" t="s">
        <v>274</v>
      </c>
      <c r="D25" s="1403"/>
      <c r="E25" s="1404"/>
      <c r="F25" s="187"/>
      <c r="G25" s="239"/>
      <c r="H25" s="240"/>
      <c r="I25" s="269"/>
      <c r="J25" s="240"/>
      <c r="K25" s="270"/>
      <c r="L25" s="190"/>
      <c r="M25" s="190"/>
      <c r="N25" s="190"/>
      <c r="O25" s="190"/>
      <c r="P25" s="223"/>
      <c r="Q25" s="224"/>
      <c r="R25" s="225"/>
      <c r="S25" s="254"/>
      <c r="T25" s="271"/>
      <c r="U25" s="235"/>
      <c r="V25" s="272"/>
      <c r="W25" s="236"/>
      <c r="X25" s="225"/>
      <c r="Y25" s="225"/>
      <c r="Z25" s="225"/>
      <c r="AB25" s="225"/>
      <c r="AE25" s="273"/>
      <c r="AF25" s="259"/>
      <c r="AG25" s="264"/>
      <c r="AI25" s="205"/>
      <c r="AJ25" s="205"/>
    </row>
    <row r="26" spans="1:36" ht="15.75" x14ac:dyDescent="0.25">
      <c r="A26" s="267">
        <v>12</v>
      </c>
      <c r="B26" s="274" t="s">
        <v>275</v>
      </c>
      <c r="C26" s="275" t="e">
        <f>SUM(C15:C24)</f>
        <v>#REF!</v>
      </c>
      <c r="D26" s="275" t="e">
        <f>SUM(D15:D24)</f>
        <v>#REF!</v>
      </c>
      <c r="E26" s="276" t="e">
        <f t="shared" si="0"/>
        <v>#REF!</v>
      </c>
      <c r="F26" s="187"/>
      <c r="G26" s="239"/>
      <c r="H26" s="277"/>
      <c r="I26" s="278"/>
      <c r="J26" s="279"/>
      <c r="K26" s="280"/>
      <c r="L26" s="187"/>
      <c r="M26" s="187"/>
      <c r="N26" s="187"/>
      <c r="O26" s="187"/>
      <c r="P26" s="223"/>
      <c r="Q26" s="224"/>
      <c r="R26" s="225"/>
      <c r="S26" s="254"/>
      <c r="T26" s="271"/>
      <c r="U26" s="235"/>
      <c r="V26" s="272"/>
      <c r="W26" s="236"/>
      <c r="X26" s="225"/>
      <c r="Y26" s="225"/>
      <c r="Z26" s="225"/>
      <c r="AB26" s="225"/>
      <c r="AE26" s="273"/>
      <c r="AF26" s="259"/>
      <c r="AG26" s="264"/>
      <c r="AI26" s="205"/>
      <c r="AJ26" s="205"/>
    </row>
    <row r="27" spans="1:36" ht="15.75" x14ac:dyDescent="0.25">
      <c r="A27" s="216">
        <v>13</v>
      </c>
      <c r="B27" s="281" t="s">
        <v>276</v>
      </c>
      <c r="C27" s="282">
        <v>0</v>
      </c>
      <c r="D27" s="283"/>
      <c r="E27" s="283"/>
      <c r="F27" s="284"/>
      <c r="G27" s="187"/>
      <c r="H27" s="187"/>
      <c r="L27" s="187"/>
      <c r="M27" s="187"/>
      <c r="N27" s="187"/>
      <c r="O27" s="187"/>
      <c r="P27" s="187"/>
      <c r="Q27" s="187"/>
      <c r="S27" s="285"/>
      <c r="T27" s="286"/>
      <c r="U27" s="245"/>
      <c r="V27" s="287"/>
      <c r="W27" s="246"/>
      <c r="AE27" s="246"/>
      <c r="AF27" s="246"/>
      <c r="AI27" s="246"/>
      <c r="AJ27" s="205">
        <f>AE27-AI27</f>
        <v>0</v>
      </c>
    </row>
    <row r="28" spans="1:36" ht="15.75" x14ac:dyDescent="0.25">
      <c r="A28" s="288" t="s">
        <v>128</v>
      </c>
      <c r="B28" s="289" t="s">
        <v>277</v>
      </c>
      <c r="C28" s="218"/>
      <c r="D28" s="290" t="e">
        <f>+(C16+C17+C18+C24)*0.075</f>
        <v>#REF!</v>
      </c>
      <c r="E28" s="220" t="e">
        <f t="shared" si="0"/>
        <v>#REF!</v>
      </c>
      <c r="F28" s="187"/>
      <c r="G28" s="187"/>
      <c r="H28" s="187"/>
      <c r="L28" s="187"/>
      <c r="M28" s="187"/>
      <c r="N28" s="187"/>
      <c r="O28" s="187"/>
      <c r="P28" s="187"/>
      <c r="Q28" s="187"/>
      <c r="S28" s="205"/>
      <c r="T28" s="291"/>
      <c r="U28" s="247"/>
      <c r="V28" s="266"/>
      <c r="W28" s="266"/>
      <c r="AE28" s="205"/>
      <c r="AF28" s="205"/>
      <c r="AI28" s="205"/>
      <c r="AJ28" s="205"/>
    </row>
    <row r="29" spans="1:36" ht="15.75" x14ac:dyDescent="0.25">
      <c r="A29" s="288" t="s">
        <v>166</v>
      </c>
      <c r="B29" s="243" t="s">
        <v>278</v>
      </c>
      <c r="C29" s="218"/>
      <c r="D29" s="290" t="e">
        <f>+(D28)*0.1</f>
        <v>#REF!</v>
      </c>
      <c r="E29" s="220" t="e">
        <f t="shared" si="0"/>
        <v>#REF!</v>
      </c>
      <c r="F29" s="187"/>
      <c r="G29" s="187"/>
      <c r="H29" s="187"/>
      <c r="I29" s="187"/>
      <c r="J29" s="187"/>
      <c r="K29" s="187"/>
      <c r="L29" s="187"/>
      <c r="M29" s="187"/>
      <c r="N29" s="187"/>
      <c r="O29" s="187"/>
      <c r="P29" s="187"/>
      <c r="Q29" s="187"/>
      <c r="S29" s="259"/>
      <c r="T29" s="292"/>
      <c r="U29" s="247"/>
      <c r="V29" s="266"/>
      <c r="W29" s="266"/>
      <c r="AE29" s="205"/>
      <c r="AF29" s="205"/>
      <c r="AI29" s="205"/>
      <c r="AJ29" s="205"/>
    </row>
    <row r="30" spans="1:36" ht="15.75" x14ac:dyDescent="0.25">
      <c r="A30" s="288" t="s">
        <v>167</v>
      </c>
      <c r="B30" s="243" t="s">
        <v>279</v>
      </c>
      <c r="C30" s="218"/>
      <c r="D30" s="290" t="e">
        <f>((C16+C17+C18+C24)+D28+D29)*0.18</f>
        <v>#REF!</v>
      </c>
      <c r="E30" s="220" t="e">
        <f t="shared" si="0"/>
        <v>#REF!</v>
      </c>
      <c r="F30" s="187"/>
      <c r="G30" s="187"/>
      <c r="H30" s="187"/>
      <c r="I30" s="187"/>
      <c r="J30" s="187"/>
      <c r="K30" s="187"/>
      <c r="L30" s="187"/>
      <c r="M30" s="187"/>
      <c r="N30" s="187"/>
      <c r="O30" s="187"/>
      <c r="P30" s="187"/>
      <c r="Q30" s="187"/>
      <c r="S30" s="259"/>
      <c r="T30" s="292"/>
      <c r="U30" s="247"/>
      <c r="V30" s="266"/>
      <c r="W30" s="266"/>
      <c r="AE30" s="205"/>
      <c r="AF30" s="205"/>
      <c r="AI30" s="205"/>
      <c r="AJ30" s="205"/>
    </row>
    <row r="31" spans="1:36" ht="20.25" customHeight="1" x14ac:dyDescent="0.25">
      <c r="A31" s="293" t="s">
        <v>168</v>
      </c>
      <c r="B31" s="250" t="s">
        <v>280</v>
      </c>
      <c r="C31" s="218"/>
      <c r="D31" s="290" t="e">
        <f>+(C15+C22+C23)*0.1/(1-0.1)</f>
        <v>#REF!</v>
      </c>
      <c r="E31" s="220" t="e">
        <f t="shared" si="0"/>
        <v>#REF!</v>
      </c>
      <c r="F31" s="187"/>
      <c r="G31" s="187"/>
      <c r="H31" s="187"/>
      <c r="I31" s="187"/>
      <c r="J31" s="187"/>
      <c r="K31" s="187"/>
      <c r="L31" s="187"/>
      <c r="M31" s="187"/>
      <c r="N31" s="187"/>
      <c r="O31" s="187"/>
      <c r="P31" s="187"/>
      <c r="Q31" s="187"/>
      <c r="S31" s="205"/>
      <c r="T31" s="215"/>
      <c r="U31" s="247"/>
      <c r="V31" s="266"/>
      <c r="W31" s="266"/>
      <c r="AE31" s="294"/>
      <c r="AF31" s="205"/>
      <c r="AI31" s="294"/>
      <c r="AJ31" s="205"/>
    </row>
    <row r="32" spans="1:36" ht="15.75" x14ac:dyDescent="0.25">
      <c r="A32" s="293" t="s">
        <v>23</v>
      </c>
      <c r="B32" s="250" t="s">
        <v>281</v>
      </c>
      <c r="C32" s="295"/>
      <c r="D32" s="296" t="e">
        <f>+(C15+C22+C23+D31)*0.18</f>
        <v>#REF!</v>
      </c>
      <c r="E32" s="297" t="e">
        <f t="shared" si="0"/>
        <v>#REF!</v>
      </c>
      <c r="F32" s="187"/>
      <c r="G32" s="187"/>
      <c r="H32" s="187"/>
      <c r="I32" s="187"/>
      <c r="J32" s="239"/>
      <c r="K32" s="187"/>
      <c r="L32" s="187"/>
      <c r="M32" s="187"/>
      <c r="N32" s="187"/>
      <c r="O32" s="187"/>
      <c r="P32" s="187"/>
      <c r="Q32" s="187"/>
      <c r="S32" s="246"/>
      <c r="T32" s="298"/>
      <c r="U32" s="247"/>
      <c r="V32" s="247"/>
      <c r="W32" s="247"/>
      <c r="AE32" s="266"/>
      <c r="AF32" s="246"/>
      <c r="AI32" s="205"/>
      <c r="AJ32" s="205"/>
    </row>
    <row r="33" spans="1:36" ht="15.75" x14ac:dyDescent="0.25">
      <c r="A33" s="299"/>
      <c r="B33" s="300" t="s">
        <v>282</v>
      </c>
      <c r="C33" s="301">
        <f>SUM(C28:C32)</f>
        <v>0</v>
      </c>
      <c r="D33" s="290" t="e">
        <f>SUM(D28:D32)</f>
        <v>#REF!</v>
      </c>
      <c r="E33" s="220" t="e">
        <f t="shared" si="0"/>
        <v>#REF!</v>
      </c>
      <c r="F33" s="187"/>
      <c r="G33" s="187"/>
      <c r="H33" s="187"/>
      <c r="I33" s="187"/>
      <c r="J33" s="302"/>
      <c r="K33" s="239"/>
      <c r="L33" s="187"/>
      <c r="M33" s="187"/>
      <c r="N33" s="187"/>
      <c r="O33" s="187"/>
      <c r="P33" s="187"/>
      <c r="Q33" s="187"/>
      <c r="S33" s="246"/>
      <c r="T33" s="303"/>
      <c r="U33" s="304"/>
      <c r="V33" s="304"/>
      <c r="W33" s="304"/>
      <c r="AE33" s="273"/>
      <c r="AF33" s="246"/>
      <c r="AI33" s="205"/>
      <c r="AJ33" s="205"/>
    </row>
    <row r="34" spans="1:36" ht="15.75" x14ac:dyDescent="0.25">
      <c r="A34" s="305">
        <v>14</v>
      </c>
      <c r="B34" s="306" t="s">
        <v>283</v>
      </c>
      <c r="C34" s="307" t="e">
        <f>C33+C26</f>
        <v>#REF!</v>
      </c>
      <c r="D34" s="307" t="e">
        <f>D33+D26</f>
        <v>#REF!</v>
      </c>
      <c r="E34" s="307" t="e">
        <f>E33+E26</f>
        <v>#REF!</v>
      </c>
      <c r="F34" s="187"/>
      <c r="G34" s="187"/>
      <c r="H34" s="187"/>
      <c r="I34" s="187"/>
      <c r="J34" s="302"/>
      <c r="K34" s="239"/>
      <c r="L34" s="187"/>
      <c r="M34" s="187"/>
      <c r="N34" s="187"/>
      <c r="O34" s="187"/>
      <c r="P34" s="187"/>
      <c r="Q34" s="187"/>
      <c r="S34" s="246"/>
      <c r="T34" s="303"/>
      <c r="U34" s="247"/>
      <c r="V34" s="308"/>
      <c r="W34" s="266"/>
      <c r="AE34" s="273"/>
      <c r="AF34" s="246"/>
      <c r="AI34" s="205"/>
      <c r="AJ34" s="205"/>
    </row>
    <row r="35" spans="1:36" ht="15.75" x14ac:dyDescent="0.25">
      <c r="A35" s="309">
        <v>15</v>
      </c>
      <c r="B35" s="310" t="s">
        <v>284</v>
      </c>
      <c r="C35" s="311"/>
      <c r="D35" s="312" t="e">
        <f>I73</f>
        <v>#REF!</v>
      </c>
      <c r="E35" s="311" t="e">
        <f>C35+D35</f>
        <v>#REF!</v>
      </c>
      <c r="F35" s="187"/>
      <c r="G35" s="187"/>
      <c r="H35" s="187"/>
      <c r="I35" s="187"/>
      <c r="J35" s="302"/>
      <c r="K35" s="239"/>
      <c r="L35" s="187"/>
      <c r="M35" s="187"/>
      <c r="N35" s="187"/>
      <c r="O35" s="187"/>
      <c r="P35" s="187"/>
      <c r="Q35" s="187"/>
      <c r="S35" s="246"/>
      <c r="T35" s="303"/>
      <c r="U35" s="247"/>
      <c r="V35" s="308"/>
      <c r="W35" s="266"/>
      <c r="AE35" s="273"/>
      <c r="AF35" s="246"/>
      <c r="AI35" s="205"/>
      <c r="AJ35" s="205"/>
    </row>
    <row r="36" spans="1:36" ht="15.75" x14ac:dyDescent="0.25">
      <c r="A36" s="305">
        <v>16</v>
      </c>
      <c r="B36" s="306" t="s">
        <v>285</v>
      </c>
      <c r="C36" s="313" t="e">
        <f>C34-C35</f>
        <v>#REF!</v>
      </c>
      <c r="D36" s="313" t="e">
        <f>D34-D35</f>
        <v>#REF!</v>
      </c>
      <c r="E36" s="313" t="e">
        <f>E34-E35</f>
        <v>#REF!</v>
      </c>
      <c r="F36" s="187"/>
      <c r="G36" s="187"/>
      <c r="H36" s="69"/>
      <c r="I36" s="314"/>
      <c r="J36" s="315"/>
      <c r="K36" s="187"/>
      <c r="L36" s="187"/>
      <c r="M36" s="187"/>
      <c r="N36" s="187"/>
      <c r="O36" s="187"/>
      <c r="P36" s="187"/>
      <c r="Q36" s="187"/>
    </row>
    <row r="37" spans="1:36" ht="15.75" x14ac:dyDescent="0.25">
      <c r="A37" s="194"/>
      <c r="B37" s="316"/>
      <c r="C37" s="196"/>
      <c r="D37" s="187"/>
      <c r="E37" s="187"/>
      <c r="F37" s="187"/>
      <c r="G37" s="187"/>
      <c r="H37" s="187"/>
      <c r="I37" s="314"/>
      <c r="J37" s="317"/>
      <c r="K37" s="187"/>
      <c r="L37" s="187"/>
      <c r="M37" s="187"/>
      <c r="N37" s="187"/>
      <c r="O37" s="187"/>
      <c r="P37" s="187"/>
      <c r="Q37" s="187"/>
    </row>
    <row r="38" spans="1:36" ht="15.75" x14ac:dyDescent="0.25">
      <c r="A38" s="194"/>
      <c r="B38" s="316"/>
      <c r="C38" s="196"/>
      <c r="D38" s="187"/>
      <c r="E38" s="187"/>
      <c r="F38" s="187"/>
      <c r="G38" s="187"/>
      <c r="H38" s="187"/>
      <c r="I38" s="315"/>
      <c r="J38" s="317"/>
      <c r="K38" s="187"/>
      <c r="L38" s="187"/>
      <c r="M38" s="187"/>
      <c r="N38" s="187"/>
      <c r="O38" s="187"/>
      <c r="P38" s="187"/>
      <c r="Q38" s="187"/>
    </row>
    <row r="39" spans="1:36" ht="15.75" x14ac:dyDescent="0.25">
      <c r="A39" s="194"/>
      <c r="B39" s="316"/>
      <c r="C39" s="196"/>
      <c r="D39" s="187"/>
      <c r="E39" s="187"/>
      <c r="F39" s="187"/>
      <c r="G39" s="69"/>
      <c r="H39" s="187"/>
      <c r="I39" s="187"/>
      <c r="J39" s="317"/>
      <c r="K39" s="187"/>
      <c r="L39" s="187"/>
      <c r="M39" s="187"/>
      <c r="N39" s="187"/>
      <c r="O39" s="187"/>
      <c r="P39" s="187"/>
      <c r="Q39" s="187"/>
    </row>
    <row r="40" spans="1:36" ht="15.75" x14ac:dyDescent="0.25">
      <c r="A40" s="194"/>
      <c r="B40" s="316"/>
      <c r="C40" s="196"/>
      <c r="D40" s="187"/>
      <c r="E40" s="318" t="s">
        <v>315</v>
      </c>
      <c r="F40" s="187"/>
      <c r="G40" s="187"/>
      <c r="H40" s="187"/>
      <c r="I40" s="315"/>
      <c r="J40" s="317"/>
      <c r="K40" s="187"/>
      <c r="L40" s="187"/>
      <c r="M40" s="187"/>
      <c r="N40" s="187"/>
      <c r="O40" s="187"/>
      <c r="P40" s="187"/>
      <c r="Q40" s="187"/>
    </row>
    <row r="41" spans="1:36" ht="15.75" x14ac:dyDescent="0.25">
      <c r="A41" s="194"/>
      <c r="B41" s="316"/>
      <c r="C41" s="196"/>
      <c r="D41" s="187"/>
      <c r="E41" s="318" t="s">
        <v>316</v>
      </c>
      <c r="F41" s="187"/>
      <c r="G41" s="187"/>
      <c r="H41" s="187"/>
      <c r="I41" s="187"/>
      <c r="J41" s="317"/>
      <c r="K41" s="187"/>
      <c r="L41" s="187"/>
      <c r="M41" s="187"/>
      <c r="N41" s="187"/>
      <c r="O41" s="187"/>
      <c r="P41" s="187"/>
      <c r="Q41" s="187"/>
    </row>
    <row r="42" spans="1:36" ht="15.75" x14ac:dyDescent="0.25">
      <c r="A42" s="194"/>
      <c r="B42" s="316"/>
      <c r="C42" s="196"/>
      <c r="D42" s="187"/>
      <c r="E42" s="319" t="s">
        <v>286</v>
      </c>
      <c r="F42" s="187"/>
      <c r="G42" s="187"/>
      <c r="H42" s="187"/>
      <c r="I42" s="187"/>
      <c r="J42" s="317"/>
      <c r="K42" s="187"/>
      <c r="L42" s="187"/>
      <c r="M42" s="187"/>
      <c r="N42" s="187"/>
      <c r="O42" s="187"/>
      <c r="P42" s="187"/>
      <c r="Q42" s="187"/>
    </row>
    <row r="43" spans="1:36" ht="15.75" x14ac:dyDescent="0.25">
      <c r="A43" s="194"/>
      <c r="B43" s="316"/>
      <c r="C43" s="196"/>
      <c r="D43" s="187"/>
      <c r="E43" s="319"/>
      <c r="F43" s="187"/>
      <c r="G43" s="187"/>
      <c r="H43" s="187"/>
      <c r="I43" s="187"/>
      <c r="J43" s="317"/>
      <c r="K43" s="187"/>
      <c r="L43" s="187"/>
      <c r="M43" s="187"/>
      <c r="N43" s="187"/>
      <c r="O43" s="187"/>
      <c r="P43" s="187"/>
      <c r="Q43" s="187"/>
    </row>
    <row r="44" spans="1:36" ht="15.75" x14ac:dyDescent="0.25">
      <c r="A44" s="194"/>
      <c r="B44" s="320" t="s">
        <v>258</v>
      </c>
      <c r="C44" s="321">
        <v>75</v>
      </c>
      <c r="D44" s="322" t="s">
        <v>287</v>
      </c>
      <c r="F44" s="187"/>
      <c r="I44" s="317"/>
      <c r="L44" s="187"/>
      <c r="M44" s="187"/>
      <c r="N44" s="187"/>
      <c r="O44" s="187"/>
      <c r="P44" s="187"/>
      <c r="Q44" s="187"/>
      <c r="S44" s="323"/>
      <c r="T44" s="249"/>
      <c r="U44" s="249"/>
      <c r="V44" s="249"/>
      <c r="W44" s="249"/>
      <c r="AF44" s="249"/>
      <c r="AG44" s="249"/>
      <c r="AH44" s="249"/>
      <c r="AI44" s="249"/>
      <c r="AJ44" s="324"/>
    </row>
    <row r="45" spans="1:36" ht="15.75" x14ac:dyDescent="0.25">
      <c r="A45" s="194"/>
      <c r="B45" s="320" t="s">
        <v>260</v>
      </c>
      <c r="C45" s="321">
        <v>68</v>
      </c>
      <c r="D45" s="325" t="s">
        <v>288</v>
      </c>
      <c r="F45" s="187"/>
      <c r="G45" s="187"/>
      <c r="H45" s="187"/>
      <c r="I45" s="187"/>
      <c r="J45" s="317"/>
      <c r="L45" s="187"/>
      <c r="M45" s="187"/>
      <c r="N45" s="187"/>
      <c r="O45" s="187"/>
      <c r="P45" s="187"/>
      <c r="Q45" s="187"/>
      <c r="Y45" s="326"/>
      <c r="Z45" s="327"/>
      <c r="AA45" s="327"/>
      <c r="AB45" s="328"/>
      <c r="AC45" s="327"/>
    </row>
    <row r="46" spans="1:36" ht="15.75" x14ac:dyDescent="0.25">
      <c r="A46" s="194"/>
      <c r="B46" s="329" t="s">
        <v>289</v>
      </c>
      <c r="C46" s="330">
        <v>0.06</v>
      </c>
      <c r="D46" s="331"/>
      <c r="F46" s="187"/>
      <c r="G46" s="187"/>
      <c r="H46" s="187"/>
      <c r="I46" s="187"/>
      <c r="J46" s="317"/>
      <c r="K46" s="187"/>
      <c r="L46" s="187"/>
      <c r="M46" s="187"/>
      <c r="N46" s="187"/>
      <c r="O46" s="187"/>
      <c r="P46" s="187"/>
      <c r="Q46" s="187"/>
      <c r="Y46" s="326"/>
      <c r="Z46" s="327"/>
      <c r="AA46" s="327"/>
      <c r="AB46" s="328"/>
      <c r="AC46" s="327"/>
    </row>
    <row r="47" spans="1:36" ht="15.75" x14ac:dyDescent="0.25">
      <c r="A47" s="194"/>
      <c r="B47" s="329" t="s">
        <v>290</v>
      </c>
      <c r="C47" s="330">
        <v>0.12</v>
      </c>
      <c r="D47" s="332"/>
      <c r="E47" s="333"/>
      <c r="F47" s="187"/>
      <c r="G47" s="187"/>
      <c r="H47" s="187"/>
      <c r="I47" s="187"/>
      <c r="J47" s="317"/>
      <c r="K47" s="187"/>
      <c r="L47" s="187"/>
      <c r="M47" s="187"/>
      <c r="N47" s="187"/>
      <c r="O47" s="187"/>
      <c r="P47" s="187"/>
      <c r="Q47" s="187"/>
      <c r="Y47" s="326"/>
      <c r="Z47" s="327"/>
      <c r="AA47" s="327"/>
      <c r="AB47" s="328"/>
      <c r="AC47" s="327"/>
    </row>
    <row r="48" spans="1:36" ht="15.75" x14ac:dyDescent="0.25">
      <c r="A48" s="194"/>
      <c r="B48" s="329" t="s">
        <v>291</v>
      </c>
      <c r="C48" s="330">
        <v>0.2</v>
      </c>
      <c r="D48" s="332"/>
      <c r="E48" s="333"/>
      <c r="F48" s="187"/>
      <c r="G48" s="187"/>
      <c r="H48" s="187"/>
      <c r="I48" s="187" t="s">
        <v>155</v>
      </c>
      <c r="K48" s="187"/>
      <c r="L48" s="187"/>
      <c r="M48" s="187"/>
      <c r="N48" s="187"/>
      <c r="O48" s="187"/>
      <c r="P48" s="187"/>
      <c r="Q48" s="187"/>
      <c r="Y48" s="326"/>
      <c r="Z48" s="327"/>
      <c r="AA48" s="327"/>
      <c r="AB48" s="328"/>
      <c r="AC48" s="327"/>
    </row>
    <row r="49" spans="1:29" ht="15.75" x14ac:dyDescent="0.25">
      <c r="A49" s="194"/>
      <c r="B49" s="329" t="s">
        <v>292</v>
      </c>
      <c r="C49" s="330">
        <v>0.12</v>
      </c>
      <c r="D49" s="331"/>
      <c r="F49" s="187"/>
      <c r="G49" s="187"/>
      <c r="H49" s="187"/>
      <c r="I49" s="187"/>
      <c r="J49" s="317"/>
      <c r="K49" s="187"/>
      <c r="L49" s="187"/>
      <c r="M49" s="187"/>
      <c r="N49" s="187"/>
      <c r="O49" s="187"/>
      <c r="P49" s="187"/>
      <c r="Q49" s="187"/>
      <c r="Y49" s="326"/>
      <c r="Z49" s="327"/>
      <c r="AA49" s="327"/>
      <c r="AB49" s="328"/>
      <c r="AC49" s="327"/>
    </row>
    <row r="50" spans="1:29" ht="15.75" x14ac:dyDescent="0.25">
      <c r="A50" s="194"/>
      <c r="B50" s="334" t="s">
        <v>40</v>
      </c>
      <c r="C50" s="330">
        <v>7.4999999999999997E-2</v>
      </c>
      <c r="D50" s="331"/>
      <c r="F50" s="187"/>
      <c r="G50" s="187"/>
      <c r="H50" s="187"/>
      <c r="I50" s="187"/>
      <c r="J50" s="317"/>
      <c r="K50" s="187"/>
      <c r="L50" s="187"/>
      <c r="M50" s="187"/>
      <c r="N50" s="187"/>
      <c r="O50" s="187"/>
      <c r="P50" s="187"/>
      <c r="Q50" s="187"/>
      <c r="Y50" s="326"/>
      <c r="Z50" s="327"/>
      <c r="AA50" s="327"/>
      <c r="AB50" s="328"/>
      <c r="AC50" s="327"/>
    </row>
    <row r="51" spans="1:29" ht="15.75" x14ac:dyDescent="0.25">
      <c r="A51" s="335" t="s">
        <v>27</v>
      </c>
      <c r="B51" s="336" t="s">
        <v>3</v>
      </c>
      <c r="C51" s="1395" t="s">
        <v>293</v>
      </c>
      <c r="D51" s="1395"/>
      <c r="E51" s="1396" t="s">
        <v>294</v>
      </c>
      <c r="F51" s="1396"/>
      <c r="G51" s="1396"/>
      <c r="H51" s="337"/>
      <c r="I51" s="337"/>
      <c r="J51" s="298"/>
      <c r="K51" s="298"/>
      <c r="L51" s="187"/>
      <c r="M51" s="187"/>
      <c r="N51" s="187"/>
      <c r="O51" s="187"/>
      <c r="P51" s="187"/>
      <c r="Q51" s="187"/>
      <c r="S51" s="338"/>
      <c r="T51" s="338"/>
      <c r="U51" s="338"/>
      <c r="V51" s="338"/>
      <c r="W51" s="338"/>
      <c r="Y51" s="326"/>
      <c r="Z51" s="249"/>
      <c r="AA51" s="249"/>
      <c r="AB51" s="249"/>
      <c r="AC51" s="327"/>
    </row>
    <row r="52" spans="1:29" ht="30" x14ac:dyDescent="0.25">
      <c r="A52" s="339"/>
      <c r="B52" s="340"/>
      <c r="C52" s="341" t="s">
        <v>295</v>
      </c>
      <c r="D52" s="342" t="s">
        <v>296</v>
      </c>
      <c r="E52" s="343" t="s">
        <v>297</v>
      </c>
      <c r="F52" s="343" t="s">
        <v>298</v>
      </c>
      <c r="G52" s="341" t="s">
        <v>299</v>
      </c>
      <c r="H52" s="344" t="s">
        <v>300</v>
      </c>
      <c r="I52" s="345" t="s">
        <v>4</v>
      </c>
      <c r="L52" s="187"/>
      <c r="M52" s="187"/>
      <c r="N52" s="187"/>
      <c r="O52" s="187"/>
      <c r="P52" s="187"/>
      <c r="Q52" s="187"/>
      <c r="S52" s="338"/>
      <c r="T52" s="338"/>
      <c r="U52" s="338"/>
      <c r="V52" s="338"/>
      <c r="W52" s="338"/>
      <c r="Y52" s="346"/>
      <c r="AC52" s="249"/>
    </row>
    <row r="53" spans="1:29" ht="15.75" x14ac:dyDescent="0.25">
      <c r="A53" s="339"/>
      <c r="B53" s="347" t="e">
        <f>#REF!</f>
        <v>#REF!</v>
      </c>
      <c r="C53" s="348" t="e">
        <f>#REF!</f>
        <v>#REF!</v>
      </c>
      <c r="D53" s="349" t="e">
        <f>(B53-C53)</f>
        <v>#REF!</v>
      </c>
      <c r="E53" s="350">
        <v>0.18</v>
      </c>
      <c r="F53" s="350">
        <v>0.18</v>
      </c>
      <c r="G53" s="350">
        <v>0.18</v>
      </c>
      <c r="H53" s="351"/>
      <c r="I53" s="345"/>
      <c r="L53" s="187"/>
      <c r="M53" s="187"/>
      <c r="N53" s="187"/>
      <c r="O53" s="187"/>
      <c r="P53" s="187"/>
      <c r="Q53" s="187"/>
      <c r="S53" s="338"/>
      <c r="T53" s="338"/>
      <c r="U53" s="338"/>
      <c r="V53" s="338"/>
      <c r="W53" s="338"/>
      <c r="Y53" s="346"/>
      <c r="AC53" s="249"/>
    </row>
    <row r="54" spans="1:29" ht="22.5" customHeight="1" x14ac:dyDescent="0.25">
      <c r="A54" s="305">
        <v>1</v>
      </c>
      <c r="B54" s="352" t="s">
        <v>301</v>
      </c>
      <c r="C54" s="353" t="e">
        <f>(SUM(D55:D66)+SUM(C55:C59)*1.07-C56*1.07-D56)*C53</f>
        <v>#REF!</v>
      </c>
      <c r="D54" s="354" t="e">
        <f>(SUM(D55:D66)+SUM(C55:C59)*1.07-C56*1.07-D56)*D53</f>
        <v>#REF!</v>
      </c>
      <c r="E54" s="355"/>
      <c r="F54" s="353" t="e">
        <f>D54*F53</f>
        <v>#REF!</v>
      </c>
      <c r="G54" s="355"/>
      <c r="H54" s="355"/>
      <c r="I54" s="356" t="e">
        <f>SUM(C54:H54)</f>
        <v>#REF!</v>
      </c>
      <c r="L54" s="187"/>
      <c r="M54" s="187"/>
      <c r="N54" s="187"/>
      <c r="O54" s="187"/>
      <c r="P54" s="187"/>
      <c r="Q54" s="187"/>
      <c r="S54" s="338"/>
      <c r="T54" s="338"/>
      <c r="U54" s="338"/>
      <c r="V54" s="338"/>
      <c r="W54" s="338"/>
    </row>
    <row r="55" spans="1:29" ht="15.75" x14ac:dyDescent="0.25">
      <c r="A55" s="357">
        <v>2</v>
      </c>
      <c r="B55" s="358" t="s">
        <v>302</v>
      </c>
      <c r="C55" s="322" t="e">
        <f>#REF!</f>
        <v>#REF!</v>
      </c>
      <c r="D55" s="322" t="e">
        <f>#REF!/100</f>
        <v>#REF!</v>
      </c>
      <c r="E55" s="359" t="e">
        <f>D55*E53</f>
        <v>#REF!</v>
      </c>
      <c r="F55" s="359"/>
      <c r="G55" s="360" t="e">
        <f>(D55*0.02)*(1+$G$53)</f>
        <v>#REF!</v>
      </c>
      <c r="H55" s="360"/>
      <c r="I55" s="356" t="e">
        <f t="shared" ref="I55:I71" si="1">SUM(C55:H55)</f>
        <v>#REF!</v>
      </c>
      <c r="L55" s="187"/>
      <c r="M55" s="187"/>
      <c r="N55" s="187"/>
      <c r="O55" s="187"/>
      <c r="P55" s="187"/>
      <c r="Q55" s="187"/>
      <c r="S55" s="338"/>
      <c r="T55" s="338"/>
      <c r="U55" s="338"/>
      <c r="V55" s="338"/>
      <c r="W55" s="338"/>
    </row>
    <row r="56" spans="1:29" ht="15.75" x14ac:dyDescent="0.25">
      <c r="A56" s="357">
        <v>3</v>
      </c>
      <c r="B56" s="358" t="s">
        <v>303</v>
      </c>
      <c r="C56" s="322" t="e">
        <f>#REF!</f>
        <v>#REF!</v>
      </c>
      <c r="D56" s="322" t="e">
        <f>#REF!/100</f>
        <v>#REF!</v>
      </c>
      <c r="E56" s="359" t="e">
        <f>D56*E53</f>
        <v>#REF!</v>
      </c>
      <c r="F56" s="359"/>
      <c r="G56" s="360" t="e">
        <f>(D56*0.02)*(1+$G$53)*0</f>
        <v>#REF!</v>
      </c>
      <c r="H56" s="360"/>
      <c r="I56" s="356" t="e">
        <f t="shared" si="1"/>
        <v>#REF!</v>
      </c>
      <c r="L56" s="187"/>
      <c r="M56" s="187"/>
      <c r="N56" s="187"/>
      <c r="O56" s="187"/>
      <c r="P56" s="187"/>
      <c r="Q56" s="187"/>
      <c r="S56" s="338"/>
      <c r="T56" s="338"/>
      <c r="U56" s="338"/>
      <c r="V56" s="338"/>
      <c r="W56" s="338"/>
    </row>
    <row r="57" spans="1:29" ht="15.75" x14ac:dyDescent="0.25">
      <c r="A57" s="357">
        <v>4</v>
      </c>
      <c r="B57" s="358" t="s">
        <v>304</v>
      </c>
      <c r="C57" s="322" t="e">
        <f>#REF!</f>
        <v>#REF!</v>
      </c>
      <c r="D57" s="322"/>
      <c r="E57" s="359">
        <f>D57*E53</f>
        <v>0</v>
      </c>
      <c r="F57" s="359"/>
      <c r="G57" s="360">
        <f>(D57*0.09)*(1+$G$53)</f>
        <v>0</v>
      </c>
      <c r="H57" s="360"/>
      <c r="I57" s="356" t="e">
        <f t="shared" si="1"/>
        <v>#REF!</v>
      </c>
      <c r="L57" s="187"/>
      <c r="M57" s="187"/>
      <c r="N57" s="187"/>
      <c r="O57" s="187"/>
      <c r="P57" s="187"/>
      <c r="Q57" s="187"/>
    </row>
    <row r="58" spans="1:29" s="249" customFormat="1" ht="21" customHeight="1" x14ac:dyDescent="0.2">
      <c r="A58" s="305">
        <v>5</v>
      </c>
      <c r="B58" s="352" t="s">
        <v>305</v>
      </c>
      <c r="C58" s="353"/>
      <c r="D58" s="322" t="e">
        <f>#REF!/100</f>
        <v>#REF!</v>
      </c>
      <c r="E58" s="353" t="e">
        <f>D58*E53</f>
        <v>#REF!</v>
      </c>
      <c r="F58" s="353"/>
      <c r="G58" s="360" t="e">
        <f>(D58*0.09)*(1+$G$53)</f>
        <v>#REF!</v>
      </c>
      <c r="H58" s="356"/>
      <c r="I58" s="356" t="e">
        <f t="shared" si="1"/>
        <v>#REF!</v>
      </c>
      <c r="L58" s="190"/>
      <c r="M58" s="190"/>
      <c r="N58" s="190"/>
      <c r="O58" s="190"/>
      <c r="P58" s="190"/>
      <c r="Q58" s="190"/>
      <c r="U58" s="346"/>
      <c r="W58" s="346"/>
    </row>
    <row r="59" spans="1:29" s="249" customFormat="1" ht="20.25" customHeight="1" x14ac:dyDescent="0.2">
      <c r="A59" s="305">
        <v>6</v>
      </c>
      <c r="B59" s="352" t="s">
        <v>26</v>
      </c>
      <c r="C59" s="322" t="e">
        <f>#REF!</f>
        <v>#REF!</v>
      </c>
      <c r="D59" s="322"/>
      <c r="E59" s="353">
        <f>D59*E53</f>
        <v>0</v>
      </c>
      <c r="F59" s="353"/>
      <c r="G59" s="360">
        <f>(D59*0.09)*(1+$G$53)</f>
        <v>0</v>
      </c>
      <c r="H59" s="356"/>
      <c r="I59" s="356" t="e">
        <f t="shared" si="1"/>
        <v>#REF!</v>
      </c>
      <c r="L59" s="190"/>
      <c r="M59" s="190"/>
      <c r="N59" s="190"/>
      <c r="O59" s="190"/>
      <c r="P59" s="190"/>
      <c r="Q59" s="190"/>
      <c r="S59" s="361"/>
      <c r="U59" s="362"/>
    </row>
    <row r="60" spans="1:29" s="249" customFormat="1" ht="22.5" customHeight="1" x14ac:dyDescent="0.2">
      <c r="A60" s="305">
        <v>7</v>
      </c>
      <c r="B60" s="363" t="s">
        <v>306</v>
      </c>
      <c r="C60" s="353"/>
      <c r="D60" s="322" t="e">
        <f>#REF!/100</f>
        <v>#REF!</v>
      </c>
      <c r="E60" s="353"/>
      <c r="F60" s="356" t="e">
        <f>D60*F53</f>
        <v>#REF!</v>
      </c>
      <c r="G60" s="353"/>
      <c r="H60" s="353"/>
      <c r="I60" s="356" t="e">
        <f t="shared" si="1"/>
        <v>#REF!</v>
      </c>
      <c r="L60" s="190"/>
      <c r="M60" s="190"/>
      <c r="N60" s="190"/>
      <c r="O60" s="190"/>
      <c r="P60" s="190"/>
      <c r="Q60" s="190"/>
      <c r="S60" s="361"/>
      <c r="U60" s="362"/>
    </row>
    <row r="61" spans="1:29" s="249" customFormat="1" ht="33.75" customHeight="1" x14ac:dyDescent="0.2">
      <c r="A61" s="305"/>
      <c r="B61" s="364" t="s">
        <v>307</v>
      </c>
      <c r="C61" s="353"/>
      <c r="D61" s="322" t="e">
        <f>#REF!/100</f>
        <v>#REF!</v>
      </c>
      <c r="E61" s="353"/>
      <c r="F61" s="356" t="e">
        <f>D61*F53</f>
        <v>#REF!</v>
      </c>
      <c r="G61" s="353"/>
      <c r="H61" s="353"/>
      <c r="I61" s="356" t="e">
        <f t="shared" si="1"/>
        <v>#REF!</v>
      </c>
      <c r="L61" s="190"/>
      <c r="M61" s="190"/>
      <c r="N61" s="190"/>
      <c r="O61" s="190"/>
      <c r="P61" s="190"/>
      <c r="Q61" s="190"/>
      <c r="S61" s="361"/>
      <c r="U61" s="362"/>
    </row>
    <row r="62" spans="1:29" s="249" customFormat="1" ht="20.25" customHeight="1" x14ac:dyDescent="0.2">
      <c r="A62" s="305"/>
      <c r="B62" s="289" t="s">
        <v>32</v>
      </c>
      <c r="C62" s="353"/>
      <c r="D62" s="322" t="e">
        <f>(#REF!+#REF!)/100</f>
        <v>#REF!</v>
      </c>
      <c r="E62" s="353"/>
      <c r="F62" s="356" t="e">
        <f>D62*F53</f>
        <v>#REF!</v>
      </c>
      <c r="G62" s="353"/>
      <c r="H62" s="353"/>
      <c r="I62" s="356" t="e">
        <f t="shared" si="1"/>
        <v>#REF!</v>
      </c>
      <c r="L62" s="190"/>
      <c r="M62" s="190"/>
      <c r="N62" s="190"/>
      <c r="O62" s="190"/>
      <c r="P62" s="190"/>
      <c r="Q62" s="190"/>
      <c r="S62" s="361"/>
      <c r="U62" s="362"/>
    </row>
    <row r="63" spans="1:29" s="249" customFormat="1" ht="23.25" customHeight="1" x14ac:dyDescent="0.2">
      <c r="A63" s="305">
        <v>8</v>
      </c>
      <c r="B63" s="365" t="s">
        <v>308</v>
      </c>
      <c r="C63" s="353"/>
      <c r="D63" s="366" t="e">
        <f>C55*1.07*C46+D55*C47</f>
        <v>#REF!</v>
      </c>
      <c r="E63" s="367"/>
      <c r="F63" s="356" t="e">
        <f>D63*F53</f>
        <v>#REF!</v>
      </c>
      <c r="G63" s="367"/>
      <c r="H63" s="367"/>
      <c r="I63" s="356" t="e">
        <f t="shared" si="1"/>
        <v>#REF!</v>
      </c>
      <c r="L63" s="190"/>
      <c r="M63" s="190"/>
      <c r="N63" s="190"/>
      <c r="O63" s="190"/>
      <c r="P63" s="190"/>
      <c r="Q63" s="190"/>
      <c r="S63" s="368"/>
    </row>
    <row r="64" spans="1:29" s="249" customFormat="1" ht="23.25" customHeight="1" x14ac:dyDescent="0.2">
      <c r="A64" s="305"/>
      <c r="B64" s="365" t="s">
        <v>309</v>
      </c>
      <c r="C64" s="353"/>
      <c r="D64" s="366" t="e">
        <f>C57*1.07*C48+D57*C48</f>
        <v>#REF!</v>
      </c>
      <c r="E64" s="367"/>
      <c r="F64" s="356" t="e">
        <f>D64*F53</f>
        <v>#REF!</v>
      </c>
      <c r="G64" s="367"/>
      <c r="H64" s="367"/>
      <c r="I64" s="356" t="e">
        <f t="shared" si="1"/>
        <v>#REF!</v>
      </c>
      <c r="L64" s="190"/>
      <c r="M64" s="190"/>
      <c r="N64" s="190"/>
      <c r="O64" s="190"/>
      <c r="P64" s="190"/>
      <c r="Q64" s="190"/>
      <c r="S64" s="368"/>
    </row>
    <row r="65" spans="1:25" s="249" customFormat="1" ht="23.25" customHeight="1" x14ac:dyDescent="0.2">
      <c r="A65" s="305"/>
      <c r="B65" s="365" t="s">
        <v>310</v>
      </c>
      <c r="C65" s="353"/>
      <c r="D65" s="366" t="e">
        <f>D58*C48</f>
        <v>#REF!</v>
      </c>
      <c r="E65" s="367"/>
      <c r="F65" s="356" t="e">
        <f>D65*F53</f>
        <v>#REF!</v>
      </c>
      <c r="G65" s="367"/>
      <c r="H65" s="367"/>
      <c r="I65" s="356" t="e">
        <f t="shared" si="1"/>
        <v>#REF!</v>
      </c>
      <c r="L65" s="190"/>
      <c r="M65" s="190"/>
      <c r="N65" s="190"/>
      <c r="O65" s="190"/>
      <c r="P65" s="190"/>
      <c r="Q65" s="190"/>
      <c r="S65" s="368"/>
    </row>
    <row r="66" spans="1:25" s="249" customFormat="1" ht="23.25" customHeight="1" x14ac:dyDescent="0.2">
      <c r="A66" s="305"/>
      <c r="B66" s="365" t="s">
        <v>311</v>
      </c>
      <c r="C66" s="353"/>
      <c r="D66" s="366" t="e">
        <f>C59*1.07*C49+D59*C49</f>
        <v>#REF!</v>
      </c>
      <c r="E66" s="367"/>
      <c r="F66" s="356" t="e">
        <f>D66*F53</f>
        <v>#REF!</v>
      </c>
      <c r="G66" s="367"/>
      <c r="H66" s="367"/>
      <c r="I66" s="356" t="e">
        <f t="shared" si="1"/>
        <v>#REF!</v>
      </c>
      <c r="L66" s="190"/>
      <c r="M66" s="190"/>
      <c r="N66" s="190"/>
      <c r="O66" s="190"/>
      <c r="P66" s="190"/>
      <c r="Q66" s="190"/>
      <c r="S66" s="368"/>
    </row>
    <row r="67" spans="1:25" s="249" customFormat="1" ht="24" customHeight="1" x14ac:dyDescent="0.2">
      <c r="A67" s="305">
        <v>9</v>
      </c>
      <c r="B67" s="352" t="s">
        <v>137</v>
      </c>
      <c r="C67" s="322" t="e">
        <f>#REF!</f>
        <v>#REF!</v>
      </c>
      <c r="D67" s="354"/>
      <c r="E67" s="369"/>
      <c r="F67" s="369"/>
      <c r="G67" s="369"/>
      <c r="H67" s="369"/>
      <c r="I67" s="356" t="e">
        <f t="shared" si="1"/>
        <v>#REF!</v>
      </c>
      <c r="L67" s="190"/>
      <c r="M67" s="190"/>
      <c r="N67" s="190"/>
      <c r="O67" s="190"/>
      <c r="P67" s="190"/>
      <c r="Q67" s="190"/>
      <c r="S67" s="370"/>
    </row>
    <row r="68" spans="1:25" s="249" customFormat="1" ht="20.25" customHeight="1" x14ac:dyDescent="0.2">
      <c r="A68" s="305">
        <v>10</v>
      </c>
      <c r="B68" s="352" t="s">
        <v>312</v>
      </c>
      <c r="C68" s="322" t="e">
        <f>#REF!</f>
        <v>#REF!</v>
      </c>
      <c r="D68" s="354"/>
      <c r="E68" s="369"/>
      <c r="F68" s="369"/>
      <c r="G68" s="369"/>
      <c r="H68" s="369"/>
      <c r="I68" s="356" t="e">
        <f t="shared" si="1"/>
        <v>#REF!</v>
      </c>
      <c r="L68" s="190"/>
      <c r="M68" s="190"/>
      <c r="N68" s="190"/>
      <c r="O68" s="190"/>
      <c r="P68" s="190"/>
      <c r="Q68" s="190"/>
      <c r="S68" s="361"/>
    </row>
    <row r="69" spans="1:25" ht="20.25" customHeight="1" x14ac:dyDescent="0.25">
      <c r="A69" s="357">
        <v>11</v>
      </c>
      <c r="B69" s="371" t="s">
        <v>313</v>
      </c>
      <c r="C69" s="353" t="e">
        <f>+(C55+C57+C59)*0.07</f>
        <v>#REF!</v>
      </c>
      <c r="D69" s="372"/>
      <c r="E69" s="373"/>
      <c r="F69" s="373"/>
      <c r="G69" s="374" t="e">
        <f>((C55+C56)*1.07*0.03+(C57+C59)*1.07*0.1)*(1+$G$53)</f>
        <v>#REF!</v>
      </c>
      <c r="H69" s="373"/>
      <c r="I69" s="356" t="e">
        <f t="shared" si="1"/>
        <v>#REF!</v>
      </c>
      <c r="L69" s="187"/>
      <c r="M69" s="187"/>
      <c r="N69" s="187"/>
      <c r="O69" s="187"/>
      <c r="P69" s="187"/>
      <c r="Q69" s="187"/>
      <c r="S69" s="361"/>
      <c r="T69" s="249"/>
      <c r="V69" s="249"/>
      <c r="W69" s="249"/>
    </row>
    <row r="70" spans="1:25" s="249" customFormat="1" ht="21.75" hidden="1" customHeight="1" x14ac:dyDescent="0.2">
      <c r="A70" s="305"/>
      <c r="B70" s="375" t="s">
        <v>314</v>
      </c>
      <c r="C70" s="353"/>
      <c r="D70" s="354"/>
      <c r="E70" s="376"/>
      <c r="F70" s="376"/>
      <c r="H70" s="356" t="e">
        <f>((C55*1.07)*0.03+(C57+C59)*1.07*0.1)*(1+C50)*0</f>
        <v>#REF!</v>
      </c>
      <c r="I70" s="356" t="e">
        <f t="shared" si="1"/>
        <v>#REF!</v>
      </c>
      <c r="L70" s="190"/>
      <c r="M70" s="190"/>
      <c r="N70" s="190"/>
      <c r="O70" s="190"/>
      <c r="P70" s="190"/>
      <c r="Q70" s="190"/>
      <c r="S70" s="361"/>
    </row>
    <row r="71" spans="1:25" s="249" customFormat="1" ht="23.25" customHeight="1" x14ac:dyDescent="0.2">
      <c r="A71" s="305">
        <v>12</v>
      </c>
      <c r="B71" s="377" t="s">
        <v>300</v>
      </c>
      <c r="C71" s="353"/>
      <c r="D71" s="354"/>
      <c r="E71" s="376"/>
      <c r="F71" s="376"/>
      <c r="G71" s="356"/>
      <c r="H71" s="378" t="e">
        <f>E33</f>
        <v>#REF!</v>
      </c>
      <c r="I71" s="356" t="e">
        <f t="shared" si="1"/>
        <v>#REF!</v>
      </c>
      <c r="L71" s="190"/>
      <c r="M71" s="190"/>
      <c r="N71" s="190"/>
      <c r="O71" s="190"/>
      <c r="P71" s="190"/>
      <c r="Q71" s="190"/>
      <c r="S71" s="361"/>
    </row>
    <row r="72" spans="1:25" ht="18.75" customHeight="1" x14ac:dyDescent="0.25">
      <c r="A72" s="357"/>
      <c r="B72" s="379" t="s">
        <v>4</v>
      </c>
      <c r="C72" s="380" t="e">
        <f t="shared" ref="C72:I72" si="2">SUM(C54:C71)</f>
        <v>#REF!</v>
      </c>
      <c r="D72" s="380" t="e">
        <f t="shared" si="2"/>
        <v>#REF!</v>
      </c>
      <c r="E72" s="380" t="e">
        <f t="shared" si="2"/>
        <v>#REF!</v>
      </c>
      <c r="F72" s="380" t="e">
        <f t="shared" si="2"/>
        <v>#REF!</v>
      </c>
      <c r="G72" s="380" t="e">
        <f t="shared" si="2"/>
        <v>#REF!</v>
      </c>
      <c r="H72" s="380" t="e">
        <f t="shared" si="2"/>
        <v>#REF!</v>
      </c>
      <c r="I72" s="380" t="e">
        <f t="shared" si="2"/>
        <v>#REF!</v>
      </c>
      <c r="K72" s="381">
        <v>250.11093963847523</v>
      </c>
      <c r="L72" s="187"/>
      <c r="M72" s="187"/>
      <c r="N72" s="187"/>
      <c r="O72" s="187"/>
      <c r="P72" s="187"/>
      <c r="Q72" s="187"/>
      <c r="S72" s="361"/>
      <c r="T72" s="249"/>
      <c r="V72" s="249"/>
      <c r="W72" s="249"/>
    </row>
    <row r="73" spans="1:25" ht="19.5" customHeight="1" x14ac:dyDescent="0.25">
      <c r="A73" s="357"/>
      <c r="B73" s="336" t="s">
        <v>239</v>
      </c>
      <c r="C73" s="359"/>
      <c r="D73" s="372"/>
      <c r="E73" s="359" t="e">
        <f>E55+E56+E57+E59</f>
        <v>#REF!</v>
      </c>
      <c r="F73" s="359" t="e">
        <f>F54+F56+F61+F63+F64+F66</f>
        <v>#REF!</v>
      </c>
      <c r="G73" s="359" t="e">
        <f>(G55+G56+G57+G59+G69)/(1+$G$53)*G53</f>
        <v>#REF!</v>
      </c>
      <c r="H73" s="359" t="e">
        <f>D30+D32</f>
        <v>#REF!</v>
      </c>
      <c r="I73" s="360" t="e">
        <f>SUM(C73:H73)</f>
        <v>#REF!</v>
      </c>
      <c r="K73" s="381">
        <v>19.574179666083797</v>
      </c>
      <c r="L73" s="187"/>
      <c r="M73" s="187"/>
      <c r="N73" s="187"/>
      <c r="O73" s="187"/>
      <c r="P73" s="187"/>
      <c r="Q73" s="187"/>
      <c r="S73" s="361"/>
      <c r="T73" s="249"/>
      <c r="V73" s="249"/>
      <c r="W73" s="249"/>
    </row>
    <row r="74" spans="1:25" ht="21" customHeight="1" x14ac:dyDescent="0.25">
      <c r="A74" s="382"/>
      <c r="B74" s="205"/>
      <c r="C74" s="205"/>
      <c r="D74" s="205"/>
      <c r="E74" s="205"/>
      <c r="F74" s="205"/>
      <c r="G74" s="205"/>
      <c r="H74" s="205"/>
      <c r="I74" s="205" t="e">
        <f>I72-I73</f>
        <v>#REF!</v>
      </c>
      <c r="J74" s="205"/>
      <c r="K74" s="381">
        <v>230.53675997239142</v>
      </c>
      <c r="L74" s="187"/>
      <c r="M74" s="187"/>
      <c r="N74" s="187"/>
      <c r="O74" s="187"/>
      <c r="P74" s="187"/>
      <c r="Q74" s="187"/>
      <c r="S74" s="361"/>
      <c r="T74" s="249"/>
      <c r="V74" s="249"/>
      <c r="W74" s="249"/>
    </row>
    <row r="75" spans="1:25" x14ac:dyDescent="0.25">
      <c r="A75" s="294"/>
      <c r="P75" s="205"/>
      <c r="Q75" s="383"/>
      <c r="R75" s="205"/>
      <c r="X75" s="205"/>
      <c r="Y75" s="205"/>
    </row>
    <row r="76" spans="1:25" ht="15" customHeight="1" x14ac:dyDescent="0.25">
      <c r="A76" s="204"/>
      <c r="B76" s="384"/>
      <c r="C76" s="205"/>
      <c r="D76" s="206"/>
      <c r="E76" s="205"/>
      <c r="F76" s="205"/>
      <c r="G76" s="205"/>
      <c r="H76" s="205"/>
      <c r="I76" s="205"/>
      <c r="J76" s="205"/>
      <c r="K76" s="205"/>
      <c r="P76" s="205"/>
      <c r="Q76" s="383"/>
      <c r="R76" s="205"/>
      <c r="X76" s="205"/>
      <c r="Y76" s="205"/>
    </row>
    <row r="77" spans="1:25" ht="15.75" x14ac:dyDescent="0.25">
      <c r="A77" s="213"/>
      <c r="B77" s="205"/>
      <c r="C77" s="205"/>
      <c r="D77" s="205"/>
      <c r="E77" s="205"/>
      <c r="F77" s="215"/>
      <c r="G77" s="205"/>
      <c r="H77" s="205"/>
      <c r="I77" s="205"/>
      <c r="J77" s="205"/>
      <c r="K77" s="205"/>
      <c r="P77" s="237"/>
      <c r="Q77" s="205"/>
      <c r="R77" s="205"/>
      <c r="X77" s="205"/>
      <c r="Y77" s="205"/>
    </row>
    <row r="78" spans="1:25" ht="15.75" x14ac:dyDescent="0.25">
      <c r="A78" s="226"/>
      <c r="B78" s="205"/>
      <c r="C78" s="205"/>
      <c r="D78" s="205"/>
      <c r="E78" s="205"/>
      <c r="F78" s="227"/>
      <c r="G78" s="228"/>
      <c r="H78" s="205"/>
      <c r="I78" s="205"/>
      <c r="J78" s="205"/>
      <c r="K78" s="205"/>
      <c r="P78" s="205"/>
      <c r="Q78" s="205"/>
      <c r="R78" s="205"/>
      <c r="X78" s="205"/>
      <c r="Y78" s="205"/>
    </row>
    <row r="79" spans="1:25" x14ac:dyDescent="0.25">
      <c r="A79" s="246"/>
      <c r="B79" s="246"/>
      <c r="C79" s="245"/>
      <c r="D79" s="245"/>
      <c r="E79" s="245"/>
      <c r="F79" s="245"/>
      <c r="G79" s="245"/>
      <c r="H79" s="235"/>
      <c r="J79" s="205"/>
      <c r="K79" s="205"/>
      <c r="P79" s="205"/>
      <c r="Q79" s="205"/>
      <c r="R79" s="205"/>
      <c r="X79" s="205"/>
      <c r="Y79" s="205"/>
    </row>
    <row r="80" spans="1:25" x14ac:dyDescent="0.25">
      <c r="A80" s="205"/>
      <c r="B80" s="205"/>
      <c r="C80" s="205"/>
      <c r="D80" s="205"/>
      <c r="E80" s="245"/>
      <c r="F80" s="245"/>
      <c r="G80" s="245"/>
      <c r="H80" s="248"/>
      <c r="J80" s="205"/>
      <c r="K80" s="205"/>
      <c r="P80" s="205"/>
      <c r="Q80" s="205"/>
      <c r="R80" s="205"/>
      <c r="X80" s="205"/>
      <c r="Y80" s="205"/>
    </row>
    <row r="81" spans="1:25" x14ac:dyDescent="0.25">
      <c r="A81" s="385"/>
      <c r="B81" s="386"/>
      <c r="C81" s="387"/>
      <c r="D81" s="259"/>
      <c r="E81" s="383"/>
      <c r="F81" s="245"/>
      <c r="G81" s="259"/>
      <c r="H81" s="205"/>
      <c r="J81" s="205"/>
      <c r="K81" s="205"/>
      <c r="P81" s="205"/>
      <c r="Q81" s="383"/>
      <c r="R81" s="205"/>
      <c r="X81" s="205"/>
      <c r="Y81" s="205"/>
    </row>
    <row r="82" spans="1:25" x14ac:dyDescent="0.25">
      <c r="A82" s="263"/>
      <c r="B82" s="388"/>
      <c r="C82" s="247"/>
      <c r="D82" s="308"/>
      <c r="E82" s="266"/>
      <c r="F82" s="389"/>
      <c r="G82" s="390"/>
      <c r="H82" s="205"/>
      <c r="J82" s="383"/>
      <c r="K82" s="205"/>
      <c r="P82" s="237"/>
      <c r="Q82" s="205"/>
      <c r="R82" s="205"/>
      <c r="X82" s="205"/>
      <c r="Y82" s="205"/>
    </row>
    <row r="83" spans="1:25" x14ac:dyDescent="0.25">
      <c r="A83" s="263"/>
      <c r="B83" s="388"/>
      <c r="C83" s="247"/>
      <c r="D83" s="308"/>
      <c r="E83" s="266"/>
      <c r="F83" s="389"/>
      <c r="G83" s="391"/>
      <c r="H83" s="205"/>
      <c r="J83" s="383"/>
      <c r="K83" s="205"/>
      <c r="P83" s="237"/>
      <c r="Q83" s="205"/>
      <c r="R83" s="205"/>
      <c r="X83" s="205"/>
      <c r="Y83" s="205"/>
    </row>
    <row r="84" spans="1:25" x14ac:dyDescent="0.25">
      <c r="A84" s="263"/>
      <c r="B84" s="388"/>
      <c r="C84" s="247"/>
      <c r="D84" s="308"/>
      <c r="E84" s="266"/>
      <c r="F84" s="389"/>
      <c r="G84" s="391"/>
      <c r="H84" s="205"/>
      <c r="J84" s="383"/>
      <c r="K84" s="205"/>
      <c r="P84" s="237"/>
      <c r="Q84" s="205"/>
      <c r="R84" s="205"/>
      <c r="X84" s="205"/>
      <c r="Y84" s="205"/>
    </row>
    <row r="85" spans="1:25" x14ac:dyDescent="0.25">
      <c r="A85" s="263"/>
      <c r="B85" s="388"/>
      <c r="C85" s="247"/>
      <c r="D85" s="308"/>
      <c r="E85" s="266"/>
      <c r="F85" s="389"/>
      <c r="G85" s="298"/>
      <c r="H85" s="205"/>
      <c r="J85" s="383"/>
      <c r="K85" s="205"/>
      <c r="P85" s="237"/>
      <c r="Q85" s="205"/>
      <c r="R85" s="205"/>
      <c r="X85" s="205"/>
      <c r="Y85" s="205"/>
    </row>
    <row r="86" spans="1:25" x14ac:dyDescent="0.25">
      <c r="A86" s="285"/>
      <c r="B86" s="392"/>
      <c r="C86" s="245"/>
      <c r="D86" s="287"/>
      <c r="E86" s="246"/>
      <c r="F86" s="246"/>
      <c r="G86" s="246"/>
      <c r="H86" s="246">
        <f>SUM(H82:H84)</f>
        <v>0</v>
      </c>
      <c r="J86" s="383"/>
      <c r="K86" s="205"/>
      <c r="P86" s="237"/>
      <c r="Q86" s="205"/>
      <c r="R86" s="205"/>
      <c r="X86" s="205"/>
      <c r="Y86" s="205"/>
    </row>
    <row r="87" spans="1:25" x14ac:dyDescent="0.25">
      <c r="A87" s="205"/>
      <c r="B87" s="291"/>
      <c r="C87" s="247"/>
      <c r="D87" s="266"/>
      <c r="E87" s="266"/>
      <c r="F87" s="205"/>
      <c r="G87" s="205"/>
      <c r="H87" s="205"/>
      <c r="J87" s="205"/>
      <c r="K87" s="205"/>
      <c r="P87" s="205"/>
      <c r="Q87" s="205"/>
      <c r="R87" s="205"/>
      <c r="X87" s="205"/>
      <c r="Y87" s="205"/>
    </row>
    <row r="88" spans="1:25" x14ac:dyDescent="0.25">
      <c r="A88" s="259"/>
      <c r="B88" s="292"/>
      <c r="C88" s="247"/>
      <c r="D88" s="266"/>
      <c r="E88" s="266"/>
      <c r="F88" s="205"/>
      <c r="G88" s="393"/>
      <c r="H88" s="205"/>
      <c r="J88" s="205"/>
      <c r="K88" s="205"/>
      <c r="P88" s="205"/>
      <c r="Q88" s="205"/>
      <c r="R88" s="205"/>
      <c r="X88" s="205"/>
      <c r="Y88" s="205"/>
    </row>
    <row r="89" spans="1:25" x14ac:dyDescent="0.25">
      <c r="A89" s="259"/>
      <c r="B89" s="292"/>
      <c r="C89" s="247"/>
      <c r="D89" s="266"/>
      <c r="E89" s="266"/>
      <c r="F89" s="205"/>
      <c r="G89" s="393"/>
      <c r="H89" s="205"/>
      <c r="J89" s="205"/>
      <c r="K89" s="205"/>
      <c r="P89" s="205"/>
      <c r="Q89" s="205"/>
      <c r="R89" s="205"/>
      <c r="X89" s="205"/>
      <c r="Y89" s="205"/>
    </row>
    <row r="90" spans="1:25" x14ac:dyDescent="0.25">
      <c r="A90" s="205"/>
      <c r="B90" s="245"/>
      <c r="C90" s="245"/>
      <c r="D90" s="215"/>
      <c r="E90" s="215"/>
      <c r="F90" s="294"/>
      <c r="G90" s="205"/>
      <c r="H90" s="205"/>
      <c r="J90" s="205"/>
      <c r="K90" s="205"/>
      <c r="P90" s="205"/>
      <c r="Q90" s="205"/>
      <c r="R90" s="205"/>
      <c r="X90" s="205"/>
      <c r="Y90" s="205"/>
    </row>
    <row r="91" spans="1:25" ht="18.75" customHeight="1" x14ac:dyDescent="0.25">
      <c r="A91" s="205"/>
      <c r="B91" s="215"/>
      <c r="C91" s="247"/>
      <c r="D91" s="266"/>
      <c r="E91" s="266"/>
      <c r="F91" s="294"/>
      <c r="G91" s="205"/>
      <c r="H91" s="294">
        <f>H90+H86</f>
        <v>0</v>
      </c>
      <c r="J91" s="205"/>
      <c r="K91" s="205"/>
      <c r="P91" s="205"/>
      <c r="Q91" s="205"/>
      <c r="R91" s="205"/>
      <c r="X91" s="205"/>
      <c r="Y91" s="205"/>
    </row>
    <row r="92" spans="1:25" ht="38.25" customHeight="1" x14ac:dyDescent="0.25">
      <c r="A92" s="254"/>
      <c r="B92" s="271"/>
      <c r="C92" s="235"/>
      <c r="D92" s="272"/>
      <c r="E92" s="236"/>
      <c r="F92" s="273"/>
      <c r="G92" s="259"/>
      <c r="H92" s="260"/>
      <c r="I92" s="254"/>
      <c r="J92" s="271"/>
      <c r="K92" s="235"/>
      <c r="L92" s="272"/>
      <c r="M92" s="272"/>
      <c r="N92" s="272"/>
      <c r="O92" s="272"/>
      <c r="P92" s="273"/>
      <c r="R92" s="249"/>
      <c r="X92" s="228"/>
      <c r="Y92" s="205"/>
    </row>
    <row r="93" spans="1:25" x14ac:dyDescent="0.25">
      <c r="A93" s="285"/>
      <c r="B93" s="286"/>
      <c r="C93" s="245"/>
      <c r="D93" s="287"/>
      <c r="E93" s="246"/>
      <c r="F93" s="246"/>
      <c r="G93" s="246"/>
      <c r="I93" s="263"/>
      <c r="J93" s="394"/>
      <c r="K93" s="235"/>
      <c r="L93" s="272"/>
      <c r="M93" s="272"/>
      <c r="N93" s="272"/>
      <c r="O93" s="272"/>
      <c r="P93" s="273"/>
      <c r="X93" s="246"/>
      <c r="Y93" s="205"/>
    </row>
    <row r="94" spans="1:25" x14ac:dyDescent="0.25">
      <c r="A94" s="205"/>
      <c r="B94" s="291"/>
      <c r="C94" s="247"/>
      <c r="D94" s="266"/>
      <c r="E94" s="266"/>
      <c r="F94" s="205"/>
      <c r="G94" s="205"/>
      <c r="I94" s="285"/>
      <c r="J94" s="286"/>
      <c r="K94" s="245"/>
      <c r="L94" s="287"/>
      <c r="M94" s="287"/>
      <c r="N94" s="287"/>
      <c r="O94" s="287"/>
      <c r="P94" s="246"/>
      <c r="X94" s="205"/>
      <c r="Y94" s="205"/>
    </row>
    <row r="95" spans="1:25" x14ac:dyDescent="0.25">
      <c r="A95" s="259"/>
      <c r="B95" s="292"/>
      <c r="C95" s="247"/>
      <c r="D95" s="266"/>
      <c r="E95" s="266"/>
      <c r="F95" s="205"/>
      <c r="G95" s="205"/>
      <c r="I95" s="205"/>
      <c r="J95" s="291"/>
      <c r="K95" s="247"/>
      <c r="L95" s="266"/>
      <c r="M95" s="266"/>
      <c r="N95" s="266"/>
      <c r="O95" s="266"/>
      <c r="P95" s="205"/>
      <c r="X95" s="205"/>
      <c r="Y95" s="205"/>
    </row>
    <row r="96" spans="1:25" x14ac:dyDescent="0.25">
      <c r="A96" s="259"/>
      <c r="B96" s="292"/>
      <c r="C96" s="247"/>
      <c r="D96" s="266"/>
      <c r="E96" s="266"/>
      <c r="F96" s="205"/>
      <c r="G96" s="205"/>
      <c r="I96" s="259"/>
      <c r="J96" s="292"/>
      <c r="K96" s="247"/>
      <c r="L96" s="266"/>
      <c r="M96" s="266"/>
      <c r="N96" s="266"/>
      <c r="O96" s="266"/>
      <c r="P96" s="205"/>
      <c r="X96" s="205"/>
      <c r="Y96" s="205"/>
    </row>
    <row r="97" spans="1:25" x14ac:dyDescent="0.25">
      <c r="A97" s="205"/>
      <c r="B97" s="291"/>
      <c r="C97" s="245"/>
      <c r="D97" s="215"/>
      <c r="E97" s="215"/>
      <c r="F97" s="294"/>
      <c r="G97" s="205"/>
      <c r="I97" s="259"/>
      <c r="J97" s="292"/>
      <c r="K97" s="247"/>
      <c r="L97" s="266"/>
      <c r="M97" s="266"/>
      <c r="N97" s="266"/>
      <c r="O97" s="266"/>
      <c r="P97" s="205"/>
      <c r="X97" s="205"/>
      <c r="Y97" s="205"/>
    </row>
    <row r="98" spans="1:25" x14ac:dyDescent="0.25">
      <c r="A98" s="205"/>
      <c r="B98" s="215"/>
      <c r="C98" s="247"/>
      <c r="D98" s="266"/>
      <c r="E98" s="266"/>
      <c r="F98" s="294"/>
      <c r="G98" s="205"/>
      <c r="I98" s="205"/>
      <c r="J98" s="291"/>
      <c r="K98" s="245"/>
      <c r="L98" s="215"/>
      <c r="M98" s="215"/>
      <c r="N98" s="215"/>
      <c r="O98" s="215"/>
      <c r="P98" s="294"/>
      <c r="X98" s="294"/>
      <c r="Y98" s="205"/>
    </row>
    <row r="99" spans="1:25" x14ac:dyDescent="0.25">
      <c r="A99" s="246"/>
      <c r="B99" s="298"/>
      <c r="C99" s="247"/>
      <c r="D99" s="247"/>
      <c r="E99" s="247"/>
      <c r="F99" s="266"/>
      <c r="G99" s="246"/>
      <c r="I99" s="205"/>
      <c r="J99" s="215"/>
      <c r="K99" s="247"/>
      <c r="L99" s="266"/>
      <c r="M99" s="266"/>
      <c r="N99" s="266"/>
      <c r="O99" s="266"/>
      <c r="P99" s="294"/>
      <c r="X99" s="205"/>
      <c r="Y99" s="205"/>
    </row>
    <row r="100" spans="1:25" x14ac:dyDescent="0.25">
      <c r="A100" s="246"/>
      <c r="B100" s="303"/>
      <c r="C100" s="304"/>
      <c r="D100" s="304"/>
      <c r="E100" s="304"/>
      <c r="F100" s="273"/>
      <c r="G100" s="246"/>
      <c r="I100" s="246"/>
      <c r="J100" s="298"/>
      <c r="K100" s="247"/>
      <c r="L100" s="247"/>
      <c r="M100" s="247"/>
      <c r="N100" s="247"/>
      <c r="O100" s="247"/>
      <c r="P100" s="266"/>
      <c r="Q100" s="205"/>
      <c r="R100" s="205"/>
      <c r="X100" s="205"/>
      <c r="Y100" s="205"/>
    </row>
    <row r="101" spans="1:25" x14ac:dyDescent="0.25">
      <c r="A101" s="246"/>
      <c r="B101" s="395"/>
      <c r="C101" s="390"/>
      <c r="D101" s="396"/>
      <c r="E101" s="397"/>
      <c r="F101" s="397"/>
      <c r="G101" s="246"/>
      <c r="I101" s="246"/>
      <c r="J101" s="303"/>
      <c r="K101" s="304"/>
      <c r="L101" s="398"/>
      <c r="M101" s="398"/>
      <c r="N101" s="398"/>
      <c r="O101" s="398"/>
      <c r="P101" s="273"/>
      <c r="Q101" s="205"/>
      <c r="R101" s="205"/>
      <c r="X101" s="205"/>
      <c r="Y101" s="205"/>
    </row>
    <row r="102" spans="1:25" x14ac:dyDescent="0.25">
      <c r="A102" s="246"/>
      <c r="B102" s="298"/>
      <c r="C102" s="247"/>
      <c r="D102" s="308"/>
      <c r="E102" s="266"/>
      <c r="F102" s="389"/>
      <c r="G102" s="246"/>
      <c r="H102" s="205"/>
      <c r="I102" s="246"/>
      <c r="J102" s="303"/>
      <c r="K102" s="390"/>
      <c r="L102" s="399"/>
      <c r="M102" s="399"/>
      <c r="N102" s="399"/>
      <c r="O102" s="399"/>
      <c r="P102" s="273"/>
      <c r="Q102" s="205"/>
      <c r="R102" s="205"/>
      <c r="X102" s="205"/>
      <c r="Y102" s="205"/>
    </row>
    <row r="103" spans="1:25" ht="60.75" customHeight="1" x14ac:dyDescent="0.25">
      <c r="A103" s="246"/>
      <c r="B103" s="298"/>
      <c r="C103" s="247"/>
      <c r="D103" s="266"/>
      <c r="E103" s="266"/>
      <c r="F103" s="389"/>
      <c r="G103" s="246"/>
      <c r="H103" s="205"/>
      <c r="J103" s="400"/>
      <c r="K103" s="401"/>
      <c r="L103" s="402"/>
      <c r="M103" s="402"/>
      <c r="N103" s="402"/>
      <c r="O103" s="402"/>
      <c r="P103" s="390"/>
      <c r="Q103" s="403"/>
      <c r="R103" s="205"/>
      <c r="X103" s="205"/>
      <c r="Y103" s="205"/>
    </row>
    <row r="104" spans="1:25" x14ac:dyDescent="0.25">
      <c r="A104" s="246"/>
      <c r="B104" s="246"/>
      <c r="C104" s="245"/>
      <c r="D104" s="245"/>
      <c r="E104" s="245"/>
      <c r="F104" s="245"/>
      <c r="G104" s="246"/>
      <c r="H104" s="205"/>
      <c r="J104" s="205"/>
      <c r="K104" s="205"/>
      <c r="P104" s="205"/>
      <c r="Q104" s="205"/>
      <c r="R104" s="205"/>
      <c r="X104" s="205"/>
      <c r="Y104" s="205"/>
    </row>
    <row r="105" spans="1:25" x14ac:dyDescent="0.25">
      <c r="A105" s="246"/>
      <c r="B105" s="246"/>
      <c r="C105" s="245"/>
      <c r="D105" s="245"/>
      <c r="E105" s="245"/>
      <c r="F105" s="245"/>
      <c r="G105" s="246"/>
      <c r="H105" s="205"/>
      <c r="J105" s="205"/>
      <c r="K105" s="205"/>
      <c r="P105" s="205"/>
      <c r="Q105" s="205"/>
      <c r="R105" s="205"/>
      <c r="X105" s="205"/>
      <c r="Y105" s="205"/>
    </row>
    <row r="106" spans="1:25" x14ac:dyDescent="0.25">
      <c r="A106" s="246"/>
      <c r="B106" s="246"/>
      <c r="C106" s="245"/>
      <c r="D106" s="245"/>
      <c r="E106" s="245"/>
      <c r="F106" s="245"/>
      <c r="G106" s="246"/>
      <c r="H106" s="205"/>
      <c r="J106" s="205"/>
      <c r="K106" s="205"/>
      <c r="P106" s="205"/>
      <c r="Q106" s="205"/>
      <c r="R106" s="205"/>
      <c r="X106" s="205"/>
      <c r="Y106" s="205"/>
    </row>
    <row r="107" spans="1:25" x14ac:dyDescent="0.25">
      <c r="A107" s="246"/>
      <c r="B107" s="246"/>
      <c r="C107" s="245"/>
      <c r="D107" s="245"/>
      <c r="E107" s="245"/>
      <c r="F107" s="245"/>
      <c r="G107" s="246"/>
      <c r="H107" s="205"/>
      <c r="J107" s="205"/>
      <c r="K107" s="205"/>
      <c r="P107" s="205"/>
      <c r="Q107" s="205"/>
      <c r="R107" s="205"/>
      <c r="X107" s="205"/>
      <c r="Y107" s="205"/>
    </row>
    <row r="108" spans="1:25" x14ac:dyDescent="0.25">
      <c r="A108" s="246"/>
      <c r="B108" s="246"/>
      <c r="C108" s="245"/>
      <c r="D108" s="245"/>
      <c r="E108" s="245"/>
      <c r="F108" s="245"/>
      <c r="G108" s="246"/>
      <c r="H108" s="205"/>
      <c r="J108" s="205"/>
      <c r="K108" s="205"/>
      <c r="L108" s="205"/>
      <c r="M108" s="205"/>
      <c r="N108" s="205"/>
      <c r="O108" s="205"/>
      <c r="P108" s="205"/>
      <c r="Q108" s="205"/>
      <c r="R108" s="205"/>
      <c r="X108" s="205"/>
      <c r="Y108" s="205"/>
    </row>
    <row r="109" spans="1:25" x14ac:dyDescent="0.25">
      <c r="A109" s="246"/>
      <c r="B109" s="246"/>
      <c r="C109" s="245"/>
      <c r="D109" s="245"/>
      <c r="E109" s="245"/>
      <c r="F109" s="245"/>
      <c r="G109" s="246"/>
      <c r="H109" s="205"/>
      <c r="J109" s="205"/>
      <c r="K109" s="205"/>
      <c r="L109" s="205"/>
      <c r="M109" s="205"/>
      <c r="N109" s="205"/>
      <c r="O109" s="205"/>
      <c r="P109" s="205"/>
      <c r="Q109" s="205"/>
      <c r="R109" s="205"/>
      <c r="X109" s="205"/>
      <c r="Y109" s="205"/>
    </row>
    <row r="110" spans="1:25" x14ac:dyDescent="0.25">
      <c r="A110" s="205"/>
      <c r="B110" s="205"/>
      <c r="C110" s="383"/>
      <c r="D110" s="237"/>
      <c r="E110" s="205"/>
      <c r="F110" s="245"/>
      <c r="G110" s="246"/>
      <c r="H110" s="205"/>
      <c r="J110" s="205"/>
      <c r="K110" s="205"/>
      <c r="L110" s="205"/>
      <c r="M110" s="205"/>
      <c r="N110" s="205"/>
      <c r="O110" s="205"/>
      <c r="P110" s="205"/>
      <c r="Q110" s="205"/>
      <c r="R110" s="205"/>
      <c r="X110" s="205"/>
      <c r="Y110" s="205"/>
    </row>
    <row r="111" spans="1:25" x14ac:dyDescent="0.25">
      <c r="A111" s="285"/>
      <c r="B111" s="205"/>
      <c r="F111" s="246"/>
      <c r="G111" s="298"/>
      <c r="H111" s="205"/>
      <c r="J111" s="205"/>
      <c r="K111" s="205"/>
      <c r="L111" s="205"/>
      <c r="M111" s="205"/>
      <c r="N111" s="205"/>
      <c r="O111" s="205"/>
      <c r="P111" s="205"/>
      <c r="Q111" s="205"/>
      <c r="R111" s="205"/>
      <c r="X111" s="205"/>
      <c r="Y111" s="205"/>
    </row>
    <row r="112" spans="1:25" x14ac:dyDescent="0.25">
      <c r="A112" s="385"/>
      <c r="B112" s="388"/>
      <c r="C112" s="404"/>
      <c r="D112" s="298"/>
      <c r="E112" s="298"/>
      <c r="F112" s="205"/>
      <c r="G112" s="387"/>
      <c r="H112" s="205"/>
      <c r="J112" s="205"/>
      <c r="K112" s="205"/>
      <c r="L112" s="205"/>
      <c r="M112" s="205"/>
      <c r="N112" s="205"/>
      <c r="O112" s="205"/>
      <c r="P112" s="205"/>
      <c r="Q112" s="205"/>
      <c r="R112" s="205"/>
      <c r="X112" s="205"/>
      <c r="Y112" s="205"/>
    </row>
    <row r="113" spans="1:25" x14ac:dyDescent="0.25">
      <c r="A113" s="405"/>
      <c r="B113" s="388"/>
      <c r="C113" s="247"/>
      <c r="D113" s="298"/>
      <c r="E113" s="298"/>
      <c r="F113" s="266"/>
      <c r="G113" s="387"/>
      <c r="L113" s="205"/>
      <c r="M113" s="205"/>
      <c r="N113" s="205"/>
      <c r="O113" s="205"/>
      <c r="P113" s="205"/>
      <c r="Q113" s="205"/>
      <c r="R113" s="205"/>
      <c r="X113" s="205"/>
      <c r="Y113" s="205"/>
    </row>
    <row r="114" spans="1:25" x14ac:dyDescent="0.25">
      <c r="A114" s="205"/>
      <c r="B114" s="406"/>
      <c r="C114" s="247"/>
      <c r="D114" s="266"/>
      <c r="E114" s="266"/>
      <c r="F114" s="246"/>
      <c r="G114" s="292"/>
    </row>
    <row r="115" spans="1:25" x14ac:dyDescent="0.25">
      <c r="A115" s="405"/>
      <c r="B115" s="388"/>
      <c r="C115" s="247"/>
      <c r="D115" s="308"/>
      <c r="E115" s="308"/>
      <c r="F115" s="266"/>
      <c r="G115" s="292"/>
    </row>
    <row r="116" spans="1:25" x14ac:dyDescent="0.25">
      <c r="A116" s="205"/>
      <c r="B116" s="388"/>
      <c r="C116" s="247"/>
      <c r="D116" s="308"/>
      <c r="E116" s="308"/>
      <c r="F116" s="266"/>
      <c r="G116" s="292"/>
      <c r="H116" s="381"/>
    </row>
    <row r="117" spans="1:25" x14ac:dyDescent="0.25">
      <c r="A117" s="205"/>
      <c r="B117" s="388"/>
      <c r="C117" s="247"/>
      <c r="D117" s="308"/>
      <c r="E117" s="308"/>
      <c r="F117" s="266"/>
      <c r="G117" s="292"/>
      <c r="H117" s="205"/>
      <c r="I117" s="205"/>
    </row>
    <row r="118" spans="1:25" x14ac:dyDescent="0.25">
      <c r="A118" s="205"/>
      <c r="B118" s="298"/>
      <c r="C118" s="387"/>
      <c r="D118" s="206"/>
      <c r="E118" s="206"/>
      <c r="F118" s="246"/>
      <c r="G118" s="292"/>
      <c r="H118" s="205"/>
      <c r="I118" s="205"/>
    </row>
    <row r="119" spans="1:25" x14ac:dyDescent="0.25">
      <c r="A119" s="405"/>
      <c r="B119" s="388"/>
      <c r="C119" s="247"/>
      <c r="D119" s="308"/>
      <c r="E119" s="308"/>
      <c r="F119" s="266"/>
      <c r="G119" s="292"/>
      <c r="H119" s="205"/>
      <c r="I119" s="205"/>
    </row>
    <row r="120" spans="1:25" x14ac:dyDescent="0.25">
      <c r="A120" s="405"/>
      <c r="B120" s="388"/>
      <c r="D120" s="206"/>
      <c r="E120" s="308"/>
      <c r="F120" s="266"/>
      <c r="G120" s="292"/>
      <c r="H120" s="205"/>
      <c r="I120" s="205"/>
    </row>
    <row r="121" spans="1:25" x14ac:dyDescent="0.25">
      <c r="A121" s="405"/>
      <c r="B121" s="388"/>
      <c r="C121" s="247"/>
      <c r="D121" s="308"/>
      <c r="E121" s="308"/>
      <c r="F121" s="266"/>
      <c r="G121" s="292"/>
      <c r="H121" s="205"/>
      <c r="I121" s="205"/>
    </row>
    <row r="122" spans="1:25" x14ac:dyDescent="0.25">
      <c r="A122" s="405"/>
      <c r="B122" s="228"/>
      <c r="C122" s="236"/>
      <c r="D122" s="236"/>
      <c r="E122" s="205"/>
      <c r="F122" s="266"/>
      <c r="G122" s="292"/>
      <c r="H122" s="205"/>
      <c r="I122" s="205"/>
    </row>
    <row r="123" spans="1:25" x14ac:dyDescent="0.25">
      <c r="A123" s="405"/>
      <c r="B123" s="205"/>
      <c r="C123" s="383"/>
      <c r="D123" s="383"/>
      <c r="E123" s="205"/>
      <c r="F123" s="266"/>
      <c r="G123" s="292"/>
      <c r="H123" s="205"/>
      <c r="I123" s="205"/>
      <c r="J123" s="205"/>
      <c r="K123" s="205"/>
    </row>
    <row r="124" spans="1:25" x14ac:dyDescent="0.25">
      <c r="B124" s="205"/>
      <c r="C124" s="383"/>
      <c r="D124" s="383"/>
      <c r="E124" s="205"/>
      <c r="G124" s="205"/>
      <c r="H124" s="205"/>
      <c r="I124" s="205"/>
      <c r="J124" s="205"/>
      <c r="K124" s="205"/>
    </row>
    <row r="125" spans="1:25" x14ac:dyDescent="0.25">
      <c r="A125" s="205"/>
      <c r="B125" s="205"/>
      <c r="C125" s="205"/>
      <c r="D125" s="205"/>
      <c r="E125" s="205"/>
      <c r="F125" s="205"/>
      <c r="G125" s="205"/>
      <c r="H125" s="205"/>
      <c r="I125" s="205"/>
      <c r="J125" s="205"/>
      <c r="K125" s="205"/>
    </row>
    <row r="126" spans="1:25" x14ac:dyDescent="0.25">
      <c r="B126" s="205"/>
      <c r="C126" s="205"/>
      <c r="D126" s="205"/>
      <c r="E126" s="205"/>
      <c r="G126" s="205"/>
      <c r="H126" s="205"/>
      <c r="I126" s="205"/>
      <c r="J126" s="205"/>
      <c r="K126" s="205"/>
    </row>
    <row r="127" spans="1:25" x14ac:dyDescent="0.25">
      <c r="B127" s="205"/>
      <c r="C127" s="205"/>
      <c r="D127" s="205"/>
      <c r="E127" s="205"/>
      <c r="G127" s="205"/>
      <c r="H127" s="205"/>
      <c r="I127" s="205"/>
      <c r="J127" s="205"/>
      <c r="K127" s="205"/>
    </row>
    <row r="128" spans="1:25" x14ac:dyDescent="0.25">
      <c r="B128" s="205"/>
      <c r="C128" s="205"/>
      <c r="D128" s="205"/>
      <c r="E128" s="205"/>
      <c r="G128" s="205"/>
      <c r="H128" s="205"/>
      <c r="I128" s="205"/>
      <c r="J128" s="205"/>
      <c r="K128" s="205"/>
    </row>
    <row r="129" spans="2:5" x14ac:dyDescent="0.25">
      <c r="B129" s="205"/>
      <c r="C129" s="205"/>
      <c r="D129" s="205"/>
      <c r="E129" s="205"/>
    </row>
    <row r="130" spans="2:5" x14ac:dyDescent="0.25">
      <c r="B130" s="205"/>
      <c r="C130" s="205"/>
      <c r="D130" s="205"/>
      <c r="E130" s="205"/>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C37"/>
  <sheetViews>
    <sheetView zoomScale="72" zoomScaleNormal="72" workbookViewId="0">
      <selection activeCell="G29" sqref="G29"/>
    </sheetView>
  </sheetViews>
  <sheetFormatPr defaultRowHeight="15" x14ac:dyDescent="0.2"/>
  <cols>
    <col min="2" max="2" width="41.21875" customWidth="1"/>
    <col min="3" max="3" width="12.33203125" customWidth="1"/>
  </cols>
  <sheetData>
    <row r="2" spans="2:3" ht="30" customHeight="1" x14ac:dyDescent="0.2">
      <c r="B2" s="746" t="s">
        <v>32</v>
      </c>
    </row>
    <row r="4" spans="2:3" x14ac:dyDescent="0.2">
      <c r="B4" t="s">
        <v>17</v>
      </c>
      <c r="C4" s="11">
        <v>10000</v>
      </c>
    </row>
    <row r="5" spans="2:3" x14ac:dyDescent="0.2">
      <c r="B5" t="s">
        <v>31</v>
      </c>
      <c r="C5" s="11">
        <v>8000</v>
      </c>
    </row>
    <row r="6" spans="2:3" x14ac:dyDescent="0.2">
      <c r="B6" t="s">
        <v>595</v>
      </c>
      <c r="C6" s="11">
        <v>4000</v>
      </c>
    </row>
    <row r="8" spans="2:3" ht="19.5" customHeight="1" x14ac:dyDescent="0.2">
      <c r="B8" s="746" t="s">
        <v>322</v>
      </c>
    </row>
    <row r="10" spans="2:3" x14ac:dyDescent="0.2">
      <c r="B10" s="3" t="s">
        <v>630</v>
      </c>
      <c r="C10" s="11">
        <v>10000</v>
      </c>
    </row>
    <row r="11" spans="2:3" x14ac:dyDescent="0.2">
      <c r="B11" s="3" t="s">
        <v>632</v>
      </c>
      <c r="C11" s="11">
        <v>6500</v>
      </c>
    </row>
    <row r="12" spans="2:3" x14ac:dyDescent="0.2">
      <c r="B12" s="3"/>
      <c r="C12" s="11"/>
    </row>
    <row r="13" spans="2:3" ht="15.75" x14ac:dyDescent="0.25">
      <c r="B13" s="8" t="s">
        <v>629</v>
      </c>
      <c r="C13" s="11"/>
    </row>
    <row r="14" spans="2:3" ht="15.75" x14ac:dyDescent="0.25">
      <c r="B14" s="8"/>
      <c r="C14" s="11"/>
    </row>
    <row r="15" spans="2:3" x14ac:dyDescent="0.2">
      <c r="B15" s="3" t="s">
        <v>628</v>
      </c>
      <c r="C15" s="11">
        <v>4000</v>
      </c>
    </row>
    <row r="16" spans="2:3" x14ac:dyDescent="0.2">
      <c r="B16" s="3" t="s">
        <v>631</v>
      </c>
      <c r="C16" s="11">
        <v>10000</v>
      </c>
    </row>
    <row r="17" spans="2:3" x14ac:dyDescent="0.2">
      <c r="B17" s="3"/>
      <c r="C17" s="11"/>
    </row>
    <row r="18" spans="2:3" ht="15.75" x14ac:dyDescent="0.2">
      <c r="B18" s="746" t="s">
        <v>510</v>
      </c>
    </row>
    <row r="20" spans="2:3" x14ac:dyDescent="0.2">
      <c r="B20" s="3" t="s">
        <v>31</v>
      </c>
      <c r="C20" s="11">
        <v>110000</v>
      </c>
    </row>
    <row r="21" spans="2:3" x14ac:dyDescent="0.2">
      <c r="B21" s="3" t="s">
        <v>596</v>
      </c>
      <c r="C21" s="11">
        <v>120000</v>
      </c>
    </row>
    <row r="23" spans="2:3" ht="15.75" x14ac:dyDescent="0.2">
      <c r="B23" s="746" t="s">
        <v>597</v>
      </c>
    </row>
    <row r="25" spans="2:3" x14ac:dyDescent="0.2">
      <c r="B25" s="3" t="s">
        <v>531</v>
      </c>
      <c r="C25" s="11">
        <v>150000</v>
      </c>
    </row>
    <row r="26" spans="2:3" x14ac:dyDescent="0.2">
      <c r="B26" s="3" t="s">
        <v>598</v>
      </c>
      <c r="C26" s="11">
        <v>200000</v>
      </c>
    </row>
    <row r="28" spans="2:3" ht="19.5" customHeight="1" x14ac:dyDescent="0.2">
      <c r="B28" s="746" t="s">
        <v>599</v>
      </c>
    </row>
    <row r="30" spans="2:3" x14ac:dyDescent="0.2">
      <c r="B30" s="3" t="s">
        <v>600</v>
      </c>
      <c r="C30" s="11">
        <v>120000</v>
      </c>
    </row>
    <row r="31" spans="2:3" x14ac:dyDescent="0.2">
      <c r="B31" s="3" t="s">
        <v>601</v>
      </c>
      <c r="C31" s="11">
        <v>110000</v>
      </c>
    </row>
    <row r="32" spans="2:3" x14ac:dyDescent="0.2">
      <c r="B32" s="3" t="s">
        <v>602</v>
      </c>
      <c r="C32" s="11">
        <v>100000</v>
      </c>
    </row>
    <row r="33" spans="2:3" x14ac:dyDescent="0.2">
      <c r="B33" s="3" t="s">
        <v>603</v>
      </c>
      <c r="C33" s="11">
        <v>300000</v>
      </c>
    </row>
    <row r="34" spans="2:3" x14ac:dyDescent="0.2">
      <c r="B34" s="3" t="s">
        <v>605</v>
      </c>
      <c r="C34" s="11">
        <v>120000</v>
      </c>
    </row>
    <row r="35" spans="2:3" x14ac:dyDescent="0.2">
      <c r="B35" s="3" t="s">
        <v>604</v>
      </c>
      <c r="C35" s="11">
        <v>100000</v>
      </c>
    </row>
    <row r="36" spans="2:3" x14ac:dyDescent="0.2">
      <c r="B36" s="3" t="s">
        <v>606</v>
      </c>
      <c r="C36" s="11">
        <v>120000</v>
      </c>
    </row>
    <row r="37" spans="2:3" x14ac:dyDescent="0.2">
      <c r="B37" s="3" t="s">
        <v>607</v>
      </c>
      <c r="C37" s="11">
        <v>400000</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Basic cost (R0)</vt:lpstr>
      <vt:lpstr>GM</vt:lpstr>
      <vt:lpstr>cash flow (Old)</vt:lpstr>
      <vt:lpstr>FA</vt:lpstr>
      <vt:lpstr>Gross Margin(Pre revised)</vt:lpstr>
      <vt:lpstr>CashFlow</vt:lpstr>
      <vt:lpstr>MoM</vt:lpstr>
      <vt:lpstr>Pkg Cost</vt:lpstr>
      <vt:lpstr>CTE Rate</vt:lpstr>
      <vt:lpstr>Scope change from R1</vt:lpstr>
      <vt:lpstr>Civil scope change from R1</vt:lpstr>
      <vt:lpstr>PBER</vt:lpstr>
      <vt:lpstr>'Basic cost (R0)'!Print_Area</vt:lpstr>
      <vt:lpstr>CashFlow!Print_Area</vt:lpstr>
      <vt:lpstr>'Civil scope change from R1'!Print_Area</vt:lpstr>
      <vt:lpstr>'CTE Rate'!Print_Area</vt:lpstr>
      <vt:lpstr>FA!Print_Area</vt:lpstr>
      <vt:lpstr>MoM!Print_Area</vt:lpstr>
      <vt:lpstr>PBER!Print_Area</vt:lpstr>
      <vt:lpstr>'Scope change from R1'!Print_Area</vt:lpstr>
      <vt:lpstr>PBER!Print_Titles</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Manoj Mishra</cp:lastModifiedBy>
  <cp:lastPrinted>2024-06-11T04:55:26Z</cp:lastPrinted>
  <dcterms:created xsi:type="dcterms:W3CDTF">2001-02-20T07:04:51Z</dcterms:created>
  <dcterms:modified xsi:type="dcterms:W3CDTF">2026-02-09T06:40:46Z</dcterms:modified>
</cp:coreProperties>
</file>