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24226"/>
  <mc:AlternateContent xmlns:mc="http://schemas.openxmlformats.org/markup-compatibility/2006">
    <mc:Choice Requires="x15">
      <x15ac:absPath xmlns:x15ac="http://schemas.microsoft.com/office/spreadsheetml/2010/11/ac" url="E:\INTELISPARKZ\FASTRAGAI\PBE for AI Work 10.02.26\"/>
    </mc:Choice>
  </mc:AlternateContent>
  <xr:revisionPtr revIDLastSave="0" documentId="13_ncr:1_{55227343-DB5E-4886-BA7F-9BEB9E0650D9}" xr6:coauthVersionLast="36" xr6:coauthVersionMax="47" xr10:uidLastSave="{00000000-0000-0000-0000-000000000000}"/>
  <bookViews>
    <workbookView xWindow="0" yWindow="0" windowWidth="23040" windowHeight="8940" tabRatio="934" firstSheet="25" activeTab="25" xr2:uid="{00000000-000D-0000-FFFF-FFFF00000000}"/>
  </bookViews>
  <sheets>
    <sheet name="Basic (old)" sheetId="36" state="hidden" r:id="rId1"/>
    <sheet name="Basic_CostCmt" sheetId="37" state="hidden" r:id="rId2"/>
    <sheet name="CC" sheetId="1" state="hidden" r:id="rId3"/>
    <sheet name="GM" sheetId="18" state="hidden" r:id="rId4"/>
    <sheet name="cash flow" sheetId="6" state="hidden" r:id="rId5"/>
    <sheet name="FA" sheetId="8" state="hidden" r:id="rId6"/>
    <sheet name="Gross Margin" sheetId="29" state="hidden" r:id="rId7"/>
    <sheet name="CashFlow" sheetId="30" state="hidden" r:id="rId8"/>
    <sheet name="Fin. Summary" sheetId="31" state="hidden" r:id="rId9"/>
    <sheet name="MoM" sheetId="12" state="hidden" r:id="rId10"/>
    <sheet name="Pkg Cost" sheetId="15" state="hidden" r:id="rId11"/>
    <sheet name="CTE Rate" sheetId="28" state="hidden" r:id="rId12"/>
    <sheet name="Structural (old)" sheetId="41" state="hidden" r:id="rId13"/>
    <sheet name="Civil (old)" sheetId="43" state="hidden" r:id="rId14"/>
    <sheet name="Electrical (old)" sheetId="40" state="hidden" r:id="rId15"/>
    <sheet name="Electrical" sheetId="46" state="hidden" r:id="rId16"/>
    <sheet name="Structural" sheetId="44" state="hidden" r:id="rId17"/>
    <sheet name="Civil" sheetId="45" state="hidden" r:id="rId18"/>
    <sheet name="CC for Enabling" sheetId="47" state="hidden" r:id="rId19"/>
    <sheet name="Pkgcost-2 (Turn key)" sheetId="38" state="hidden" r:id="rId20"/>
    <sheet name="Pie Chart" sheetId="26" state="hidden" r:id="rId21"/>
    <sheet name="Escalation" sheetId="54" state="hidden" r:id="rId22"/>
    <sheet name="Electrical (Reply)" sheetId="51" state="hidden" r:id="rId23"/>
    <sheet name="Structural (Reply)" sheetId="52" state="hidden" r:id="rId24"/>
    <sheet name="Civil (Reply)" sheetId="53" state="hidden" r:id="rId25"/>
    <sheet name="PBER Pkg-1" sheetId="56"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s>
  <definedNames>
    <definedName name="___________________________________SPD1">#REF!</definedName>
    <definedName name="___________________________________SPD2">#REF!</definedName>
    <definedName name="__________________________________SPD1">#REF!</definedName>
    <definedName name="__________________________________SPD2">#REF!</definedName>
    <definedName name="_________________________________SPD1">#REF!</definedName>
    <definedName name="_________________________________SPD2">#REF!</definedName>
    <definedName name="________________________________SPD1">#REF!</definedName>
    <definedName name="________________________________SPD2">#REF!</definedName>
    <definedName name="_______________________________can430">40.73</definedName>
    <definedName name="_______________________________can435">43.3</definedName>
    <definedName name="_______________________________DAT1">#REF!</definedName>
    <definedName name="_______________________________DAT2">#REF!</definedName>
    <definedName name="_______________________________DAT3">#REF!</definedName>
    <definedName name="_______________________________DAT4">#REF!</definedName>
    <definedName name="_______________________________SPD1">#REF!</definedName>
    <definedName name="_______________________________SPD2">#REF!</definedName>
    <definedName name="_______________________________SPD3">#REF!</definedName>
    <definedName name="_______________________________SPD4">#REF!</definedName>
    <definedName name="______________________________can430">40.73</definedName>
    <definedName name="______________________________can435">43.3</definedName>
    <definedName name="______________________________DAT1">#REF!</definedName>
    <definedName name="______________________________DAT2">#REF!</definedName>
    <definedName name="______________________________DAT3">#REF!</definedName>
    <definedName name="______________________________DAT4">#REF!</definedName>
    <definedName name="______________________________SPD3">#REF!</definedName>
    <definedName name="______________________________SPD4">#REF!</definedName>
    <definedName name="_____________________________can430">40.73</definedName>
    <definedName name="_____________________________can435">43.3</definedName>
    <definedName name="_____________________________DAT1">#REF!</definedName>
    <definedName name="_____________________________DAT2">#REF!</definedName>
    <definedName name="_____________________________DAT3">#REF!</definedName>
    <definedName name="_____________________________DAT4">#REF!</definedName>
    <definedName name="_____________________________SPD1">#REF!</definedName>
    <definedName name="_____________________________SPD2">#REF!</definedName>
    <definedName name="_____________________________SPD3">#REF!</definedName>
    <definedName name="_____________________________SPD4">#REF!</definedName>
    <definedName name="____________________________can430">40.73</definedName>
    <definedName name="____________________________can435">43.3</definedName>
    <definedName name="____________________________DAT1">#REF!</definedName>
    <definedName name="____________________________DAT2">#REF!</definedName>
    <definedName name="____________________________DAT3">#REF!</definedName>
    <definedName name="____________________________DAT4">#REF!</definedName>
    <definedName name="____________________________SPD3">#REF!</definedName>
    <definedName name="____________________________SPD4">#REF!</definedName>
    <definedName name="___________________________can430">40.73</definedName>
    <definedName name="___________________________can435">43.3</definedName>
    <definedName name="___________________________DAT1">#REF!</definedName>
    <definedName name="___________________________DAT2">#REF!</definedName>
    <definedName name="___________________________DAT3">#REF!</definedName>
    <definedName name="___________________________DAT4">#REF!</definedName>
    <definedName name="___________________________SPD1">#REF!</definedName>
    <definedName name="___________________________SPD2">#REF!</definedName>
    <definedName name="___________________________SPD3">#REF!</definedName>
    <definedName name="___________________________SPD4">#REF!</definedName>
    <definedName name="__________________________can430">40.73</definedName>
    <definedName name="__________________________can435">43.3</definedName>
    <definedName name="__________________________DAT1">#REF!</definedName>
    <definedName name="__________________________DAT2">#REF!</definedName>
    <definedName name="__________________________DAT3">#REF!</definedName>
    <definedName name="__________________________DAT4">#REF!</definedName>
    <definedName name="__________________________SPD3">#REF!</definedName>
    <definedName name="__________________________SPD4">#REF!</definedName>
    <definedName name="_________________________can430">40.73</definedName>
    <definedName name="_________________________can435">43.3</definedName>
    <definedName name="_________________________DAT1">#REF!</definedName>
    <definedName name="_________________________DAT2">#REF!</definedName>
    <definedName name="_________________________DAT3">#REF!</definedName>
    <definedName name="_________________________DAT4">#REF!</definedName>
    <definedName name="_________________________SPD1">#REF!</definedName>
    <definedName name="_________________________SPD2">#REF!</definedName>
    <definedName name="_________________________SPD3">#REF!</definedName>
    <definedName name="_________________________SPD4">#REF!</definedName>
    <definedName name="________________________can430">40.73</definedName>
    <definedName name="________________________can435">43.3</definedName>
    <definedName name="________________________DAT1">#REF!</definedName>
    <definedName name="________________________DAT2">#REF!</definedName>
    <definedName name="________________________DAT3">#REF!</definedName>
    <definedName name="________________________DAT4">#REF!</definedName>
    <definedName name="________________________SPD1">#REF!</definedName>
    <definedName name="________________________SPD2">#REF!</definedName>
    <definedName name="________________________SPD3">#REF!</definedName>
    <definedName name="________________________SPD4">#REF!</definedName>
    <definedName name="_______________________can430">40.73</definedName>
    <definedName name="_______________________can435">43.3</definedName>
    <definedName name="_______________________DAT1">#REF!</definedName>
    <definedName name="_______________________DAT2">#REF!</definedName>
    <definedName name="_______________________DAT3">#REF!</definedName>
    <definedName name="_______________________DAT4">#REF!</definedName>
    <definedName name="_______________________SPD1">#REF!</definedName>
    <definedName name="_______________________SPD2">#REF!</definedName>
    <definedName name="_______________________SPD3">#REF!</definedName>
    <definedName name="_______________________SPD4">#REF!</definedName>
    <definedName name="______________________can430">40.73</definedName>
    <definedName name="______________________can435">43.3</definedName>
    <definedName name="______________________DAT1">#REF!</definedName>
    <definedName name="______________________DAT2">#REF!</definedName>
    <definedName name="______________________DAT3">#REF!</definedName>
    <definedName name="______________________DAT4">#REF!</definedName>
    <definedName name="______________________SPD1">#REF!</definedName>
    <definedName name="______________________SPD2">#REF!</definedName>
    <definedName name="______________________SPD3">#REF!</definedName>
    <definedName name="______________________SPD4">#REF!</definedName>
    <definedName name="_____________________can430">40.73</definedName>
    <definedName name="_____________________can435">43.3</definedName>
    <definedName name="_____________________DAT1">#REF!</definedName>
    <definedName name="_____________________DAT2">#REF!</definedName>
    <definedName name="_____________________DAT3">#REF!</definedName>
    <definedName name="_____________________DAT4">#REF!</definedName>
    <definedName name="_____________________SPD1">#REF!</definedName>
    <definedName name="_____________________SPD2">#REF!</definedName>
    <definedName name="_____________________SPD3">#REF!</definedName>
    <definedName name="_____________________SPD4">#REF!</definedName>
    <definedName name="____________________can430">40.73</definedName>
    <definedName name="____________________can435">43.3</definedName>
    <definedName name="____________________DAT1">#REF!</definedName>
    <definedName name="____________________DAT2">#REF!</definedName>
    <definedName name="____________________DAT3">#REF!</definedName>
    <definedName name="____________________DAT4">#REF!</definedName>
    <definedName name="____________________SPD1">#REF!</definedName>
    <definedName name="____________________SPD2">#REF!</definedName>
    <definedName name="____________________SPD3">#REF!</definedName>
    <definedName name="____________________SPD4">#REF!</definedName>
    <definedName name="___________________can430">40.73</definedName>
    <definedName name="___________________can435">43.3</definedName>
    <definedName name="___________________DAT1">#REF!</definedName>
    <definedName name="___________________DAT2">#REF!</definedName>
    <definedName name="___________________DAT3">#REF!</definedName>
    <definedName name="___________________DAT4">#REF!</definedName>
    <definedName name="___________________SPD1">#REF!</definedName>
    <definedName name="___________________SPD2">#REF!</definedName>
    <definedName name="___________________SPD3">#REF!</definedName>
    <definedName name="___________________SPD4">#REF!</definedName>
    <definedName name="__________________can430">40.73</definedName>
    <definedName name="__________________can435">43.3</definedName>
    <definedName name="__________________DAT1">#REF!</definedName>
    <definedName name="__________________DAT2">#REF!</definedName>
    <definedName name="__________________DAT3">#REF!</definedName>
    <definedName name="__________________DAT4">#REF!</definedName>
    <definedName name="__________________SPD1">#REF!</definedName>
    <definedName name="__________________SPD2">#REF!</definedName>
    <definedName name="__________________SPD3">#REF!</definedName>
    <definedName name="__________________SPD4">#REF!</definedName>
    <definedName name="_________________can430">40.73</definedName>
    <definedName name="_________________can435">43.3</definedName>
    <definedName name="_________________DAT1">#REF!</definedName>
    <definedName name="_________________DAT2">#REF!</definedName>
    <definedName name="_________________DAT3">#REF!</definedName>
    <definedName name="_________________DAT4">#REF!</definedName>
    <definedName name="_________________SPD1">#REF!</definedName>
    <definedName name="_________________SPD2">#REF!</definedName>
    <definedName name="_________________SPD3">#REF!</definedName>
    <definedName name="_________________SPD4">#REF!</definedName>
    <definedName name="________________can430">40.73</definedName>
    <definedName name="________________can435">43.3</definedName>
    <definedName name="________________DAT1">#REF!</definedName>
    <definedName name="________________DAT2">#REF!</definedName>
    <definedName name="________________DAT3">#REF!</definedName>
    <definedName name="________________DAT4">#REF!</definedName>
    <definedName name="________________SPD1">#REF!</definedName>
    <definedName name="________________SPD2">#REF!</definedName>
    <definedName name="________________SPD3">#REF!</definedName>
    <definedName name="________________SPD4">#REF!</definedName>
    <definedName name="_______________can430">40.73</definedName>
    <definedName name="_______________can435">43.3</definedName>
    <definedName name="_______________DAT1">#REF!</definedName>
    <definedName name="_______________DAT2">#REF!</definedName>
    <definedName name="_______________DAT3">#REF!</definedName>
    <definedName name="_______________DAT4">#REF!</definedName>
    <definedName name="_______________SPD1">#REF!</definedName>
    <definedName name="_______________SPD2">#REF!</definedName>
    <definedName name="_______________SPD3">#REF!</definedName>
    <definedName name="_______________SPD4">#REF!</definedName>
    <definedName name="______________can430">40.73</definedName>
    <definedName name="______________can435">43.3</definedName>
    <definedName name="______________DAT1">#REF!</definedName>
    <definedName name="______________DAT2">#REF!</definedName>
    <definedName name="______________DAT3">#REF!</definedName>
    <definedName name="______________DAT4">#REF!</definedName>
    <definedName name="______________SPD1">#REF!</definedName>
    <definedName name="______________SPD2">#REF!</definedName>
    <definedName name="______________SPD3">#REF!</definedName>
    <definedName name="______________SPD4">#REF!</definedName>
    <definedName name="_____________can430">40.73</definedName>
    <definedName name="_____________can435">43.3</definedName>
    <definedName name="_____________DAT1">#REF!</definedName>
    <definedName name="_____________DAT2">#REF!</definedName>
    <definedName name="_____________DAT3">#REF!</definedName>
    <definedName name="_____________DAT4">#REF!</definedName>
    <definedName name="_____________SPD1">#REF!</definedName>
    <definedName name="_____________SPD2">#REF!</definedName>
    <definedName name="_____________SPD3">#REF!</definedName>
    <definedName name="_____________SPD4">#REF!</definedName>
    <definedName name="____________can430">40.73</definedName>
    <definedName name="____________can435">43.3</definedName>
    <definedName name="____________DAT1">#REF!</definedName>
    <definedName name="____________DAT2">#REF!</definedName>
    <definedName name="____________DAT3">#REF!</definedName>
    <definedName name="____________DAT4">#REF!</definedName>
    <definedName name="____________SPD1">#REF!</definedName>
    <definedName name="____________SPD2">#REF!</definedName>
    <definedName name="____________SPD3">#REF!</definedName>
    <definedName name="____________SPD4">#REF!</definedName>
    <definedName name="___________can430">40.73</definedName>
    <definedName name="___________can435">43.3</definedName>
    <definedName name="___________DAT1">#REF!</definedName>
    <definedName name="___________DAT2">#REF!</definedName>
    <definedName name="___________DAT3">#REF!</definedName>
    <definedName name="___________DAT4">#REF!</definedName>
    <definedName name="___________SPD1">#REF!</definedName>
    <definedName name="___________SPD2">#REF!</definedName>
    <definedName name="___________SPD3">#REF!</definedName>
    <definedName name="___________SPD4">#REF!</definedName>
    <definedName name="__________can430">40.73</definedName>
    <definedName name="__________can435">43.3</definedName>
    <definedName name="__________DAT1">#REF!</definedName>
    <definedName name="__________DAT2">#REF!</definedName>
    <definedName name="__________DAT3">#REF!</definedName>
    <definedName name="__________DAT4">#REF!</definedName>
    <definedName name="__________SPD1">#REF!</definedName>
    <definedName name="__________SPD2">#REF!</definedName>
    <definedName name="__________SPD3">#REF!</definedName>
    <definedName name="__________SPD4">#REF!</definedName>
    <definedName name="_________can430">40.73</definedName>
    <definedName name="_________can435">43.3</definedName>
    <definedName name="_________DAT1">#REF!</definedName>
    <definedName name="_________DAT2">#REF!</definedName>
    <definedName name="_________DAT3">#REF!</definedName>
    <definedName name="_________DAT4">#REF!</definedName>
    <definedName name="_________SPD1">#REF!</definedName>
    <definedName name="_________SPD2">#REF!</definedName>
    <definedName name="_________SPD3">#REF!</definedName>
    <definedName name="_________SPD4">#REF!</definedName>
    <definedName name="________can430">40.73</definedName>
    <definedName name="________can435">43.3</definedName>
    <definedName name="________DAT1">#REF!</definedName>
    <definedName name="________DAT2">#REF!</definedName>
    <definedName name="________DAT3">#REF!</definedName>
    <definedName name="________DAT4">#REF!</definedName>
    <definedName name="________SPD1">#REF!</definedName>
    <definedName name="________SPD2">#REF!</definedName>
    <definedName name="________SPD3">#REF!</definedName>
    <definedName name="________SPD4">#REF!</definedName>
    <definedName name="_______can430">40.73</definedName>
    <definedName name="_______can435">43.3</definedName>
    <definedName name="_______DAT1">#REF!</definedName>
    <definedName name="_______DAT2">#REF!</definedName>
    <definedName name="_______DAT3">#REF!</definedName>
    <definedName name="_______DAT4">#REF!</definedName>
    <definedName name="_______SPD1">#REF!</definedName>
    <definedName name="_______SPD2">#REF!</definedName>
    <definedName name="_______SPD3">#REF!</definedName>
    <definedName name="_______SPD4">#REF!</definedName>
    <definedName name="______can430">40.73</definedName>
    <definedName name="______can435">43.3</definedName>
    <definedName name="______DAT1">#REF!</definedName>
    <definedName name="______DAT2">#REF!</definedName>
    <definedName name="______DAT3">#REF!</definedName>
    <definedName name="______DAT4">#REF!</definedName>
    <definedName name="______SPD1">#REF!</definedName>
    <definedName name="______SPD2">#REF!</definedName>
    <definedName name="______SPD3">#REF!</definedName>
    <definedName name="______SPD4">#REF!</definedName>
    <definedName name="_____can430">40.73</definedName>
    <definedName name="_____can435">43.3</definedName>
    <definedName name="_____DAT1">#REF!</definedName>
    <definedName name="_____DAT2">#REF!</definedName>
    <definedName name="_____DAT3">#REF!</definedName>
    <definedName name="_____DAT4">#REF!</definedName>
    <definedName name="_____SPD1">#REF!</definedName>
    <definedName name="_____SPD2">#REF!</definedName>
    <definedName name="_____SPD3">#REF!</definedName>
    <definedName name="_____SPD4">#REF!</definedName>
    <definedName name="____can430">40.73</definedName>
    <definedName name="____can435">43.3</definedName>
    <definedName name="____DAT1">#REF!</definedName>
    <definedName name="____DAT2">#REF!</definedName>
    <definedName name="____DAT3">#REF!</definedName>
    <definedName name="____DAT4">#REF!</definedName>
    <definedName name="____SPD1">#REF!</definedName>
    <definedName name="____SPD2">#REF!</definedName>
    <definedName name="____SPD3">#REF!</definedName>
    <definedName name="____SPD4">#REF!</definedName>
    <definedName name="___can430">40.73</definedName>
    <definedName name="___can435">43.3</definedName>
    <definedName name="___DAT1">#REF!</definedName>
    <definedName name="___DAT2">#REF!</definedName>
    <definedName name="___DAT3">#REF!</definedName>
    <definedName name="___DAT4">#REF!</definedName>
    <definedName name="___SPD1">#REF!</definedName>
    <definedName name="___SPD2">#REF!</definedName>
    <definedName name="___SPD3">#REF!</definedName>
    <definedName name="___SPD4">#REF!</definedName>
    <definedName name="__can430">40.73</definedName>
    <definedName name="__can435">43.3</definedName>
    <definedName name="__DAT1">#REF!</definedName>
    <definedName name="__DAT2">#REF!</definedName>
    <definedName name="__DAT3">#REF!</definedName>
    <definedName name="__DAT4">#REF!</definedName>
    <definedName name="__SPD1">#REF!</definedName>
    <definedName name="__SPD2">#REF!</definedName>
    <definedName name="__SPD3">#REF!</definedName>
    <definedName name="__SPD4">#REF!</definedName>
    <definedName name="_can430">40.73</definedName>
    <definedName name="_can435">43.3</definedName>
    <definedName name="_DAT1">#REF!</definedName>
    <definedName name="_DAT2">#REF!</definedName>
    <definedName name="_DAT3">#REF!</definedName>
    <definedName name="_DAT4">#REF!</definedName>
    <definedName name="_xlnm._FilterDatabase" localSheetId="25" hidden="1">'PBER Pkg-1'!$A$1:$H$43</definedName>
    <definedName name="_SPD1">#REF!</definedName>
    <definedName name="_SPD2">#REF!</definedName>
    <definedName name="_SPD3">#REF!</definedName>
    <definedName name="_SPD4">#REF!</definedName>
    <definedName name="A">'[1]pol-60'!$G$1</definedName>
    <definedName name="AccessDatabase" hidden="1">"C:\Teddata\HEATLOAD.mdb"</definedName>
    <definedName name="Amount">[2]Poddar!#REF!</definedName>
    <definedName name="arogya">'[3]pol-60'!$G$1</definedName>
    <definedName name="Atlas1">[4]Atlas!$Q:$Q</definedName>
    <definedName name="Atlas2">[4]Atlas!$P:$P</definedName>
    <definedName name="B">'[5]PRECAST lightconc-II'!$K$19</definedName>
    <definedName name="bhkh">#REF!</definedName>
    <definedName name="bol">#REF!</definedName>
    <definedName name="boml">#REF!</definedName>
    <definedName name="botl">#REF!</definedName>
    <definedName name="botn">#REF!</definedName>
    <definedName name="bua">#REF!</definedName>
    <definedName name="Button_74">"HEATLOAD_Input_1_List"</definedName>
    <definedName name="CABCapEXDC">#REF!</definedName>
    <definedName name="CABCapexDesk">#REF!</definedName>
    <definedName name="cabinet">#REF!</definedName>
    <definedName name="CAPWIP">#REF!</definedName>
    <definedName name="CGBP">#REF!</definedName>
    <definedName name="CO">#REF!</definedName>
    <definedName name="Co_Code">#REF!</definedName>
    <definedName name="CompanyCode">'[6]A-CompanyInfo'!$F$8</definedName>
    <definedName name="CompanyName">'[6]A-CompanyInfo'!$F$9</definedName>
    <definedName name="CON">#REF!</definedName>
    <definedName name="D">'[5]PRECAST lightconc-II'!$J$20</definedName>
    <definedName name="Data1">#REF!</definedName>
    <definedName name="Data1Name">#REF!</definedName>
    <definedName name="Data2">#REF!</definedName>
    <definedName name="Data2Name">#REF!</definedName>
    <definedName name="dataa">[7]Pivot_Weighted_SC_edit!$A$4:$AK$50</definedName>
    <definedName name="Date">#REF!</definedName>
    <definedName name="DCCapexCabs">#REF!</definedName>
    <definedName name="DCCapexCabs50">#REF!</definedName>
    <definedName name="DCCapexRental">#REF!</definedName>
    <definedName name="DCCapexSetup">#REF!</definedName>
    <definedName name="Doc_Type">#REF!</definedName>
    <definedName name="E">'[5]PRECAST lightconc-II'!$K$20</definedName>
    <definedName name="error1">'[8]NCR Hardware Quote'!#REF!</definedName>
    <definedName name="F">'[9]1302 ot final'!#REF!</definedName>
    <definedName name="FISS1">#REF!</definedName>
    <definedName name="FISS2">#REF!</definedName>
    <definedName name="FX">#REF!</definedName>
    <definedName name="FX_MTM_NEGATIVE">#REF!</definedName>
    <definedName name="FX_MTM_NETTING">#REF!</definedName>
    <definedName name="FX_MTM_POSITIVE">#REF!</definedName>
    <definedName name="FX_NOTIONAL">#REF!</definedName>
    <definedName name="FX_PFE_NETTING">#REF!</definedName>
    <definedName name="FX_WRA">#REF!</definedName>
    <definedName name="GBPINR">'[4]FX Rates'!$C$17</definedName>
    <definedName name="GBPJPY">'[10]FX Rates'!$C$18</definedName>
    <definedName name="GBPPL">'[4]Summary (GBP)'!#REF!</definedName>
    <definedName name="GBPTHB">[11]FX!$C$7</definedName>
    <definedName name="GBPUSD">'[10]FX Rates'!$C$19</definedName>
    <definedName name="HashCr">#REF!</definedName>
    <definedName name="HashDr">#REF!</definedName>
    <definedName name="HCM">[12]Working!$N$8</definedName>
    <definedName name="HCR">[12]Working!$N$7</definedName>
    <definedName name="HEATLOAD_Input_1_List">#REF!</definedName>
    <definedName name="HEATLOAD_PROGRAM">#REF!</definedName>
    <definedName name="HKD">#REF!</definedName>
    <definedName name="JobID">#REF!</definedName>
    <definedName name="kailash">'[1]pol-60'!$G$1</definedName>
    <definedName name="last">#REF!</definedName>
    <definedName name="lef">#REF!</definedName>
    <definedName name="lel">#REF!</definedName>
    <definedName name="line">#REF!</definedName>
    <definedName name="line2">#REF!</definedName>
    <definedName name="LINK">#REF!</definedName>
    <definedName name="LocalCurrency">'[6]A-CompanyInfo'!$F$13</definedName>
    <definedName name="Location1">#REF!</definedName>
    <definedName name="MTM_NEGATIVE">#REF!</definedName>
    <definedName name="MTM_NETTING">#REF!</definedName>
    <definedName name="MTM_POSITIVE">#REF!</definedName>
    <definedName name="Net_Result">#REF!</definedName>
    <definedName name="newkit">'[13]Ref Data'!#REF!</definedName>
    <definedName name="NWCaoexConsult">#REF!</definedName>
    <definedName name="NWCapexConsult">#REF!</definedName>
    <definedName name="NWCapexTot">#REF!</definedName>
    <definedName name="NWCapexTot20">#REF!</definedName>
    <definedName name="NWCapexTot50">#REF!</definedName>
    <definedName name="NWCapexTotJDC">#REF!</definedName>
    <definedName name="NWCapexTotL16">#REF!</definedName>
    <definedName name="NWOpExMaint">#REF!</definedName>
    <definedName name="NWOpExMANRental">#REF!</definedName>
    <definedName name="NWOpExMANSetup">#REF!</definedName>
    <definedName name="OA">#REF!</definedName>
    <definedName name="Originator">[14]Drivers!#REF!</definedName>
    <definedName name="Overheads">#REF!</definedName>
    <definedName name="P.N.B.">#REF!</definedName>
    <definedName name="PCCapexD530">#REF!</definedName>
    <definedName name="PCCapexMon">#REF!</definedName>
    <definedName name="PCCapexPrint">#REF!</definedName>
    <definedName name="PCUR">#REF!</definedName>
    <definedName name="PeriodEnd">'[6]A-CompanyInfo'!$F$7</definedName>
    <definedName name="PFE_NETTING">#REF!</definedName>
    <definedName name="PHKD">'[15]Budget Lines'!$G$2</definedName>
    <definedName name="PJPY">#REF!</definedName>
    <definedName name="pjpy2">#REF!</definedName>
    <definedName name="PKRW">#REF!</definedName>
    <definedName name="pluse">[16]Mktg!$F$3</definedName>
    <definedName name="_xlnm.Print_Area" localSheetId="1">Basic_CostCmt!$A$1:$I$91</definedName>
    <definedName name="_xlnm.Print_Area" localSheetId="7">CashFlow!$N$1:$AK$60</definedName>
    <definedName name="_xlnm.Print_Area" localSheetId="2">CC!$A$156:$J$173</definedName>
    <definedName name="_xlnm.Print_Area" localSheetId="11">'CTE Rate'!$B$8:$C$37</definedName>
    <definedName name="_xlnm.Print_Area" localSheetId="5">FA!$B$7:$E$22</definedName>
    <definedName name="_xlnm.Print_Area" localSheetId="8">'Fin. Summary'!$B$5:$E$31</definedName>
    <definedName name="_xlnm.Print_Area" localSheetId="6">'Gross Margin'!$A$7:$K$32</definedName>
    <definedName name="_xlnm.Print_Area" localSheetId="9">MoM!$A$1:$Q$79</definedName>
    <definedName name="_xlnm.Print_Area" localSheetId="25">'PBER Pkg-1'!$A$1:$L$114</definedName>
    <definedName name="_xlnm.Print_Area" localSheetId="19">'Pkgcost-2 (Turn key)'!$A$1:$E$39</definedName>
    <definedName name="_xlnm.Print_Area">#REF!</definedName>
    <definedName name="Print_Area_2">#REF!</definedName>
    <definedName name="PRINT_AREA_MI">#REF!</definedName>
    <definedName name="Print_Area1">#REF!</definedName>
    <definedName name="_xlnm.Print_Titles" localSheetId="0">'Basic (old)'!$5:$5</definedName>
    <definedName name="_xlnm.Print_Titles" localSheetId="1">Basic_CostCmt!$5:$5</definedName>
    <definedName name="_xlnm.Print_Titles" localSheetId="25">'PBER Pkg-1'!$12:$14</definedName>
    <definedName name="_xlnm.Print_Titles">#REF!</definedName>
    <definedName name="PRINTLINE">#REF!</definedName>
    <definedName name="PROF">#REF!</definedName>
    <definedName name="PUSD">#REF!</definedName>
    <definedName name="range">#REF!</definedName>
    <definedName name="rel">#REF!</definedName>
    <definedName name="RENT">#REF!</definedName>
    <definedName name="Rev">#REF!</definedName>
    <definedName name="rig">#REF!</definedName>
    <definedName name="robot">#REF!</definedName>
    <definedName name="rosid">#REF!</definedName>
    <definedName name="SAPBEXrevision" hidden="1">3</definedName>
    <definedName name="SAPBEXsysID" hidden="1">"B2P"</definedName>
    <definedName name="SAPBEXwbID" hidden="1">"9AZDQ7N19SPMY2O3UTHJ159PW"</definedName>
    <definedName name="SCCapexFullInfra">#REF!</definedName>
    <definedName name="Sdate">#REF!</definedName>
    <definedName name="SGBP">#REF!</definedName>
    <definedName name="SGD">#REF!</definedName>
    <definedName name="STCapexClariion">#REF!</definedName>
    <definedName name="STCapexConsultEMC">#REF!</definedName>
    <definedName name="STCapexSAN">#REF!</definedName>
    <definedName name="STCapexTL">#REF!</definedName>
    <definedName name="STCapexTSM">#REF!</definedName>
    <definedName name="StrID">#REF!</definedName>
    <definedName name="Subject">#REF!</definedName>
    <definedName name="SummitCopy1">#REF!</definedName>
    <definedName name="SummitCopy2">#REF!</definedName>
    <definedName name="SummitPaste1">#REF!</definedName>
    <definedName name="SummitPaste2">#REF!</definedName>
    <definedName name="SUSP4">#REF!</definedName>
    <definedName name="SUSP5">#REF!</definedName>
    <definedName name="SVCapexFIO">#REF!</definedName>
    <definedName name="SVCapexKVM">#REF!</definedName>
    <definedName name="SVCapexTSM">#REF!</definedName>
    <definedName name="SVCapexWin">#REF!</definedName>
    <definedName name="SWAP_NOTIONAL">#REF!</definedName>
    <definedName name="SWAPS">#REF!</definedName>
    <definedName name="TBData">[6]TrialBalance!$A$45:$C$102</definedName>
    <definedName name="TEMP">#REF!</definedName>
    <definedName name="TEMP1">#REF!</definedName>
    <definedName name="Territory">'[6]A-CompanyInfo'!$F$12</definedName>
    <definedName name="TEST0">#REF!</definedName>
    <definedName name="TESTHKEY">#REF!</definedName>
    <definedName name="TESTKEYS">#REF!</definedName>
    <definedName name="TESTVKEY">#REF!</definedName>
    <definedName name="this_journal_name">#REF!</definedName>
    <definedName name="thisfile">#REF!</definedName>
    <definedName name="Title1">#REF!</definedName>
    <definedName name="Title2">#REF!</definedName>
    <definedName name="toi">'[17]SBI(Siliguri)'!#REF!</definedName>
    <definedName name="tol">#REF!</definedName>
    <definedName name="topl">#REF!</definedName>
    <definedName name="topn">#REF!</definedName>
    <definedName name="Unit">"Pluse"</definedName>
    <definedName name="UXCapexMD440">#REF!</definedName>
    <definedName name="valve2">#REF!</definedName>
    <definedName name="valve3">#REF!</definedName>
    <definedName name="valves">#REF!</definedName>
    <definedName name="VCCapexFullPABX">#REF!</definedName>
    <definedName name="VCCapexIPen">#REF!</definedName>
    <definedName name="WRA">#REF!</definedName>
    <definedName name="WTRGREGFERGJTHREJTJERGJRJGHJERHGJRJGERJGJJERGERJEFVBFNDVJFHG">#REF!</definedName>
    <definedName name="x">'[17]SBI(Siliguri)'!#REF!</definedName>
    <definedName name="YGBP">#REF!</definedName>
  </definedNames>
  <calcPr calcId="191029"/>
</workbook>
</file>

<file path=xl/calcChain.xml><?xml version="1.0" encoding="utf-8"?>
<calcChain xmlns="http://schemas.openxmlformats.org/spreadsheetml/2006/main">
  <c r="F15" i="54" l="1"/>
  <c r="F109" i="54" l="1"/>
  <c r="F99" i="54"/>
  <c r="F86" i="54"/>
  <c r="F85" i="54"/>
  <c r="F67" i="54"/>
  <c r="F66" i="54"/>
  <c r="F51" i="54"/>
  <c r="F50" i="54"/>
  <c r="F37" i="54"/>
  <c r="F36" i="54"/>
  <c r="F35" i="54"/>
  <c r="E43" i="53" l="1"/>
  <c r="R43" i="53" s="1"/>
  <c r="E42" i="53"/>
  <c r="R42" i="53" s="1"/>
  <c r="E41" i="53"/>
  <c r="R41" i="53" s="1"/>
  <c r="R40" i="53"/>
  <c r="T40" i="53" s="1"/>
  <c r="V40" i="53" s="1"/>
  <c r="G40" i="53" s="1"/>
  <c r="F40" i="53"/>
  <c r="E39" i="53"/>
  <c r="R39" i="53" s="1"/>
  <c r="E38" i="53"/>
  <c r="R38" i="53" s="1"/>
  <c r="E37" i="53"/>
  <c r="R37" i="53" s="1"/>
  <c r="E36" i="53"/>
  <c r="R36" i="53" s="1"/>
  <c r="R35" i="53"/>
  <c r="F35" i="53"/>
  <c r="R34" i="53"/>
  <c r="T34" i="53" s="1"/>
  <c r="F34" i="53"/>
  <c r="E33" i="53"/>
  <c r="R33" i="53" s="1"/>
  <c r="E32" i="53"/>
  <c r="R32" i="53" s="1"/>
  <c r="R31" i="53"/>
  <c r="T31" i="53" s="1"/>
  <c r="V31" i="53" s="1"/>
  <c r="G31" i="53" s="1"/>
  <c r="F31" i="53"/>
  <c r="R30" i="53"/>
  <c r="T30" i="53" s="1"/>
  <c r="V30" i="53" s="1"/>
  <c r="G30" i="53" s="1"/>
  <c r="F30" i="53"/>
  <c r="R29" i="53"/>
  <c r="F29" i="53"/>
  <c r="R28" i="53"/>
  <c r="T28" i="53" s="1"/>
  <c r="F28" i="53"/>
  <c r="R27" i="53"/>
  <c r="T27" i="53" s="1"/>
  <c r="V27" i="53" s="1"/>
  <c r="G27" i="53" s="1"/>
  <c r="F27" i="53"/>
  <c r="E26" i="53"/>
  <c r="R26" i="53" s="1"/>
  <c r="T26" i="53" s="1"/>
  <c r="V26" i="53" s="1"/>
  <c r="G26" i="53" s="1"/>
  <c r="E25" i="53"/>
  <c r="R25" i="53" s="1"/>
  <c r="T25" i="53" s="1"/>
  <c r="V25" i="53" s="1"/>
  <c r="G25" i="53" s="1"/>
  <c r="F24" i="53"/>
  <c r="E24" i="53"/>
  <c r="R24" i="53" s="1"/>
  <c r="T24" i="53" s="1"/>
  <c r="V24" i="53" s="1"/>
  <c r="G24" i="53" s="1"/>
  <c r="R23" i="53"/>
  <c r="T23" i="53" s="1"/>
  <c r="V23" i="53" s="1"/>
  <c r="G23" i="53" s="1"/>
  <c r="F23" i="53"/>
  <c r="R22" i="53"/>
  <c r="F22" i="53"/>
  <c r="F21" i="53"/>
  <c r="E21" i="53"/>
  <c r="R21" i="53" s="1"/>
  <c r="T21" i="53" s="1"/>
  <c r="E20" i="53"/>
  <c r="R20" i="53" s="1"/>
  <c r="T20" i="53" s="1"/>
  <c r="E19" i="53"/>
  <c r="R19" i="53" s="1"/>
  <c r="T19" i="53" s="1"/>
  <c r="F18" i="53"/>
  <c r="E18" i="53"/>
  <c r="R18" i="53" s="1"/>
  <c r="T18" i="53" s="1"/>
  <c r="F17" i="53"/>
  <c r="E17" i="53"/>
  <c r="R17" i="53" s="1"/>
  <c r="T17" i="53" s="1"/>
  <c r="R16" i="53"/>
  <c r="T16" i="53" s="1"/>
  <c r="F16" i="53"/>
  <c r="E15" i="53"/>
  <c r="R15" i="53" s="1"/>
  <c r="E14" i="53"/>
  <c r="R14" i="53" s="1"/>
  <c r="E13" i="53"/>
  <c r="R13" i="53" s="1"/>
  <c r="V10" i="53"/>
  <c r="R10" i="53"/>
  <c r="E26" i="52"/>
  <c r="F26" i="52" s="1"/>
  <c r="E25" i="52"/>
  <c r="F25" i="52" s="1"/>
  <c r="E23" i="52"/>
  <c r="F23" i="52" s="1"/>
  <c r="G22" i="52"/>
  <c r="I22" i="52" s="1"/>
  <c r="F22" i="52"/>
  <c r="E21" i="52"/>
  <c r="G21" i="52" s="1"/>
  <c r="I21" i="52" s="1"/>
  <c r="G20" i="52"/>
  <c r="I20" i="52" s="1"/>
  <c r="F20" i="52"/>
  <c r="G19" i="52"/>
  <c r="I19" i="52" s="1"/>
  <c r="F19" i="52"/>
  <c r="E18" i="52"/>
  <c r="E17" i="52"/>
  <c r="F16" i="52"/>
  <c r="E16" i="52"/>
  <c r="F115" i="51"/>
  <c r="F114" i="51"/>
  <c r="F113" i="51"/>
  <c r="F111" i="51"/>
  <c r="F110" i="51"/>
  <c r="E109" i="51"/>
  <c r="F109" i="51" s="1"/>
  <c r="F108" i="51"/>
  <c r="F106" i="51"/>
  <c r="F105" i="51"/>
  <c r="F104" i="51"/>
  <c r="F98" i="51"/>
  <c r="F97" i="51"/>
  <c r="F96" i="51"/>
  <c r="F95" i="51"/>
  <c r="F93" i="51"/>
  <c r="F92" i="51"/>
  <c r="F91" i="51"/>
  <c r="F90" i="51"/>
  <c r="F89" i="51"/>
  <c r="E89" i="51"/>
  <c r="F87" i="51"/>
  <c r="F86" i="51"/>
  <c r="F85" i="51"/>
  <c r="F116" i="51" s="1"/>
  <c r="F69" i="51"/>
  <c r="G69" i="51" s="1"/>
  <c r="F68" i="51"/>
  <c r="G68" i="51" s="1"/>
  <c r="F67" i="51"/>
  <c r="G67" i="51" s="1"/>
  <c r="F66" i="51"/>
  <c r="G66" i="51" s="1"/>
  <c r="F65" i="51"/>
  <c r="G65" i="51" s="1"/>
  <c r="E64" i="51"/>
  <c r="F63" i="51"/>
  <c r="G63" i="51" s="1"/>
  <c r="O35" i="51"/>
  <c r="R35" i="51" s="1"/>
  <c r="F35" i="51"/>
  <c r="F43" i="51" s="1"/>
  <c r="E26" i="51"/>
  <c r="O26" i="51" s="1"/>
  <c r="E19" i="51"/>
  <c r="O19" i="51" s="1"/>
  <c r="O12" i="51"/>
  <c r="F12" i="51"/>
  <c r="S9" i="51"/>
  <c r="O9" i="51"/>
  <c r="H22" i="52" l="1"/>
  <c r="K22" i="52" s="1"/>
  <c r="F20" i="53"/>
  <c r="P35" i="51"/>
  <c r="G23" i="52"/>
  <c r="I23" i="52" s="1"/>
  <c r="F25" i="53"/>
  <c r="T29" i="53"/>
  <c r="V29" i="53" s="1"/>
  <c r="G29" i="53" s="1"/>
  <c r="T35" i="53"/>
  <c r="V35" i="53" s="1"/>
  <c r="G35" i="53" s="1"/>
  <c r="H23" i="52"/>
  <c r="K23" i="52" s="1"/>
  <c r="H19" i="52"/>
  <c r="F64" i="51"/>
  <c r="G64" i="51" s="1"/>
  <c r="F26" i="53"/>
  <c r="P12" i="51"/>
  <c r="Q12" i="51" s="1"/>
  <c r="T22" i="53"/>
  <c r="V22" i="53" s="1"/>
  <c r="G22" i="53" s="1"/>
  <c r="R12" i="51"/>
  <c r="F19" i="53"/>
  <c r="H21" i="52"/>
  <c r="F21" i="52"/>
  <c r="E24" i="52"/>
  <c r="F24" i="52" s="1"/>
  <c r="T14" i="53"/>
  <c r="V14" i="53" s="1"/>
  <c r="G14" i="53" s="1"/>
  <c r="T39" i="53"/>
  <c r="V39" i="53" s="1"/>
  <c r="G39" i="53" s="1"/>
  <c r="T13" i="53"/>
  <c r="V13" i="53" s="1"/>
  <c r="G13" i="53" s="1"/>
  <c r="H24" i="53"/>
  <c r="J24" i="53" s="1"/>
  <c r="H30" i="53"/>
  <c r="J30" i="53" s="1"/>
  <c r="T32" i="53"/>
  <c r="V32" i="53" s="1"/>
  <c r="G32" i="53" s="1"/>
  <c r="T37" i="53"/>
  <c r="V37" i="53" s="1"/>
  <c r="G37" i="53" s="1"/>
  <c r="H40" i="53"/>
  <c r="J40" i="53" s="1"/>
  <c r="H23" i="53"/>
  <c r="J23" i="53" s="1"/>
  <c r="H27" i="53"/>
  <c r="J27" i="53" s="1"/>
  <c r="T33" i="53"/>
  <c r="V33" i="53" s="1"/>
  <c r="G33" i="53" s="1"/>
  <c r="T38" i="53"/>
  <c r="V38" i="53" s="1"/>
  <c r="G38" i="53" s="1"/>
  <c r="T41" i="53"/>
  <c r="V41" i="53" s="1"/>
  <c r="G41" i="53" s="1"/>
  <c r="H26" i="53"/>
  <c r="J26" i="53" s="1"/>
  <c r="T42" i="53"/>
  <c r="V42" i="53" s="1"/>
  <c r="G42" i="53" s="1"/>
  <c r="T15" i="53"/>
  <c r="V15" i="53" s="1"/>
  <c r="G15" i="53" s="1"/>
  <c r="H25" i="53"/>
  <c r="J25" i="53" s="1"/>
  <c r="H31" i="53"/>
  <c r="J31" i="53" s="1"/>
  <c r="T36" i="53"/>
  <c r="V36" i="53" s="1"/>
  <c r="G36" i="53" s="1"/>
  <c r="T43" i="53"/>
  <c r="V43" i="53" s="1"/>
  <c r="G43" i="53" s="1"/>
  <c r="V16" i="53"/>
  <c r="G16" i="53" s="1"/>
  <c r="V17" i="53"/>
  <c r="G17" i="53" s="1"/>
  <c r="V18" i="53"/>
  <c r="G18" i="53" s="1"/>
  <c r="V19" i="53"/>
  <c r="G19" i="53" s="1"/>
  <c r="V20" i="53"/>
  <c r="G20" i="53" s="1"/>
  <c r="V21" i="53"/>
  <c r="G21" i="53" s="1"/>
  <c r="V28" i="53"/>
  <c r="G28" i="53" s="1"/>
  <c r="V34" i="53"/>
  <c r="G34" i="53" s="1"/>
  <c r="F41" i="53"/>
  <c r="F42" i="53"/>
  <c r="F43" i="53"/>
  <c r="F36" i="53"/>
  <c r="F37" i="53"/>
  <c r="F38" i="53"/>
  <c r="F39" i="53"/>
  <c r="F13" i="53"/>
  <c r="F14" i="53"/>
  <c r="F15" i="53"/>
  <c r="F32" i="53"/>
  <c r="F33" i="53"/>
  <c r="J21" i="52"/>
  <c r="L21" i="52" s="1"/>
  <c r="K21" i="52"/>
  <c r="F17" i="52"/>
  <c r="F18" i="52"/>
  <c r="H20" i="52"/>
  <c r="G25" i="52"/>
  <c r="I25" i="52" s="1"/>
  <c r="G26" i="52"/>
  <c r="I26" i="52" s="1"/>
  <c r="G16" i="52"/>
  <c r="I16" i="52" s="1"/>
  <c r="G17" i="52"/>
  <c r="I17" i="52" s="1"/>
  <c r="G18" i="52"/>
  <c r="I18" i="52" s="1"/>
  <c r="J22" i="52"/>
  <c r="L22" i="52" s="1"/>
  <c r="J23" i="52"/>
  <c r="G24" i="52"/>
  <c r="I24" i="52" s="1"/>
  <c r="P26" i="51"/>
  <c r="R26" i="51"/>
  <c r="Q26" i="51"/>
  <c r="R19" i="51"/>
  <c r="P19" i="51"/>
  <c r="Q19" i="51" s="1"/>
  <c r="S19" i="51" s="1"/>
  <c r="G19" i="51" s="1"/>
  <c r="F19" i="51"/>
  <c r="F26" i="51"/>
  <c r="Q35" i="51"/>
  <c r="S35" i="51" s="1"/>
  <c r="G35" i="51" s="1"/>
  <c r="S26" i="51" l="1"/>
  <c r="G26" i="51" s="1"/>
  <c r="H29" i="53"/>
  <c r="J29" i="53" s="1"/>
  <c r="H35" i="53"/>
  <c r="J35" i="53" s="1"/>
  <c r="H22" i="53"/>
  <c r="J22" i="53" s="1"/>
  <c r="K19" i="52"/>
  <c r="J19" i="52"/>
  <c r="L19" i="52" s="1"/>
  <c r="F44" i="53"/>
  <c r="S12" i="51"/>
  <c r="G12" i="51" s="1"/>
  <c r="H12" i="51" s="1"/>
  <c r="J12" i="51" s="1"/>
  <c r="F33" i="51"/>
  <c r="F46" i="51" s="1"/>
  <c r="H24" i="52"/>
  <c r="K24" i="52" s="1"/>
  <c r="H17" i="52"/>
  <c r="J17" i="52" s="1"/>
  <c r="L17" i="52" s="1"/>
  <c r="H43" i="53"/>
  <c r="J43" i="53" s="1"/>
  <c r="H32" i="53"/>
  <c r="J32" i="53" s="1"/>
  <c r="H38" i="53"/>
  <c r="J38" i="53" s="1"/>
  <c r="H37" i="53"/>
  <c r="J37" i="53" s="1"/>
  <c r="I37" i="53"/>
  <c r="H13" i="53"/>
  <c r="J13" i="53" s="1"/>
  <c r="I13" i="53"/>
  <c r="H15" i="53"/>
  <c r="J15" i="53" s="1"/>
  <c r="H39" i="53"/>
  <c r="J39" i="53" s="1"/>
  <c r="I39" i="53"/>
  <c r="H36" i="53"/>
  <c r="J36" i="53" s="1"/>
  <c r="H42" i="53"/>
  <c r="J42" i="53" s="1"/>
  <c r="H41" i="53"/>
  <c r="J41" i="53" s="1"/>
  <c r="H33" i="53"/>
  <c r="J33" i="53" s="1"/>
  <c r="H14" i="53"/>
  <c r="J14" i="53" s="1"/>
  <c r="I14" i="53"/>
  <c r="H21" i="53"/>
  <c r="J21" i="53" s="1"/>
  <c r="H17" i="53"/>
  <c r="J17" i="53" s="1"/>
  <c r="H20" i="53"/>
  <c r="J20" i="53" s="1"/>
  <c r="H16" i="53"/>
  <c r="J16" i="53" s="1"/>
  <c r="I25" i="53"/>
  <c r="I27" i="53"/>
  <c r="I40" i="53"/>
  <c r="I24" i="53"/>
  <c r="H34" i="53"/>
  <c r="J34" i="53" s="1"/>
  <c r="H19" i="53"/>
  <c r="J19" i="53" s="1"/>
  <c r="H28" i="53"/>
  <c r="J28" i="53" s="1"/>
  <c r="H18" i="53"/>
  <c r="J18" i="53" s="1"/>
  <c r="I31" i="53"/>
  <c r="I26" i="53"/>
  <c r="I23" i="53"/>
  <c r="I30" i="53"/>
  <c r="F27" i="52"/>
  <c r="H26" i="52"/>
  <c r="H25" i="52"/>
  <c r="J20" i="52"/>
  <c r="L20" i="52" s="1"/>
  <c r="K20" i="52"/>
  <c r="H16" i="52"/>
  <c r="H18" i="52"/>
  <c r="H19" i="51"/>
  <c r="J19" i="51" s="1"/>
  <c r="H35" i="51"/>
  <c r="J35" i="51" s="1"/>
  <c r="H26" i="51"/>
  <c r="J26" i="51" s="1"/>
  <c r="I36" i="53" l="1"/>
  <c r="L36" i="53" s="1"/>
  <c r="I35" i="53"/>
  <c r="I22" i="53"/>
  <c r="F45" i="51"/>
  <c r="I12" i="51"/>
  <c r="K17" i="52"/>
  <c r="I38" i="53"/>
  <c r="L38" i="53" s="1"/>
  <c r="I29" i="53"/>
  <c r="J24" i="52"/>
  <c r="L26" i="53"/>
  <c r="K26" i="53"/>
  <c r="M26" i="53" s="1"/>
  <c r="L27" i="53"/>
  <c r="K27" i="53"/>
  <c r="M27" i="53" s="1"/>
  <c r="L14" i="53"/>
  <c r="K14" i="53"/>
  <c r="M14" i="53" s="1"/>
  <c r="K36" i="53"/>
  <c r="M36" i="53" s="1"/>
  <c r="L37" i="53"/>
  <c r="K37" i="53"/>
  <c r="M37" i="53" s="1"/>
  <c r="L30" i="53"/>
  <c r="K30" i="53"/>
  <c r="M30" i="53" s="1"/>
  <c r="L24" i="53"/>
  <c r="K24" i="53"/>
  <c r="M24" i="53" s="1"/>
  <c r="L31" i="53"/>
  <c r="K31" i="53"/>
  <c r="M31" i="53" s="1"/>
  <c r="I28" i="53"/>
  <c r="I19" i="53"/>
  <c r="I34" i="53"/>
  <c r="L25" i="53"/>
  <c r="K25" i="53"/>
  <c r="M25" i="53" s="1"/>
  <c r="I20" i="53"/>
  <c r="I17" i="53"/>
  <c r="I41" i="53"/>
  <c r="I15" i="53"/>
  <c r="I32" i="53"/>
  <c r="L39" i="53"/>
  <c r="K39" i="53"/>
  <c r="M39" i="53" s="1"/>
  <c r="L13" i="53"/>
  <c r="K13" i="53"/>
  <c r="M13" i="53" s="1"/>
  <c r="K38" i="53"/>
  <c r="M38" i="53" s="1"/>
  <c r="L23" i="53"/>
  <c r="K23" i="53"/>
  <c r="M23" i="53" s="1"/>
  <c r="I18" i="53"/>
  <c r="L40" i="53"/>
  <c r="K40" i="53"/>
  <c r="M40" i="53" s="1"/>
  <c r="I16" i="53"/>
  <c r="I21" i="53"/>
  <c r="I33" i="53"/>
  <c r="I42" i="53"/>
  <c r="I43" i="53"/>
  <c r="K18" i="52"/>
  <c r="J18" i="52"/>
  <c r="L18" i="52" s="1"/>
  <c r="K25" i="52"/>
  <c r="J25" i="52"/>
  <c r="L25" i="52" s="1"/>
  <c r="K16" i="52"/>
  <c r="J16" i="52"/>
  <c r="L16" i="52" s="1"/>
  <c r="K26" i="52"/>
  <c r="J26" i="52"/>
  <c r="L26" i="52" s="1"/>
  <c r="I19" i="51"/>
  <c r="I26" i="51"/>
  <c r="K12" i="51"/>
  <c r="M12" i="51" s="1"/>
  <c r="L12" i="51"/>
  <c r="I35" i="51"/>
  <c r="L35" i="53" l="1"/>
  <c r="K35" i="53"/>
  <c r="M35" i="53" s="1"/>
  <c r="L29" i="53"/>
  <c r="K29" i="53"/>
  <c r="M29" i="53" s="1"/>
  <c r="L22" i="53"/>
  <c r="K22" i="53"/>
  <c r="M22" i="53" s="1"/>
  <c r="L27" i="52"/>
  <c r="L29" i="52" s="1"/>
  <c r="L43" i="53"/>
  <c r="K43" i="53"/>
  <c r="M43" i="53" s="1"/>
  <c r="K20" i="53"/>
  <c r="M20" i="53" s="1"/>
  <c r="L20" i="53"/>
  <c r="L33" i="53"/>
  <c r="K33" i="53"/>
  <c r="M33" i="53" s="1"/>
  <c r="L41" i="53"/>
  <c r="K41" i="53"/>
  <c r="M41" i="53" s="1"/>
  <c r="K21" i="53"/>
  <c r="M21" i="53" s="1"/>
  <c r="L21" i="53"/>
  <c r="K18" i="53"/>
  <c r="M18" i="53" s="1"/>
  <c r="L18" i="53"/>
  <c r="K17" i="53"/>
  <c r="M17" i="53" s="1"/>
  <c r="L17" i="53"/>
  <c r="K34" i="53"/>
  <c r="M34" i="53" s="1"/>
  <c r="L34" i="53"/>
  <c r="K16" i="53"/>
  <c r="M16" i="53" s="1"/>
  <c r="L16" i="53"/>
  <c r="L32" i="53"/>
  <c r="K32" i="53"/>
  <c r="M32" i="53" s="1"/>
  <c r="K19" i="53"/>
  <c r="M19" i="53" s="1"/>
  <c r="L19" i="53"/>
  <c r="L42" i="53"/>
  <c r="K42" i="53"/>
  <c r="M42" i="53" s="1"/>
  <c r="L15" i="53"/>
  <c r="K15" i="53"/>
  <c r="M15" i="53" s="1"/>
  <c r="K28" i="53"/>
  <c r="M28" i="53" s="1"/>
  <c r="L28" i="53"/>
  <c r="K27" i="52"/>
  <c r="K29" i="52" s="1"/>
  <c r="K26" i="51"/>
  <c r="M26" i="51" s="1"/>
  <c r="L26" i="51"/>
  <c r="L35" i="51"/>
  <c r="K35" i="51"/>
  <c r="M35" i="51" s="1"/>
  <c r="L19" i="51"/>
  <c r="L42" i="51" s="1"/>
  <c r="L46" i="51" s="1"/>
  <c r="K19" i="51"/>
  <c r="M19" i="51" s="1"/>
  <c r="L44" i="53" l="1"/>
  <c r="L46" i="53" s="1"/>
  <c r="M44" i="53"/>
  <c r="M46" i="53" s="1"/>
  <c r="M42" i="51"/>
  <c r="M46" i="51" s="1"/>
  <c r="B18" i="44" l="1"/>
  <c r="C27" i="26" l="1"/>
  <c r="E24" i="44" l="1"/>
  <c r="E23" i="44" s="1"/>
  <c r="E17" i="44"/>
  <c r="E18" i="44"/>
  <c r="E43" i="45"/>
  <c r="E39" i="45"/>
  <c r="E25" i="45"/>
  <c r="E26" i="45"/>
  <c r="F17" i="44" l="1"/>
  <c r="H17" i="44"/>
  <c r="J17" i="44" s="1"/>
  <c r="I17" i="44"/>
  <c r="F18" i="44"/>
  <c r="H18" i="44"/>
  <c r="J18" i="44" s="1"/>
  <c r="I18" i="44" l="1"/>
  <c r="L18" i="44" s="1"/>
  <c r="K18" i="44"/>
  <c r="M18" i="44" s="1"/>
  <c r="L17" i="44"/>
  <c r="K17" i="44"/>
  <c r="M17" i="44" s="1"/>
  <c r="C24" i="26"/>
  <c r="C17" i="26" l="1"/>
  <c r="C20" i="26" l="1"/>
  <c r="H23" i="44" l="1"/>
  <c r="J23" i="44" s="1"/>
  <c r="I23" i="44" l="1"/>
  <c r="L23" i="44" s="1"/>
  <c r="BG9" i="47"/>
  <c r="BG10" i="47" s="1"/>
  <c r="A156" i="47"/>
  <c r="B155" i="47"/>
  <c r="B154" i="47"/>
  <c r="X145" i="47"/>
  <c r="F136" i="47"/>
  <c r="D135" i="47"/>
  <c r="B135" i="47"/>
  <c r="B134" i="47"/>
  <c r="B133" i="47"/>
  <c r="B132" i="47"/>
  <c r="B127" i="47"/>
  <c r="B124" i="47"/>
  <c r="B123" i="47"/>
  <c r="B172" i="47" s="1"/>
  <c r="B122" i="47"/>
  <c r="B121" i="47"/>
  <c r="R120" i="47"/>
  <c r="C166" i="47" s="1"/>
  <c r="B120" i="47"/>
  <c r="I119" i="47"/>
  <c r="B119" i="47"/>
  <c r="T118" i="47"/>
  <c r="S118" i="47"/>
  <c r="K118" i="47"/>
  <c r="J118" i="47"/>
  <c r="I118" i="47"/>
  <c r="H118" i="47"/>
  <c r="G118" i="47"/>
  <c r="F118" i="47"/>
  <c r="E118" i="47"/>
  <c r="D118" i="47"/>
  <c r="C118" i="47"/>
  <c r="B118" i="47"/>
  <c r="T117" i="47"/>
  <c r="S117" i="47"/>
  <c r="K117" i="47"/>
  <c r="J117" i="47"/>
  <c r="I117" i="47"/>
  <c r="H117" i="47"/>
  <c r="G117" i="47"/>
  <c r="F117" i="47"/>
  <c r="E117" i="47"/>
  <c r="D117" i="47"/>
  <c r="C117" i="47"/>
  <c r="B117" i="47"/>
  <c r="T116" i="47"/>
  <c r="T120" i="47" s="1"/>
  <c r="C167" i="47" s="1"/>
  <c r="S116" i="47"/>
  <c r="S120" i="47" s="1"/>
  <c r="D167" i="47" s="1"/>
  <c r="K116" i="47"/>
  <c r="J116" i="47"/>
  <c r="J120" i="47" s="1"/>
  <c r="C161" i="47" s="1"/>
  <c r="I116" i="47"/>
  <c r="I120" i="47" s="1"/>
  <c r="H116" i="47"/>
  <c r="H120" i="47" s="1"/>
  <c r="C160" i="47" s="1"/>
  <c r="G116" i="47"/>
  <c r="F116" i="47"/>
  <c r="F120" i="47" s="1"/>
  <c r="C159" i="47" s="1"/>
  <c r="E116" i="47"/>
  <c r="E120" i="47" s="1"/>
  <c r="D116" i="47"/>
  <c r="D120" i="47" s="1"/>
  <c r="C158" i="47" s="1"/>
  <c r="B116" i="47"/>
  <c r="B115" i="47"/>
  <c r="A115" i="47"/>
  <c r="F110" i="47"/>
  <c r="E110" i="47"/>
  <c r="D110" i="47"/>
  <c r="B110" i="47"/>
  <c r="Q109" i="47"/>
  <c r="P109" i="47"/>
  <c r="N109" i="47"/>
  <c r="M109" i="47"/>
  <c r="B109" i="47"/>
  <c r="J105" i="47"/>
  <c r="A150" i="47" s="1"/>
  <c r="V104" i="47"/>
  <c r="K104" i="47"/>
  <c r="A149" i="47" s="1"/>
  <c r="V103" i="47"/>
  <c r="DL96" i="47"/>
  <c r="DL94" i="47"/>
  <c r="DL95" i="47" s="1"/>
  <c r="DL97" i="47" s="1"/>
  <c r="DL91" i="47"/>
  <c r="DQ75" i="47"/>
  <c r="DP74" i="47"/>
  <c r="DP75" i="47" s="1"/>
  <c r="BB69" i="47"/>
  <c r="DM68" i="47"/>
  <c r="DM66" i="47"/>
  <c r="DM67" i="47" s="1"/>
  <c r="C52" i="47"/>
  <c r="P52" i="47" s="1"/>
  <c r="P51" i="47"/>
  <c r="C51" i="47"/>
  <c r="Q51" i="47" s="1"/>
  <c r="BI50" i="47"/>
  <c r="C49" i="47"/>
  <c r="P49" i="47" s="1"/>
  <c r="P48" i="47"/>
  <c r="C48" i="47"/>
  <c r="Q48" i="47" s="1"/>
  <c r="N46" i="47"/>
  <c r="G46" i="47"/>
  <c r="C46" i="47"/>
  <c r="P44" i="47"/>
  <c r="C44" i="47"/>
  <c r="Q44" i="47" s="1"/>
  <c r="P43" i="47"/>
  <c r="C42" i="47"/>
  <c r="C41" i="47"/>
  <c r="I41" i="47" s="1"/>
  <c r="P41" i="47" s="1"/>
  <c r="BB40" i="47"/>
  <c r="BB39" i="47"/>
  <c r="BB38" i="47"/>
  <c r="J41" i="47" s="1"/>
  <c r="M34" i="47"/>
  <c r="AK23" i="47"/>
  <c r="AP21" i="47"/>
  <c r="AP24" i="47" s="1"/>
  <c r="AO21" i="47"/>
  <c r="AO24" i="47" s="1"/>
  <c r="AN21" i="47"/>
  <c r="AN24" i="47" s="1"/>
  <c r="AM21" i="47"/>
  <c r="AM24" i="47" s="1"/>
  <c r="AL21" i="47"/>
  <c r="AL24" i="47" s="1"/>
  <c r="AK21" i="47"/>
  <c r="AK24" i="47" s="1"/>
  <c r="AJ21" i="47"/>
  <c r="AJ23" i="47" s="1"/>
  <c r="O21" i="47"/>
  <c r="C40" i="47" s="1"/>
  <c r="N21" i="47"/>
  <c r="C39" i="47" s="1"/>
  <c r="M21" i="47"/>
  <c r="C38" i="47" s="1"/>
  <c r="K21" i="47"/>
  <c r="C36" i="47" s="1"/>
  <c r="J21" i="47"/>
  <c r="C35" i="47" s="1"/>
  <c r="I21" i="47"/>
  <c r="C34" i="47" s="1"/>
  <c r="H21" i="47"/>
  <c r="C33" i="47" s="1"/>
  <c r="G21" i="47"/>
  <c r="G23" i="47" s="1"/>
  <c r="E21" i="47"/>
  <c r="E24" i="47" s="1"/>
  <c r="D21" i="47"/>
  <c r="C31" i="47" s="1"/>
  <c r="AA20" i="47"/>
  <c r="Z20" i="47"/>
  <c r="AC20" i="47" s="1"/>
  <c r="T20" i="47"/>
  <c r="Q21" i="47"/>
  <c r="AH19" i="47"/>
  <c r="AB19" i="47"/>
  <c r="T19" i="47"/>
  <c r="S19" i="47"/>
  <c r="R19" i="47"/>
  <c r="AH18" i="47"/>
  <c r="AB18" i="47"/>
  <c r="AA18" i="47"/>
  <c r="Z18" i="47"/>
  <c r="AC18" i="47" s="1"/>
  <c r="AF18" i="47" s="1"/>
  <c r="T18" i="47"/>
  <c r="S18" i="47"/>
  <c r="R18" i="47"/>
  <c r="BE17" i="47"/>
  <c r="BE22" i="47" s="1"/>
  <c r="BB22" i="47" s="1"/>
  <c r="BB23" i="47" s="1"/>
  <c r="AB17" i="47"/>
  <c r="AA17" i="47"/>
  <c r="AA21" i="47" s="1"/>
  <c r="Z17" i="47"/>
  <c r="C45" i="47"/>
  <c r="T17" i="47"/>
  <c r="S17" i="47"/>
  <c r="C116" i="47"/>
  <c r="BB16" i="47"/>
  <c r="AV16" i="47"/>
  <c r="AH16" i="47"/>
  <c r="AF16" i="47"/>
  <c r="AC16" i="47"/>
  <c r="AD16" i="47" s="1"/>
  <c r="AB16" i="47"/>
  <c r="AA16" i="47"/>
  <c r="Z16" i="47"/>
  <c r="T16" i="47"/>
  <c r="S16" i="47"/>
  <c r="R16" i="47"/>
  <c r="X16" i="47" s="1"/>
  <c r="B16" i="47"/>
  <c r="A16" i="47"/>
  <c r="CI15" i="47"/>
  <c r="CI14" i="47"/>
  <c r="BD10" i="47"/>
  <c r="X10" i="47"/>
  <c r="S10" i="47"/>
  <c r="R10" i="47"/>
  <c r="J8" i="47"/>
  <c r="Q110" i="47" s="1"/>
  <c r="H8" i="47"/>
  <c r="O110" i="47" s="1"/>
  <c r="G8" i="47"/>
  <c r="F8" i="47"/>
  <c r="E8" i="47"/>
  <c r="L110" i="47" s="1"/>
  <c r="C8" i="47"/>
  <c r="AE5" i="47"/>
  <c r="AS5" i="47" s="1"/>
  <c r="CN3" i="47"/>
  <c r="CL3" i="47"/>
  <c r="AE1" i="47"/>
  <c r="AS1" i="47" s="1"/>
  <c r="F22" i="44"/>
  <c r="F23" i="44"/>
  <c r="F16" i="44"/>
  <c r="F16" i="45"/>
  <c r="F22" i="45"/>
  <c r="F23" i="45"/>
  <c r="F25" i="45"/>
  <c r="F26" i="45"/>
  <c r="F27" i="45"/>
  <c r="F28" i="45"/>
  <c r="F29" i="45"/>
  <c r="F30" i="45"/>
  <c r="F31" i="45"/>
  <c r="F34" i="45"/>
  <c r="F35" i="45"/>
  <c r="F39" i="45"/>
  <c r="F40" i="45"/>
  <c r="F43" i="45"/>
  <c r="F115" i="46"/>
  <c r="F114" i="46"/>
  <c r="F113" i="46"/>
  <c r="F111" i="46"/>
  <c r="F110" i="46"/>
  <c r="E109" i="46"/>
  <c r="F109" i="46" s="1"/>
  <c r="F108" i="46"/>
  <c r="F106" i="46"/>
  <c r="F105" i="46"/>
  <c r="F104" i="46"/>
  <c r="F98" i="46"/>
  <c r="F97" i="46"/>
  <c r="F96" i="46"/>
  <c r="F95" i="46"/>
  <c r="F93" i="46"/>
  <c r="F92" i="46"/>
  <c r="F91" i="46"/>
  <c r="F90" i="46"/>
  <c r="E89" i="46"/>
  <c r="F89" i="46" s="1"/>
  <c r="F87" i="46"/>
  <c r="F86" i="46"/>
  <c r="F85" i="46"/>
  <c r="F69" i="46"/>
  <c r="G69" i="46" s="1"/>
  <c r="F68" i="46"/>
  <c r="G68" i="46" s="1"/>
  <c r="F67" i="46"/>
  <c r="G67" i="46" s="1"/>
  <c r="F66" i="46"/>
  <c r="G66" i="46" s="1"/>
  <c r="F65" i="46"/>
  <c r="G65" i="46" s="1"/>
  <c r="E64" i="46"/>
  <c r="F64" i="46" s="1"/>
  <c r="F63" i="46"/>
  <c r="G63" i="46" s="1"/>
  <c r="O35" i="46"/>
  <c r="R35" i="46" s="1"/>
  <c r="F35" i="46"/>
  <c r="F43" i="46" s="1"/>
  <c r="E26" i="46"/>
  <c r="O26" i="46" s="1"/>
  <c r="E19" i="46"/>
  <c r="O19" i="46" s="1"/>
  <c r="O12" i="46"/>
  <c r="P12" i="46" s="1"/>
  <c r="F12" i="46"/>
  <c r="S9" i="46"/>
  <c r="O9" i="46"/>
  <c r="I8" i="47" l="1"/>
  <c r="P110" i="47" s="1"/>
  <c r="Y10" i="47"/>
  <c r="BB17" i="47"/>
  <c r="C9" i="47" s="1"/>
  <c r="Y16" i="47"/>
  <c r="E23" i="47"/>
  <c r="M51" i="47"/>
  <c r="O51" i="47" s="1"/>
  <c r="F26" i="46"/>
  <c r="Z21" i="47"/>
  <c r="Z23" i="47" s="1"/>
  <c r="K23" i="44"/>
  <c r="X18" i="47"/>
  <c r="AI18" i="47" s="1"/>
  <c r="I23" i="47"/>
  <c r="BB43" i="47"/>
  <c r="M23" i="47"/>
  <c r="V16" i="47"/>
  <c r="AI16" i="47" s="1"/>
  <c r="T21" i="47"/>
  <c r="T24" i="47" s="1"/>
  <c r="AO23" i="47"/>
  <c r="M24" i="47"/>
  <c r="AC17" i="47"/>
  <c r="AF17" i="47" s="1"/>
  <c r="Q12" i="46"/>
  <c r="F116" i="46"/>
  <c r="L118" i="47"/>
  <c r="M33" i="47"/>
  <c r="DM69" i="47"/>
  <c r="AA23" i="47"/>
  <c r="AA24" i="47"/>
  <c r="Q24" i="47"/>
  <c r="Q23" i="47"/>
  <c r="AF20" i="47"/>
  <c r="C154" i="47"/>
  <c r="C109" i="47"/>
  <c r="M110" i="47"/>
  <c r="N110" i="47"/>
  <c r="L117" i="47"/>
  <c r="W18" i="47"/>
  <c r="V19" i="47"/>
  <c r="O118" i="47"/>
  <c r="P118" i="47"/>
  <c r="N34" i="47"/>
  <c r="F34" i="47"/>
  <c r="P34" i="47" s="1"/>
  <c r="N38" i="47"/>
  <c r="G38" i="47"/>
  <c r="J38" i="47" s="1"/>
  <c r="D23" i="47"/>
  <c r="H23" i="47"/>
  <c r="AN23" i="47"/>
  <c r="K24" i="47"/>
  <c r="DL99" i="47"/>
  <c r="D159" i="47"/>
  <c r="D161" i="47"/>
  <c r="E167" i="47"/>
  <c r="W19" i="47"/>
  <c r="AD20" i="47"/>
  <c r="J45" i="47"/>
  <c r="E159" i="47"/>
  <c r="E161" i="47"/>
  <c r="I45" i="47"/>
  <c r="P45" i="47" s="1"/>
  <c r="Y18" i="47"/>
  <c r="X19" i="47"/>
  <c r="AI19" i="47" s="1"/>
  <c r="G36" i="47"/>
  <c r="J36" i="47" s="1"/>
  <c r="F36" i="47"/>
  <c r="N40" i="47"/>
  <c r="G40" i="47"/>
  <c r="H40" i="47" s="1"/>
  <c r="F40" i="47"/>
  <c r="J23" i="47"/>
  <c r="N23" i="47"/>
  <c r="AL23" i="47"/>
  <c r="AP23" i="47"/>
  <c r="G24" i="47"/>
  <c r="D35" i="47"/>
  <c r="D39" i="47"/>
  <c r="G39" i="47" s="1"/>
  <c r="O116" i="47"/>
  <c r="P116" i="47"/>
  <c r="AD17" i="47"/>
  <c r="AH17" i="47"/>
  <c r="BF17" i="47"/>
  <c r="V18" i="47"/>
  <c r="P117" i="47"/>
  <c r="O117" i="47"/>
  <c r="AD18" i="47"/>
  <c r="Y19" i="47"/>
  <c r="BE19" i="47"/>
  <c r="BF19" i="47" s="1"/>
  <c r="D31" i="47"/>
  <c r="G31" i="47" s="1"/>
  <c r="D33" i="47"/>
  <c r="K33" i="47" s="1"/>
  <c r="L33" i="47" s="1"/>
  <c r="BE21" i="47"/>
  <c r="BB21" i="47" s="1"/>
  <c r="K23" i="47"/>
  <c r="O23" i="47"/>
  <c r="AM23" i="47"/>
  <c r="J24" i="47"/>
  <c r="N36" i="47"/>
  <c r="DM77" i="47"/>
  <c r="DM72" i="47"/>
  <c r="DM76" i="47"/>
  <c r="DM73" i="47"/>
  <c r="DM75" i="47"/>
  <c r="DM74" i="47"/>
  <c r="H41" i="47"/>
  <c r="M41" i="47" s="1"/>
  <c r="I42" i="47"/>
  <c r="P42" i="47" s="1"/>
  <c r="M44" i="47"/>
  <c r="O44" i="47" s="1"/>
  <c r="J42" i="47"/>
  <c r="H45" i="47"/>
  <c r="M45" i="47" s="1"/>
  <c r="H42" i="47"/>
  <c r="M48" i="47"/>
  <c r="O48" i="47" s="1"/>
  <c r="P26" i="46"/>
  <c r="Q26" i="46" s="1"/>
  <c r="R26" i="46"/>
  <c r="R19" i="46"/>
  <c r="P19" i="46"/>
  <c r="Q19" i="46" s="1"/>
  <c r="S19" i="46" s="1"/>
  <c r="G19" i="46" s="1"/>
  <c r="R12" i="46"/>
  <c r="P35" i="46"/>
  <c r="G64" i="46"/>
  <c r="F19" i="46"/>
  <c r="F33" i="46" s="1"/>
  <c r="AE16" i="47" l="1"/>
  <c r="AQ16" i="47"/>
  <c r="I40" i="47"/>
  <c r="F45" i="46"/>
  <c r="F46" i="46"/>
  <c r="E31" i="47"/>
  <c r="T23" i="47"/>
  <c r="Q33" i="47"/>
  <c r="S12" i="46"/>
  <c r="G12" i="46" s="1"/>
  <c r="H12" i="46" s="1"/>
  <c r="J12" i="46" s="1"/>
  <c r="J40" i="47"/>
  <c r="J39" i="47"/>
  <c r="H39" i="47"/>
  <c r="Q39" i="47" s="1"/>
  <c r="M40" i="47"/>
  <c r="O40" i="47" s="1"/>
  <c r="M42" i="47"/>
  <c r="O42" i="47" s="1"/>
  <c r="E33" i="47"/>
  <c r="P33" i="47" s="1"/>
  <c r="O41" i="47"/>
  <c r="I39" i="47"/>
  <c r="N33" i="47"/>
  <c r="H31" i="47"/>
  <c r="Q31" i="47" s="1"/>
  <c r="V17" i="47"/>
  <c r="I36" i="47"/>
  <c r="P36" i="47" s="1"/>
  <c r="K39" i="47"/>
  <c r="L39" i="47" s="1"/>
  <c r="K35" i="47"/>
  <c r="L35" i="47" s="1"/>
  <c r="AF19" i="47"/>
  <c r="AF21" i="47" s="1"/>
  <c r="AF23" i="47" s="1"/>
  <c r="L116" i="47"/>
  <c r="X17" i="47"/>
  <c r="E39" i="47"/>
  <c r="I38" i="47"/>
  <c r="P38" i="47" s="1"/>
  <c r="W17" i="47"/>
  <c r="DR72" i="47"/>
  <c r="DS72" i="47" s="1"/>
  <c r="DR64" i="47"/>
  <c r="DS64" i="47" s="1"/>
  <c r="DR74" i="47"/>
  <c r="DS74" i="47" s="1"/>
  <c r="DR73" i="47"/>
  <c r="DS73" i="47" s="1"/>
  <c r="DR70" i="47"/>
  <c r="DS70" i="47" s="1"/>
  <c r="DR65" i="47"/>
  <c r="DS65" i="47" s="1"/>
  <c r="DR67" i="47"/>
  <c r="DS67" i="47" s="1"/>
  <c r="DR66" i="47"/>
  <c r="DS66" i="47" s="1"/>
  <c r="DR63" i="47"/>
  <c r="DR71" i="47"/>
  <c r="DS71" i="47" s="1"/>
  <c r="DR69" i="47"/>
  <c r="DS69" i="47" s="1"/>
  <c r="DR68" i="47"/>
  <c r="DS68" i="47" s="1"/>
  <c r="J31" i="47"/>
  <c r="M117" i="47"/>
  <c r="N117" i="47"/>
  <c r="AQ18" i="47"/>
  <c r="AS18" i="47" s="1"/>
  <c r="AE18" i="47"/>
  <c r="AG18" i="47" s="1"/>
  <c r="Q117" i="47" s="1"/>
  <c r="P120" i="47"/>
  <c r="C165" i="47" s="1"/>
  <c r="H36" i="47"/>
  <c r="P40" i="47"/>
  <c r="Y17" i="47"/>
  <c r="E35" i="47"/>
  <c r="H38" i="47"/>
  <c r="BB19" i="47"/>
  <c r="K31" i="47"/>
  <c r="L31" i="47" s="1"/>
  <c r="O45" i="47"/>
  <c r="I31" i="47"/>
  <c r="G35" i="47"/>
  <c r="I35" i="47" s="1"/>
  <c r="N118" i="47"/>
  <c r="M118" i="47"/>
  <c r="AE19" i="47"/>
  <c r="AG19" i="47" s="1"/>
  <c r="AC21" i="47"/>
  <c r="AC23" i="47" s="1"/>
  <c r="H19" i="46"/>
  <c r="J19" i="46" s="1"/>
  <c r="Q35" i="46"/>
  <c r="S35" i="46" s="1"/>
  <c r="G35" i="46" s="1"/>
  <c r="S26" i="46"/>
  <c r="G26" i="46" s="1"/>
  <c r="N31" i="47" l="1"/>
  <c r="N39" i="47"/>
  <c r="F20" i="47"/>
  <c r="I12" i="46"/>
  <c r="AI17" i="47"/>
  <c r="V118" i="47"/>
  <c r="P35" i="47"/>
  <c r="M38" i="47"/>
  <c r="O38" i="47" s="1"/>
  <c r="V117" i="47"/>
  <c r="P39" i="47"/>
  <c r="C155" i="47"/>
  <c r="BB24" i="47"/>
  <c r="C10" i="47"/>
  <c r="C110" i="47" s="1"/>
  <c r="M36" i="47"/>
  <c r="O36" i="47" s="1"/>
  <c r="DR75" i="47"/>
  <c r="DS77" i="47" s="1"/>
  <c r="DW66" i="47" s="1"/>
  <c r="DS63" i="47"/>
  <c r="N35" i="47"/>
  <c r="AX18" i="47"/>
  <c r="P31" i="47"/>
  <c r="J35" i="47"/>
  <c r="Q118" i="47"/>
  <c r="X117" i="47"/>
  <c r="AR18" i="47"/>
  <c r="AT18" i="47" s="1"/>
  <c r="AU18" i="47" s="1"/>
  <c r="H35" i="47"/>
  <c r="N116" i="47"/>
  <c r="N120" i="47" s="1"/>
  <c r="C164" i="47" s="1"/>
  <c r="M116" i="47"/>
  <c r="C43" i="47"/>
  <c r="AQ17" i="47"/>
  <c r="AS17" i="47" s="1"/>
  <c r="AE17" i="47"/>
  <c r="M31" i="47"/>
  <c r="O31" i="47" s="1"/>
  <c r="M39" i="47"/>
  <c r="O39" i="47" s="1"/>
  <c r="H35" i="46"/>
  <c r="J35" i="46" s="1"/>
  <c r="H26" i="46"/>
  <c r="J26" i="46" s="1"/>
  <c r="L12" i="46"/>
  <c r="K12" i="46"/>
  <c r="M12" i="46" s="1"/>
  <c r="I19" i="46"/>
  <c r="C119" i="47" l="1"/>
  <c r="C120" i="47" s="1"/>
  <c r="D158" i="47" s="1"/>
  <c r="E158" i="47" s="1"/>
  <c r="R20" i="47"/>
  <c r="R21" i="47" s="1"/>
  <c r="F21" i="47"/>
  <c r="W117" i="47"/>
  <c r="AW18" i="47"/>
  <c r="AY18" i="47" s="1"/>
  <c r="AX17" i="47"/>
  <c r="M43" i="47"/>
  <c r="O43" i="47" s="1"/>
  <c r="Q43" i="47"/>
  <c r="X118" i="47"/>
  <c r="AG17" i="47"/>
  <c r="X116" i="47"/>
  <c r="DS76" i="47"/>
  <c r="DW64" i="47" s="1"/>
  <c r="DS75" i="47"/>
  <c r="U117" i="47"/>
  <c r="AX19" i="47"/>
  <c r="AR19" i="47"/>
  <c r="U118" i="47" s="1"/>
  <c r="AD21" i="47"/>
  <c r="V116" i="47"/>
  <c r="V120" i="47" s="1"/>
  <c r="C168" i="47" s="1"/>
  <c r="C169" i="47" s="1"/>
  <c r="M35" i="47"/>
  <c r="O35" i="47" s="1"/>
  <c r="Q35" i="47"/>
  <c r="Q53" i="47" s="1"/>
  <c r="L19" i="46"/>
  <c r="K19" i="46"/>
  <c r="M19" i="46" s="1"/>
  <c r="I35" i="46"/>
  <c r="I26" i="46"/>
  <c r="F23" i="47" l="1"/>
  <c r="C32" i="47"/>
  <c r="R24" i="47"/>
  <c r="R23" i="47"/>
  <c r="X120" i="47"/>
  <c r="X122" i="47" s="1"/>
  <c r="X124" i="47" s="1"/>
  <c r="AT19" i="47"/>
  <c r="AU19" i="47" s="1"/>
  <c r="W118" i="47" s="1"/>
  <c r="AR17" i="47"/>
  <c r="AT17" i="47" s="1"/>
  <c r="Q116" i="47"/>
  <c r="AD23" i="47"/>
  <c r="AD24" i="47"/>
  <c r="L26" i="46"/>
  <c r="K26" i="46"/>
  <c r="M26" i="46" s="1"/>
  <c r="L35" i="46"/>
  <c r="K35" i="46"/>
  <c r="M35" i="46" s="1"/>
  <c r="M42" i="46" s="1"/>
  <c r="M46" i="46" s="1"/>
  <c r="L42" i="46" l="1"/>
  <c r="L46" i="46" s="1"/>
  <c r="F32" i="47"/>
  <c r="N32" i="47"/>
  <c r="G32" i="47"/>
  <c r="H32" i="47" s="1"/>
  <c r="M32" i="47" s="1"/>
  <c r="O32" i="47" s="1"/>
  <c r="I32" i="47"/>
  <c r="J32" i="47"/>
  <c r="AW19" i="47"/>
  <c r="AY19" i="47" s="1"/>
  <c r="AU17" i="47"/>
  <c r="U116" i="47"/>
  <c r="E25" i="44"/>
  <c r="F25" i="44" s="1"/>
  <c r="E21" i="44"/>
  <c r="E20" i="44" s="1"/>
  <c r="F20" i="44" s="1"/>
  <c r="P32" i="47" l="1"/>
  <c r="F21" i="44"/>
  <c r="W116" i="47"/>
  <c r="AW17" i="47"/>
  <c r="AY17" i="47" s="1"/>
  <c r="E16" i="44"/>
  <c r="H24" i="44" l="1"/>
  <c r="J24" i="44" s="1"/>
  <c r="F24" i="44"/>
  <c r="E26" i="44"/>
  <c r="F26" i="44" s="1"/>
  <c r="U20" i="47" s="1"/>
  <c r="U21" i="47" s="1"/>
  <c r="U23" i="47" s="1"/>
  <c r="I24" i="44" l="1"/>
  <c r="H20" i="44"/>
  <c r="J20" i="44" s="1"/>
  <c r="H21" i="44"/>
  <c r="I21" i="44" s="1"/>
  <c r="R43" i="45"/>
  <c r="T43" i="45" s="1"/>
  <c r="E42" i="45"/>
  <c r="E41" i="45"/>
  <c r="R40" i="45"/>
  <c r="T40" i="45" s="1"/>
  <c r="R39" i="45"/>
  <c r="T39" i="45" s="1"/>
  <c r="E38" i="45"/>
  <c r="E37" i="45"/>
  <c r="F37" i="45" s="1"/>
  <c r="E36" i="45"/>
  <c r="R35" i="45"/>
  <c r="T35" i="45" s="1"/>
  <c r="R34" i="45"/>
  <c r="T34" i="45" s="1"/>
  <c r="E33" i="45"/>
  <c r="F33" i="45" s="1"/>
  <c r="E32" i="45"/>
  <c r="F32" i="45" s="1"/>
  <c r="R31" i="45"/>
  <c r="T31" i="45" s="1"/>
  <c r="R30" i="45"/>
  <c r="R29" i="45"/>
  <c r="T29" i="45" s="1"/>
  <c r="R28" i="45"/>
  <c r="R27" i="45"/>
  <c r="T27" i="45" s="1"/>
  <c r="E24" i="45"/>
  <c r="F24" i="45" s="1"/>
  <c r="R23" i="45"/>
  <c r="R22" i="45"/>
  <c r="T22" i="45" s="1"/>
  <c r="E21" i="45"/>
  <c r="E20" i="45"/>
  <c r="E19" i="45"/>
  <c r="E18" i="45"/>
  <c r="E17" i="45"/>
  <c r="R16" i="45"/>
  <c r="T16" i="45" s="1"/>
  <c r="E15" i="45"/>
  <c r="E14" i="45"/>
  <c r="E13" i="45"/>
  <c r="V10" i="45"/>
  <c r="R10" i="45"/>
  <c r="H26" i="44"/>
  <c r="J26" i="44" s="1"/>
  <c r="H25" i="44"/>
  <c r="I25" i="44" s="1"/>
  <c r="L25" i="44" s="1"/>
  <c r="H22" i="44"/>
  <c r="J22" i="44" s="1"/>
  <c r="H19" i="44"/>
  <c r="J19" i="44" s="1"/>
  <c r="F19" i="44"/>
  <c r="F27" i="44" s="1"/>
  <c r="L20" i="47" s="1"/>
  <c r="S20" i="47" s="1"/>
  <c r="V40" i="45" l="1"/>
  <c r="G40" i="45" s="1"/>
  <c r="R33" i="45"/>
  <c r="T33" i="45" s="1"/>
  <c r="R41" i="45"/>
  <c r="T41" i="45" s="1"/>
  <c r="F41" i="45"/>
  <c r="R17" i="45"/>
  <c r="T17" i="45" s="1"/>
  <c r="F17" i="45"/>
  <c r="R20" i="45"/>
  <c r="T20" i="45" s="1"/>
  <c r="F20" i="45"/>
  <c r="R21" i="45"/>
  <c r="T21" i="45" s="1"/>
  <c r="F21" i="45"/>
  <c r="R38" i="45"/>
  <c r="T38" i="45" s="1"/>
  <c r="F38" i="45"/>
  <c r="V34" i="45"/>
  <c r="G34" i="45" s="1"/>
  <c r="R36" i="45"/>
  <c r="T36" i="45" s="1"/>
  <c r="F36" i="45"/>
  <c r="I22" i="44"/>
  <c r="L22" i="44" s="1"/>
  <c r="T23" i="45"/>
  <c r="V23" i="45" s="1"/>
  <c r="G23" i="45" s="1"/>
  <c r="H23" i="45" s="1"/>
  <c r="J23" i="45" s="1"/>
  <c r="R13" i="45"/>
  <c r="T13" i="45" s="1"/>
  <c r="F13" i="45"/>
  <c r="R15" i="45"/>
  <c r="F15" i="45"/>
  <c r="T28" i="45"/>
  <c r="V28" i="45" s="1"/>
  <c r="G28" i="45" s="1"/>
  <c r="H28" i="45" s="1"/>
  <c r="J28" i="45" s="1"/>
  <c r="T30" i="45"/>
  <c r="V30" i="45" s="1"/>
  <c r="G30" i="45" s="1"/>
  <c r="H30" i="45" s="1"/>
  <c r="J30" i="45" s="1"/>
  <c r="R18" i="45"/>
  <c r="T18" i="45" s="1"/>
  <c r="F18" i="45"/>
  <c r="R19" i="45"/>
  <c r="T19" i="45" s="1"/>
  <c r="F19" i="45"/>
  <c r="R32" i="45"/>
  <c r="T32" i="45" s="1"/>
  <c r="R42" i="45"/>
  <c r="T42" i="45" s="1"/>
  <c r="F42" i="45"/>
  <c r="V22" i="45"/>
  <c r="G22" i="45" s="1"/>
  <c r="H22" i="45" s="1"/>
  <c r="J22" i="45" s="1"/>
  <c r="R14" i="45"/>
  <c r="T14" i="45" s="1"/>
  <c r="F14" i="45"/>
  <c r="R37" i="45"/>
  <c r="T37" i="45" s="1"/>
  <c r="I20" i="44"/>
  <c r="L20" i="44" s="1"/>
  <c r="J21" i="44"/>
  <c r="K21" i="44" s="1"/>
  <c r="M21" i="44" s="1"/>
  <c r="G119" i="47"/>
  <c r="G120" i="47" s="1"/>
  <c r="D160" i="47" s="1"/>
  <c r="AB20" i="47"/>
  <c r="L21" i="47"/>
  <c r="AH20" i="47"/>
  <c r="L24" i="44"/>
  <c r="K24" i="44"/>
  <c r="J25" i="44"/>
  <c r="K25" i="44" s="1"/>
  <c r="M25" i="44" s="1"/>
  <c r="L21" i="44"/>
  <c r="V36" i="45"/>
  <c r="G36" i="45" s="1"/>
  <c r="V20" i="45"/>
  <c r="G20" i="45" s="1"/>
  <c r="H40" i="45"/>
  <c r="J40" i="45" s="1"/>
  <c r="V21" i="45"/>
  <c r="G21" i="45" s="1"/>
  <c r="H34" i="45"/>
  <c r="J34" i="45" s="1"/>
  <c r="R25" i="45"/>
  <c r="T25" i="45" s="1"/>
  <c r="V35" i="45"/>
  <c r="G35" i="45" s="1"/>
  <c r="V39" i="45"/>
  <c r="G39" i="45" s="1"/>
  <c r="V41" i="45"/>
  <c r="G41" i="45" s="1"/>
  <c r="V16" i="45"/>
  <c r="G16" i="45" s="1"/>
  <c r="V43" i="45"/>
  <c r="G43" i="45" s="1"/>
  <c r="V13" i="45"/>
  <c r="G13" i="45" s="1"/>
  <c r="R24" i="45"/>
  <c r="T24" i="45" s="1"/>
  <c r="R26" i="45"/>
  <c r="T26" i="45" s="1"/>
  <c r="V31" i="45"/>
  <c r="G31" i="45" s="1"/>
  <c r="V27" i="45"/>
  <c r="G27" i="45" s="1"/>
  <c r="V29" i="45"/>
  <c r="G29" i="45" s="1"/>
  <c r="V33" i="45"/>
  <c r="G33" i="45" s="1"/>
  <c r="I19" i="44"/>
  <c r="L19" i="44" s="1"/>
  <c r="H16" i="44"/>
  <c r="J16" i="44" s="1"/>
  <c r="K22" i="44"/>
  <c r="M22" i="44" s="1"/>
  <c r="I26" i="44"/>
  <c r="K20" i="44" l="1"/>
  <c r="M20" i="44" s="1"/>
  <c r="V18" i="45"/>
  <c r="G18" i="45" s="1"/>
  <c r="V17" i="45"/>
  <c r="G17" i="45" s="1"/>
  <c r="V37" i="45"/>
  <c r="G37" i="45" s="1"/>
  <c r="T15" i="45"/>
  <c r="V15" i="45" s="1"/>
  <c r="G15" i="45" s="1"/>
  <c r="F44" i="45"/>
  <c r="P20" i="47" s="1"/>
  <c r="W20" i="47" s="1"/>
  <c r="W21" i="47" s="1"/>
  <c r="V32" i="45"/>
  <c r="G32" i="45" s="1"/>
  <c r="H32" i="45" s="1"/>
  <c r="J32" i="45" s="1"/>
  <c r="V19" i="45"/>
  <c r="G19" i="45" s="1"/>
  <c r="V42" i="45"/>
  <c r="G42" i="45" s="1"/>
  <c r="H42" i="45" s="1"/>
  <c r="J42" i="45" s="1"/>
  <c r="V38" i="45"/>
  <c r="G38" i="45" s="1"/>
  <c r="V14" i="45"/>
  <c r="G14" i="45" s="1"/>
  <c r="V20" i="47"/>
  <c r="E160" i="47"/>
  <c r="S21" i="47"/>
  <c r="L119" i="47"/>
  <c r="L120" i="47" s="1"/>
  <c r="D163" i="47" s="1"/>
  <c r="E163" i="47" s="1"/>
  <c r="J27" i="47"/>
  <c r="C37" i="47"/>
  <c r="L24" i="47"/>
  <c r="L23" i="47"/>
  <c r="AH21" i="47"/>
  <c r="AB21" i="47"/>
  <c r="AB23" i="47" s="1"/>
  <c r="O119" i="47"/>
  <c r="O120" i="47" s="1"/>
  <c r="D165" i="47" s="1"/>
  <c r="E165" i="47" s="1"/>
  <c r="I16" i="44"/>
  <c r="K16" i="44" s="1"/>
  <c r="M16" i="44" s="1"/>
  <c r="H31" i="45"/>
  <c r="J31" i="45" s="1"/>
  <c r="H41" i="45"/>
  <c r="J41" i="45" s="1"/>
  <c r="H17" i="45"/>
  <c r="J17" i="45" s="1"/>
  <c r="H36" i="45"/>
  <c r="J36" i="45" s="1"/>
  <c r="H13" i="45"/>
  <c r="J13" i="45" s="1"/>
  <c r="H29" i="45"/>
  <c r="J29" i="45" s="1"/>
  <c r="H16" i="45"/>
  <c r="J16" i="45" s="1"/>
  <c r="H18" i="45"/>
  <c r="J18" i="45" s="1"/>
  <c r="H14" i="45"/>
  <c r="J14" i="45" s="1"/>
  <c r="H37" i="45"/>
  <c r="J37" i="45" s="1"/>
  <c r="I37" i="45"/>
  <c r="H21" i="45"/>
  <c r="J21" i="45" s="1"/>
  <c r="V26" i="45"/>
  <c r="G26" i="45" s="1"/>
  <c r="H43" i="45"/>
  <c r="J43" i="45" s="1"/>
  <c r="H20" i="45"/>
  <c r="J20" i="45" s="1"/>
  <c r="I20" i="45"/>
  <c r="H19" i="45"/>
  <c r="J19" i="45" s="1"/>
  <c r="H33" i="45"/>
  <c r="J33" i="45" s="1"/>
  <c r="V25" i="45"/>
  <c r="G25" i="45" s="1"/>
  <c r="I30" i="45"/>
  <c r="V24" i="45"/>
  <c r="G24" i="45" s="1"/>
  <c r="I23" i="45"/>
  <c r="I40" i="45"/>
  <c r="I22" i="45"/>
  <c r="H27" i="45"/>
  <c r="J27" i="45" s="1"/>
  <c r="H39" i="45"/>
  <c r="J39" i="45" s="1"/>
  <c r="H35" i="45"/>
  <c r="J35" i="45" s="1"/>
  <c r="I34" i="45"/>
  <c r="I28" i="45"/>
  <c r="K19" i="44"/>
  <c r="M19" i="44" s="1"/>
  <c r="K26" i="44"/>
  <c r="M26" i="44" s="1"/>
  <c r="L26" i="44"/>
  <c r="H15" i="45" l="1"/>
  <c r="J15" i="45" s="1"/>
  <c r="I15" i="45"/>
  <c r="H38" i="45"/>
  <c r="J38" i="45" s="1"/>
  <c r="K119" i="47"/>
  <c r="K120" i="47" s="1"/>
  <c r="D162" i="47" s="1"/>
  <c r="E162" i="47" s="1"/>
  <c r="P21" i="47"/>
  <c r="P23" i="47" s="1"/>
  <c r="Y20" i="47"/>
  <c r="Y21" i="47" s="1"/>
  <c r="Y23" i="47" s="1"/>
  <c r="X20" i="47"/>
  <c r="AE20" i="47"/>
  <c r="AX20" i="47" s="1"/>
  <c r="AQ20" i="47"/>
  <c r="AQ21" i="47" s="1"/>
  <c r="AQ23" i="47" s="1"/>
  <c r="V21" i="47"/>
  <c r="V23" i="47" s="1"/>
  <c r="S23" i="47"/>
  <c r="S24" i="47"/>
  <c r="M27" i="44"/>
  <c r="M29" i="44" s="1"/>
  <c r="AH23" i="47"/>
  <c r="AH24" i="47"/>
  <c r="W24" i="47"/>
  <c r="W23" i="47"/>
  <c r="AB24" i="47"/>
  <c r="N37" i="47"/>
  <c r="N53" i="47" s="1"/>
  <c r="F37" i="47"/>
  <c r="G37" i="47"/>
  <c r="H37" i="47" s="1"/>
  <c r="I36" i="45"/>
  <c r="I35" i="45"/>
  <c r="L35" i="45" s="1"/>
  <c r="I18" i="45"/>
  <c r="K18" i="45" s="1"/>
  <c r="M18" i="45" s="1"/>
  <c r="I13" i="45"/>
  <c r="L13" i="45" s="1"/>
  <c r="L16" i="44"/>
  <c r="L27" i="44"/>
  <c r="L29" i="44" s="1"/>
  <c r="H25" i="45"/>
  <c r="J25" i="45" s="1"/>
  <c r="L20" i="45"/>
  <c r="K20" i="45"/>
  <c r="M20" i="45" s="1"/>
  <c r="H26" i="45"/>
  <c r="J26" i="45" s="1"/>
  <c r="L37" i="45"/>
  <c r="K37" i="45"/>
  <c r="M37" i="45" s="1"/>
  <c r="L36" i="45"/>
  <c r="K36" i="45"/>
  <c r="M36" i="45" s="1"/>
  <c r="L15" i="45"/>
  <c r="K15" i="45"/>
  <c r="M15" i="45" s="1"/>
  <c r="I27" i="45"/>
  <c r="H24" i="45"/>
  <c r="J24" i="45" s="1"/>
  <c r="I33" i="45"/>
  <c r="I29" i="45"/>
  <c r="I41" i="45"/>
  <c r="K23" i="45"/>
  <c r="M23" i="45" s="1"/>
  <c r="L23" i="45"/>
  <c r="K28" i="45"/>
  <c r="M28" i="45" s="1"/>
  <c r="L28" i="45"/>
  <c r="I39" i="45"/>
  <c r="L22" i="45"/>
  <c r="K22" i="45"/>
  <c r="M22" i="45" s="1"/>
  <c r="I19" i="45"/>
  <c r="I21" i="45"/>
  <c r="I16" i="45"/>
  <c r="I17" i="45"/>
  <c r="L34" i="45"/>
  <c r="K34" i="45"/>
  <c r="M34" i="45" s="1"/>
  <c r="K40" i="45"/>
  <c r="M40" i="45" s="1"/>
  <c r="L40" i="45"/>
  <c r="K30" i="45"/>
  <c r="M30" i="45" s="1"/>
  <c r="L30" i="45"/>
  <c r="I42" i="45"/>
  <c r="I43" i="45"/>
  <c r="I32" i="45"/>
  <c r="I14" i="45"/>
  <c r="I31" i="45"/>
  <c r="M119" i="47" l="1"/>
  <c r="M120" i="47" s="1"/>
  <c r="D164" i="47" s="1"/>
  <c r="E164" i="47" s="1"/>
  <c r="X21" i="47"/>
  <c r="AI20" i="47"/>
  <c r="AI21" i="47" s="1"/>
  <c r="AI23" i="47" s="1"/>
  <c r="K35" i="45"/>
  <c r="M35" i="45" s="1"/>
  <c r="I26" i="45"/>
  <c r="L26" i="45" s="1"/>
  <c r="I38" i="45"/>
  <c r="V24" i="47"/>
  <c r="AS20" i="47"/>
  <c r="AS21" i="47" s="1"/>
  <c r="AS23" i="47" s="1"/>
  <c r="AG20" i="47"/>
  <c r="AG21" i="47" s="1"/>
  <c r="AG24" i="47" s="1"/>
  <c r="AE21" i="47"/>
  <c r="AX21" i="47" s="1"/>
  <c r="J37" i="47"/>
  <c r="I37" i="47"/>
  <c r="I53" i="47" s="1"/>
  <c r="H53" i="47"/>
  <c r="M37" i="47"/>
  <c r="L18" i="45"/>
  <c r="K13" i="45"/>
  <c r="M13" i="45" s="1"/>
  <c r="L31" i="45"/>
  <c r="K31" i="45"/>
  <c r="M31" i="45" s="1"/>
  <c r="L32" i="45"/>
  <c r="K32" i="45"/>
  <c r="M32" i="45" s="1"/>
  <c r="L16" i="45"/>
  <c r="K16" i="45"/>
  <c r="M16" i="45" s="1"/>
  <c r="L33" i="45"/>
  <c r="K33" i="45"/>
  <c r="M33" i="45" s="1"/>
  <c r="L43" i="45"/>
  <c r="K43" i="45"/>
  <c r="M43" i="45" s="1"/>
  <c r="L21" i="45"/>
  <c r="K21" i="45"/>
  <c r="M21" i="45" s="1"/>
  <c r="L39" i="45"/>
  <c r="K39" i="45"/>
  <c r="M39" i="45" s="1"/>
  <c r="I24" i="45"/>
  <c r="L42" i="45"/>
  <c r="K42" i="45"/>
  <c r="M42" i="45" s="1"/>
  <c r="L19" i="45"/>
  <c r="K19" i="45"/>
  <c r="M19" i="45" s="1"/>
  <c r="L41" i="45"/>
  <c r="K41" i="45"/>
  <c r="M41" i="45" s="1"/>
  <c r="K26" i="45"/>
  <c r="M26" i="45" s="1"/>
  <c r="K14" i="45"/>
  <c r="M14" i="45" s="1"/>
  <c r="L14" i="45"/>
  <c r="L17" i="45"/>
  <c r="K17" i="45"/>
  <c r="M17" i="45" s="1"/>
  <c r="L29" i="45"/>
  <c r="K29" i="45"/>
  <c r="M29" i="45" s="1"/>
  <c r="L27" i="45"/>
  <c r="K27" i="45"/>
  <c r="M27" i="45" s="1"/>
  <c r="I25" i="45"/>
  <c r="AE24" i="47" l="1"/>
  <c r="K38" i="45"/>
  <c r="M38" i="45" s="1"/>
  <c r="L38" i="45"/>
  <c r="X23" i="47"/>
  <c r="X24" i="47"/>
  <c r="AI24" i="47" s="1"/>
  <c r="AV24" i="47" s="1"/>
  <c r="AG23" i="47"/>
  <c r="AE23" i="47"/>
  <c r="H55" i="47"/>
  <c r="P37" i="47"/>
  <c r="P53" i="47" s="1"/>
  <c r="Q119" i="47"/>
  <c r="Q120" i="47" s="1"/>
  <c r="D166" i="47" s="1"/>
  <c r="E166" i="47" s="1"/>
  <c r="AR20" i="47"/>
  <c r="AT20" i="47" s="1"/>
  <c r="O37" i="47"/>
  <c r="O53" i="47" s="1"/>
  <c r="M53" i="47"/>
  <c r="K24" i="45"/>
  <c r="M24" i="45" s="1"/>
  <c r="L24" i="45"/>
  <c r="K25" i="45"/>
  <c r="M25" i="45" s="1"/>
  <c r="L25" i="45"/>
  <c r="AT24" i="47" l="1"/>
  <c r="AU24" i="47" s="1"/>
  <c r="AT21" i="47"/>
  <c r="AU20" i="47"/>
  <c r="W119" i="47" s="1"/>
  <c r="W120" i="47" s="1"/>
  <c r="AR21" i="47"/>
  <c r="AR23" i="47" s="1"/>
  <c r="U119" i="47"/>
  <c r="U120" i="47" s="1"/>
  <c r="D168" i="47" s="1"/>
  <c r="AU21" i="47"/>
  <c r="M44" i="45"/>
  <c r="M46" i="45" s="1"/>
  <c r="L44" i="45"/>
  <c r="L46" i="45" s="1"/>
  <c r="BM15" i="47" l="1"/>
  <c r="G138" i="47" s="1"/>
  <c r="W123" i="47"/>
  <c r="E172" i="47" s="1"/>
  <c r="AW24" i="47"/>
  <c r="AW20" i="47"/>
  <c r="AY20" i="47" s="1"/>
  <c r="E168" i="47"/>
  <c r="E169" i="47" s="1"/>
  <c r="D169" i="47"/>
  <c r="BI1" i="47"/>
  <c r="AW21" i="47"/>
  <c r="AY21" i="47" s="1"/>
  <c r="BI9" i="47" l="1"/>
  <c r="BI13" i="47"/>
  <c r="BI11" i="47"/>
  <c r="BI10" i="47"/>
  <c r="BI12" i="47"/>
  <c r="BK11" i="47" l="1"/>
  <c r="BJ11" i="47"/>
  <c r="D134" i="47" s="1"/>
  <c r="C134" i="47"/>
  <c r="BJ13" i="47"/>
  <c r="D136" i="47" s="1"/>
  <c r="BK13" i="47"/>
  <c r="C136" i="47"/>
  <c r="BK12" i="47"/>
  <c r="C135" i="47"/>
  <c r="BJ9" i="47"/>
  <c r="BI14" i="47"/>
  <c r="C137" i="47" s="1"/>
  <c r="C132" i="47"/>
  <c r="BK9" i="47"/>
  <c r="C133" i="47"/>
  <c r="BJ10" i="47"/>
  <c r="D133" i="47" s="1"/>
  <c r="BK10" i="47"/>
  <c r="V28" i="43"/>
  <c r="G28" i="43" s="1"/>
  <c r="V29" i="43"/>
  <c r="G29" i="43" s="1"/>
  <c r="T28" i="43"/>
  <c r="T29" i="43"/>
  <c r="T30" i="43"/>
  <c r="T34" i="43"/>
  <c r="T40" i="43"/>
  <c r="R14" i="43"/>
  <c r="T14" i="43" s="1"/>
  <c r="R16" i="43"/>
  <c r="T16" i="43" s="1"/>
  <c r="V16" i="43" s="1"/>
  <c r="G16" i="43" s="1"/>
  <c r="H16" i="43" s="1"/>
  <c r="R22" i="43"/>
  <c r="R23" i="43"/>
  <c r="T23" i="43" s="1"/>
  <c r="R27" i="43"/>
  <c r="T27" i="43" s="1"/>
  <c r="R28" i="43"/>
  <c r="R29" i="43"/>
  <c r="R30" i="43"/>
  <c r="R31" i="43"/>
  <c r="R32" i="43"/>
  <c r="R34" i="43"/>
  <c r="R35" i="43"/>
  <c r="T35" i="43" s="1"/>
  <c r="R36" i="43"/>
  <c r="T36" i="43" s="1"/>
  <c r="R37" i="43"/>
  <c r="T37" i="43" s="1"/>
  <c r="R38" i="43"/>
  <c r="T38" i="43" s="1"/>
  <c r="R40" i="43"/>
  <c r="V40" i="43" s="1"/>
  <c r="G40" i="43" s="1"/>
  <c r="H40" i="43" s="1"/>
  <c r="E14" i="43"/>
  <c r="E15" i="43"/>
  <c r="R15" i="43" s="1"/>
  <c r="T15" i="43" s="1"/>
  <c r="E17" i="43"/>
  <c r="R17" i="43" s="1"/>
  <c r="E18" i="43"/>
  <c r="R18" i="43" s="1"/>
  <c r="E19" i="43"/>
  <c r="R19" i="43" s="1"/>
  <c r="E20" i="43"/>
  <c r="R20" i="43" s="1"/>
  <c r="E21" i="43"/>
  <c r="R21" i="43" s="1"/>
  <c r="E24" i="43"/>
  <c r="R24" i="43" s="1"/>
  <c r="E25" i="43"/>
  <c r="R25" i="43" s="1"/>
  <c r="T25" i="43" s="1"/>
  <c r="E26" i="43"/>
  <c r="R26" i="43" s="1"/>
  <c r="T26" i="43" s="1"/>
  <c r="E32" i="43"/>
  <c r="E33" i="43"/>
  <c r="R33" i="43" s="1"/>
  <c r="E36" i="43"/>
  <c r="E37" i="43"/>
  <c r="E38" i="43"/>
  <c r="E39" i="43"/>
  <c r="R39" i="43" s="1"/>
  <c r="T39" i="43" s="1"/>
  <c r="E41" i="43"/>
  <c r="R41" i="43" s="1"/>
  <c r="E42" i="43"/>
  <c r="R42" i="43" s="1"/>
  <c r="E43" i="43"/>
  <c r="R43" i="43" s="1"/>
  <c r="V10" i="43"/>
  <c r="R10" i="43"/>
  <c r="T33" i="43" l="1"/>
  <c r="V33" i="43" s="1"/>
  <c r="G33" i="43" s="1"/>
  <c r="H33" i="43" s="1"/>
  <c r="T22" i="43"/>
  <c r="V22" i="43" s="1"/>
  <c r="G22" i="43" s="1"/>
  <c r="H22" i="43" s="1"/>
  <c r="I22" i="43" s="1"/>
  <c r="V30" i="43"/>
  <c r="G30" i="43" s="1"/>
  <c r="V34" i="43"/>
  <c r="G34" i="43" s="1"/>
  <c r="T32" i="43"/>
  <c r="V32" i="43" s="1"/>
  <c r="G32" i="43" s="1"/>
  <c r="H32" i="43" s="1"/>
  <c r="I32" i="43" s="1"/>
  <c r="T31" i="43"/>
  <c r="V31" i="43" s="1"/>
  <c r="G31" i="43" s="1"/>
  <c r="T20" i="43"/>
  <c r="V20" i="43" s="1"/>
  <c r="G20" i="43" s="1"/>
  <c r="T41" i="43"/>
  <c r="V41" i="43" s="1"/>
  <c r="G41" i="43" s="1"/>
  <c r="H29" i="43"/>
  <c r="I29" i="43"/>
  <c r="L29" i="43" s="1"/>
  <c r="H28" i="43"/>
  <c r="I28" i="43"/>
  <c r="T24" i="43"/>
  <c r="V24" i="43"/>
  <c r="G24" i="43" s="1"/>
  <c r="T21" i="43"/>
  <c r="V21" i="43" s="1"/>
  <c r="G21" i="43" s="1"/>
  <c r="H34" i="43"/>
  <c r="I34" i="43" s="1"/>
  <c r="T18" i="43"/>
  <c r="V18" i="43" s="1"/>
  <c r="G18" i="43" s="1"/>
  <c r="T17" i="43"/>
  <c r="V17" i="43" s="1"/>
  <c r="G17" i="43" s="1"/>
  <c r="T43" i="43"/>
  <c r="V43" i="43" s="1"/>
  <c r="G43" i="43" s="1"/>
  <c r="T42" i="43"/>
  <c r="V42" i="43" s="1"/>
  <c r="G42" i="43" s="1"/>
  <c r="T19" i="43"/>
  <c r="V19" i="43" s="1"/>
  <c r="G19" i="43" s="1"/>
  <c r="H30" i="43"/>
  <c r="I30" i="43" s="1"/>
  <c r="I40" i="43"/>
  <c r="I16" i="43"/>
  <c r="V39" i="43"/>
  <c r="G39" i="43" s="1"/>
  <c r="V27" i="43"/>
  <c r="G27" i="43" s="1"/>
  <c r="V15" i="43"/>
  <c r="G15" i="43" s="1"/>
  <c r="V38" i="43"/>
  <c r="G38" i="43" s="1"/>
  <c r="V26" i="43"/>
  <c r="G26" i="43" s="1"/>
  <c r="V14" i="43"/>
  <c r="G14" i="43" s="1"/>
  <c r="V25" i="43"/>
  <c r="G25" i="43" s="1"/>
  <c r="V36" i="43"/>
  <c r="G36" i="43" s="1"/>
  <c r="V35" i="43"/>
  <c r="G35" i="43" s="1"/>
  <c r="V23" i="43"/>
  <c r="G23" i="43" s="1"/>
  <c r="V37" i="43"/>
  <c r="G37" i="43" s="1"/>
  <c r="E134" i="47"/>
  <c r="BL11" i="47"/>
  <c r="E133" i="47"/>
  <c r="BL10" i="47"/>
  <c r="E135" i="47"/>
  <c r="BL12" i="47"/>
  <c r="BL9" i="47"/>
  <c r="E132" i="47"/>
  <c r="BK14" i="47"/>
  <c r="E137" i="47" s="1"/>
  <c r="BJ14" i="47"/>
  <c r="D137" i="47" s="1"/>
  <c r="D132" i="47"/>
  <c r="BM13" i="47"/>
  <c r="G136" i="47" s="1"/>
  <c r="E136" i="47"/>
  <c r="J29" i="43"/>
  <c r="E16" i="41"/>
  <c r="F16" i="41" s="1"/>
  <c r="H31" i="43" l="1"/>
  <c r="I31" i="43" s="1"/>
  <c r="L31" i="43" s="1"/>
  <c r="I33" i="43"/>
  <c r="J33" i="43"/>
  <c r="G16" i="41"/>
  <c r="I16" i="41" s="1"/>
  <c r="H21" i="43"/>
  <c r="J21" i="43" s="1"/>
  <c r="H20" i="43"/>
  <c r="I20" i="43" s="1"/>
  <c r="L20" i="43" s="1"/>
  <c r="H19" i="43"/>
  <c r="I19" i="43" s="1"/>
  <c r="L19" i="43" s="1"/>
  <c r="H43" i="43"/>
  <c r="I43" i="43" s="1"/>
  <c r="L43" i="43" s="1"/>
  <c r="H18" i="43"/>
  <c r="J18" i="43" s="1"/>
  <c r="H42" i="43"/>
  <c r="J42" i="43" s="1"/>
  <c r="H41" i="43"/>
  <c r="J41" i="43" s="1"/>
  <c r="H17" i="43"/>
  <c r="J17" i="43" s="1"/>
  <c r="I17" i="43"/>
  <c r="H35" i="43"/>
  <c r="I35" i="43" s="1"/>
  <c r="H26" i="43"/>
  <c r="J26" i="43" s="1"/>
  <c r="I26" i="43"/>
  <c r="L26" i="43" s="1"/>
  <c r="H37" i="43"/>
  <c r="J37" i="43" s="1"/>
  <c r="H25" i="43"/>
  <c r="J25" i="43" s="1"/>
  <c r="I25" i="43"/>
  <c r="K25" i="43" s="1"/>
  <c r="M25" i="43" s="1"/>
  <c r="H38" i="43"/>
  <c r="I38" i="43"/>
  <c r="L38" i="43" s="1"/>
  <c r="H36" i="43"/>
  <c r="I36" i="43" s="1"/>
  <c r="L36" i="43" s="1"/>
  <c r="H15" i="43"/>
  <c r="I15" i="43"/>
  <c r="L15" i="43" s="1"/>
  <c r="H14" i="43"/>
  <c r="I14" i="43"/>
  <c r="L14" i="43" s="1"/>
  <c r="H16" i="41"/>
  <c r="H27" i="43"/>
  <c r="I27" i="43"/>
  <c r="H24" i="43"/>
  <c r="J24" i="43" s="1"/>
  <c r="H23" i="43"/>
  <c r="I23" i="43"/>
  <c r="L23" i="43" s="1"/>
  <c r="H39" i="43"/>
  <c r="J39" i="43" s="1"/>
  <c r="F133" i="47"/>
  <c r="BM10" i="47"/>
  <c r="G133" i="47" s="1"/>
  <c r="F132" i="47"/>
  <c r="BL14" i="47"/>
  <c r="BM9" i="47"/>
  <c r="F135" i="47"/>
  <c r="BM12" i="47"/>
  <c r="G135" i="47" s="1"/>
  <c r="F134" i="47"/>
  <c r="BM11" i="47"/>
  <c r="G134" i="47" s="1"/>
  <c r="L33" i="43"/>
  <c r="J40" i="43"/>
  <c r="K40" i="43" s="1"/>
  <c r="M40" i="43" s="1"/>
  <c r="J32" i="43"/>
  <c r="K32" i="43" s="1"/>
  <c r="M32" i="43" s="1"/>
  <c r="J16" i="43"/>
  <c r="K16" i="43" s="1"/>
  <c r="M16" i="43" s="1"/>
  <c r="J31" i="43"/>
  <c r="J23" i="43"/>
  <c r="J28" i="43"/>
  <c r="K28" i="43" s="1"/>
  <c r="M28" i="43" s="1"/>
  <c r="J20" i="43"/>
  <c r="J43" i="43"/>
  <c r="J35" i="43"/>
  <c r="J27" i="43"/>
  <c r="J19" i="43"/>
  <c r="J15" i="43"/>
  <c r="K15" i="43" s="1"/>
  <c r="M15" i="43" s="1"/>
  <c r="L34" i="43"/>
  <c r="L27" i="43"/>
  <c r="L30" i="43"/>
  <c r="L22" i="43"/>
  <c r="K17" i="43"/>
  <c r="M17" i="43" s="1"/>
  <c r="L17" i="43"/>
  <c r="J38" i="43"/>
  <c r="K38" i="43" s="1"/>
  <c r="M38" i="43" s="1"/>
  <c r="J34" i="43"/>
  <c r="K34" i="43" s="1"/>
  <c r="M34" i="43" s="1"/>
  <c r="J30" i="43"/>
  <c r="K30" i="43" s="1"/>
  <c r="M30" i="43" s="1"/>
  <c r="J22" i="43"/>
  <c r="K22" i="43" s="1"/>
  <c r="M22" i="43" s="1"/>
  <c r="J14" i="43"/>
  <c r="K29" i="43"/>
  <c r="M29" i="43" s="1"/>
  <c r="L40" i="43"/>
  <c r="L32" i="43"/>
  <c r="L28" i="43"/>
  <c r="L16" i="43"/>
  <c r="F43" i="43"/>
  <c r="F42" i="43"/>
  <c r="F41" i="43"/>
  <c r="F39" i="43"/>
  <c r="F38" i="43"/>
  <c r="F37" i="43"/>
  <c r="F36" i="43"/>
  <c r="F34" i="43"/>
  <c r="F33" i="43"/>
  <c r="F32" i="43"/>
  <c r="F26" i="43"/>
  <c r="F25" i="43"/>
  <c r="F24" i="43"/>
  <c r="F23" i="43"/>
  <c r="F21" i="43"/>
  <c r="F20" i="43"/>
  <c r="F19" i="43"/>
  <c r="F18" i="43"/>
  <c r="F17" i="43"/>
  <c r="F15" i="43"/>
  <c r="F14" i="43"/>
  <c r="E13" i="43"/>
  <c r="J36" i="43" l="1"/>
  <c r="K36" i="43" s="1"/>
  <c r="M36" i="43" s="1"/>
  <c r="K23" i="43"/>
  <c r="M23" i="43" s="1"/>
  <c r="K26" i="43"/>
  <c r="M26" i="43" s="1"/>
  <c r="K31" i="43"/>
  <c r="M31" i="43" s="1"/>
  <c r="I39" i="43"/>
  <c r="I37" i="43"/>
  <c r="L37" i="43" s="1"/>
  <c r="L35" i="43"/>
  <c r="K35" i="43"/>
  <c r="M35" i="43" s="1"/>
  <c r="I42" i="43"/>
  <c r="L42" i="43" s="1"/>
  <c r="I18" i="43"/>
  <c r="L18" i="43" s="1"/>
  <c r="K19" i="43"/>
  <c r="M19" i="43" s="1"/>
  <c r="F13" i="43"/>
  <c r="R13" i="43"/>
  <c r="K14" i="43"/>
  <c r="M14" i="43" s="1"/>
  <c r="K20" i="43"/>
  <c r="M20" i="43" s="1"/>
  <c r="K27" i="43"/>
  <c r="M27" i="43" s="1"/>
  <c r="K43" i="43"/>
  <c r="M43" i="43" s="1"/>
  <c r="I24" i="43"/>
  <c r="K24" i="43" s="1"/>
  <c r="M24" i="43" s="1"/>
  <c r="I41" i="43"/>
  <c r="I21" i="43"/>
  <c r="BM14" i="47"/>
  <c r="G132" i="47"/>
  <c r="AT22" i="47"/>
  <c r="F137" i="47"/>
  <c r="K33" i="43"/>
  <c r="M33" i="43" s="1"/>
  <c r="L25" i="43"/>
  <c r="L24" i="43"/>
  <c r="K37" i="43" l="1"/>
  <c r="M37" i="43" s="1"/>
  <c r="K39" i="43"/>
  <c r="M39" i="43" s="1"/>
  <c r="L39" i="43"/>
  <c r="T13" i="43"/>
  <c r="V13" i="43" s="1"/>
  <c r="G13" i="43" s="1"/>
  <c r="L21" i="43"/>
  <c r="K21" i="43"/>
  <c r="M21" i="43" s="1"/>
  <c r="K18" i="43"/>
  <c r="M18" i="43" s="1"/>
  <c r="L41" i="43"/>
  <c r="K41" i="43"/>
  <c r="M41" i="43" s="1"/>
  <c r="K42" i="43"/>
  <c r="M42" i="43" s="1"/>
  <c r="G137" i="47"/>
  <c r="BM16" i="47"/>
  <c r="G139" i="47" s="1"/>
  <c r="AU22" i="47"/>
  <c r="AT23" i="47"/>
  <c r="K16" i="41"/>
  <c r="J16" i="41"/>
  <c r="L16" i="41" s="1"/>
  <c r="I21" i="41"/>
  <c r="H19" i="41"/>
  <c r="H20" i="41"/>
  <c r="K20" i="41" s="1"/>
  <c r="H21" i="41"/>
  <c r="K21" i="41" s="1"/>
  <c r="G18" i="41"/>
  <c r="I18" i="41" s="1"/>
  <c r="G19" i="41"/>
  <c r="I19" i="41" s="1"/>
  <c r="G20" i="41"/>
  <c r="I20" i="41" s="1"/>
  <c r="G21" i="41"/>
  <c r="G22" i="41"/>
  <c r="H22" i="41" s="1"/>
  <c r="F18" i="41"/>
  <c r="F19" i="41"/>
  <c r="F20" i="41"/>
  <c r="F21" i="41"/>
  <c r="F22" i="41"/>
  <c r="H18" i="41" l="1"/>
  <c r="K18" i="41" s="1"/>
  <c r="I22" i="41"/>
  <c r="J19" i="41"/>
  <c r="L19" i="41" s="1"/>
  <c r="K22" i="41"/>
  <c r="J22" i="41"/>
  <c r="L22" i="41" s="1"/>
  <c r="H13" i="43"/>
  <c r="J13" i="43" s="1"/>
  <c r="J21" i="41"/>
  <c r="L21" i="41" s="1"/>
  <c r="J20" i="41"/>
  <c r="L20" i="41" s="1"/>
  <c r="J18" i="41"/>
  <c r="L18" i="41" s="1"/>
  <c r="K19" i="41"/>
  <c r="W121" i="47"/>
  <c r="AU23" i="47"/>
  <c r="AU25" i="47" s="1"/>
  <c r="E17" i="41"/>
  <c r="I13" i="43" l="1"/>
  <c r="G17" i="41"/>
  <c r="I17" i="41" s="1"/>
  <c r="H17" i="41"/>
  <c r="F17" i="41"/>
  <c r="L13" i="43"/>
  <c r="L44" i="43" s="1"/>
  <c r="K13" i="43"/>
  <c r="M13" i="43" s="1"/>
  <c r="M44" i="43" s="1"/>
  <c r="AU28" i="47"/>
  <c r="AT28" i="47" s="1"/>
  <c r="K27" i="47"/>
  <c r="X29" i="47"/>
  <c r="E170" i="47"/>
  <c r="E171" i="47" s="1"/>
  <c r="E173" i="47" s="1"/>
  <c r="W122" i="47"/>
  <c r="W124" i="47" s="1"/>
  <c r="J17" i="41" l="1"/>
  <c r="L17" i="41" s="1"/>
  <c r="L23" i="41" s="1"/>
  <c r="K17" i="41"/>
  <c r="K23" i="41" s="1"/>
  <c r="F65" i="40"/>
  <c r="G65" i="40" s="1"/>
  <c r="F66" i="40"/>
  <c r="G66" i="40" s="1"/>
  <c r="F67" i="40"/>
  <c r="G67" i="40" s="1"/>
  <c r="F68" i="40"/>
  <c r="G68" i="40" s="1"/>
  <c r="F69" i="40"/>
  <c r="G69" i="40" s="1"/>
  <c r="F63" i="40"/>
  <c r="G63" i="40" s="1"/>
  <c r="E64" i="40"/>
  <c r="F64" i="40" s="1"/>
  <c r="G64" i="40" l="1"/>
  <c r="F115" i="40"/>
  <c r="F114" i="40"/>
  <c r="F113" i="40"/>
  <c r="F111" i="40"/>
  <c r="F110" i="40"/>
  <c r="E109" i="40"/>
  <c r="F109" i="40" s="1"/>
  <c r="F108" i="40"/>
  <c r="F106" i="40"/>
  <c r="F105" i="40"/>
  <c r="F104" i="40"/>
  <c r="F98" i="40"/>
  <c r="F97" i="40"/>
  <c r="F96" i="40"/>
  <c r="F95" i="40"/>
  <c r="F93" i="40"/>
  <c r="F92" i="40"/>
  <c r="F91" i="40"/>
  <c r="F90" i="40"/>
  <c r="E89" i="40"/>
  <c r="F89" i="40" s="1"/>
  <c r="F87" i="40"/>
  <c r="F86" i="40"/>
  <c r="F85" i="40"/>
  <c r="F116" i="40" l="1"/>
  <c r="O35" i="40" l="1"/>
  <c r="O12" i="40"/>
  <c r="R35" i="40" l="1"/>
  <c r="R12" i="40"/>
  <c r="P35" i="40"/>
  <c r="P12" i="40"/>
  <c r="Q12" i="40" s="1"/>
  <c r="S12" i="40" s="1"/>
  <c r="G12" i="40" s="1"/>
  <c r="S9" i="40"/>
  <c r="O9" i="40"/>
  <c r="H12" i="40" l="1"/>
  <c r="J12" i="40" s="1"/>
  <c r="Q35" i="40"/>
  <c r="S35" i="40" s="1"/>
  <c r="G35" i="40" s="1"/>
  <c r="H35" i="40" l="1"/>
  <c r="J35" i="40" s="1"/>
  <c r="I12" i="40"/>
  <c r="K12" i="40" l="1"/>
  <c r="M12" i="40" s="1"/>
  <c r="L12" i="40"/>
  <c r="I35" i="40"/>
  <c r="F35" i="40"/>
  <c r="E26" i="40"/>
  <c r="E19" i="40"/>
  <c r="F12" i="40"/>
  <c r="L35" i="40" l="1"/>
  <c r="K35" i="40"/>
  <c r="M35" i="40" s="1"/>
  <c r="F26" i="40"/>
  <c r="O26" i="40"/>
  <c r="F19" i="40"/>
  <c r="F33" i="40" s="1"/>
  <c r="F45" i="40" s="1"/>
  <c r="O19" i="40"/>
  <c r="F43" i="40"/>
  <c r="R26" i="40" l="1"/>
  <c r="P26" i="40"/>
  <c r="R19" i="40"/>
  <c r="P19" i="40"/>
  <c r="Q19" i="40" s="1"/>
  <c r="A7" i="38"/>
  <c r="A8" i="38"/>
  <c r="S19" i="40" l="1"/>
  <c r="G19" i="40" s="1"/>
  <c r="Q26" i="40"/>
  <c r="S26" i="40" s="1"/>
  <c r="G26" i="40" s="1"/>
  <c r="H88" i="38"/>
  <c r="H93" i="38" s="1"/>
  <c r="G72" i="38"/>
  <c r="F72" i="38" s="1"/>
  <c r="E72" i="38"/>
  <c r="I71" i="38"/>
  <c r="H71" i="38"/>
  <c r="G71" i="38"/>
  <c r="C70" i="38"/>
  <c r="I70" i="38" s="1"/>
  <c r="I69" i="38"/>
  <c r="I68" i="38"/>
  <c r="F65" i="38"/>
  <c r="I65" i="38" s="1"/>
  <c r="D64" i="38"/>
  <c r="G60" i="38"/>
  <c r="F60" i="38"/>
  <c r="E60" i="38"/>
  <c r="G58" i="38"/>
  <c r="F58" i="38" s="1"/>
  <c r="E58" i="38"/>
  <c r="G57" i="38"/>
  <c r="F57" i="38" s="1"/>
  <c r="E57" i="38"/>
  <c r="D54" i="38"/>
  <c r="C34" i="38"/>
  <c r="AJ28" i="38"/>
  <c r="C26" i="38"/>
  <c r="D24" i="38"/>
  <c r="C24" i="38"/>
  <c r="E24" i="38" s="1"/>
  <c r="C23" i="38"/>
  <c r="E23" i="38" s="1"/>
  <c r="C22" i="38"/>
  <c r="E22" i="38" s="1"/>
  <c r="C17" i="38"/>
  <c r="C15" i="38"/>
  <c r="D26" i="38" l="1"/>
  <c r="E26" i="38" s="1"/>
  <c r="I60" i="38"/>
  <c r="I57" i="38"/>
  <c r="H26" i="40"/>
  <c r="J26" i="40" s="1"/>
  <c r="I58" i="38"/>
  <c r="H19" i="40"/>
  <c r="J19" i="40" s="1"/>
  <c r="I72" i="38"/>
  <c r="F64" i="38"/>
  <c r="I64" i="38" s="1"/>
  <c r="D17" i="38"/>
  <c r="E17" i="38" s="1"/>
  <c r="D29" i="38"/>
  <c r="I19" i="40" l="1"/>
  <c r="I26" i="40"/>
  <c r="E29" i="38"/>
  <c r="D30" i="38"/>
  <c r="E30" i="38" s="1"/>
  <c r="L26" i="40" l="1"/>
  <c r="K26" i="40"/>
  <c r="M26" i="40" s="1"/>
  <c r="D31" i="38"/>
  <c r="K19" i="40"/>
  <c r="M19" i="40" s="1"/>
  <c r="M42" i="40" s="1"/>
  <c r="M46" i="40" s="1"/>
  <c r="L19" i="40"/>
  <c r="L42" i="40" s="1"/>
  <c r="L46" i="40" s="1"/>
  <c r="E31" i="38"/>
  <c r="J12" i="37" l="1"/>
  <c r="J10" i="37"/>
  <c r="J11" i="37"/>
  <c r="E11" i="37" l="1"/>
  <c r="F11" i="37" s="1"/>
  <c r="F89" i="37"/>
  <c r="E88" i="37"/>
  <c r="F88" i="37" s="1"/>
  <c r="F90" i="37" s="1"/>
  <c r="F91" i="37" s="1"/>
  <c r="F84" i="37"/>
  <c r="F83" i="37"/>
  <c r="F85" i="37" s="1"/>
  <c r="E80" i="37"/>
  <c r="F80" i="37" s="1"/>
  <c r="F79" i="37"/>
  <c r="E79" i="37"/>
  <c r="E78" i="37"/>
  <c r="F78" i="37" s="1"/>
  <c r="E77" i="37"/>
  <c r="F77" i="37" s="1"/>
  <c r="E76" i="37"/>
  <c r="F76" i="37" s="1"/>
  <c r="E75" i="37"/>
  <c r="F75" i="37" s="1"/>
  <c r="E74" i="37"/>
  <c r="F74" i="37" s="1"/>
  <c r="E73" i="37"/>
  <c r="F73" i="37" s="1"/>
  <c r="A73" i="37"/>
  <c r="E72" i="37"/>
  <c r="F72" i="37" s="1"/>
  <c r="E69" i="37"/>
  <c r="F69" i="37" s="1"/>
  <c r="E68" i="37"/>
  <c r="F68" i="37" s="1"/>
  <c r="E67" i="37"/>
  <c r="F67" i="37" s="1"/>
  <c r="E66" i="37"/>
  <c r="F66" i="37" s="1"/>
  <c r="E65" i="37"/>
  <c r="F65" i="37" s="1"/>
  <c r="E64" i="37"/>
  <c r="F64" i="37" s="1"/>
  <c r="E63" i="37"/>
  <c r="F63" i="37" s="1"/>
  <c r="E62" i="37"/>
  <c r="F62" i="37" s="1"/>
  <c r="A62" i="37"/>
  <c r="E61" i="37"/>
  <c r="F61" i="37" s="1"/>
  <c r="F57" i="37"/>
  <c r="F56" i="37"/>
  <c r="F55" i="37"/>
  <c r="F58" i="37" s="1"/>
  <c r="D59" i="38" s="1"/>
  <c r="F50" i="37"/>
  <c r="E49" i="37"/>
  <c r="F49" i="37" s="1"/>
  <c r="F46" i="37"/>
  <c r="F47" i="37" s="1"/>
  <c r="U17" i="1" s="1"/>
  <c r="E41" i="37"/>
  <c r="D41" i="37"/>
  <c r="F41" i="37" s="1"/>
  <c r="E40" i="37"/>
  <c r="D40" i="37"/>
  <c r="E39" i="37"/>
  <c r="F39" i="37" s="1"/>
  <c r="E38" i="37"/>
  <c r="D38" i="37"/>
  <c r="F38" i="37" s="1"/>
  <c r="E37" i="37"/>
  <c r="D37" i="37"/>
  <c r="E35" i="37"/>
  <c r="F35" i="37" s="1"/>
  <c r="E34" i="37"/>
  <c r="F34" i="37" s="1"/>
  <c r="E33" i="37"/>
  <c r="F33" i="37" s="1"/>
  <c r="E32" i="37"/>
  <c r="F32" i="37" s="1"/>
  <c r="E31" i="37"/>
  <c r="F31" i="37" s="1"/>
  <c r="E28" i="37"/>
  <c r="F28" i="37" s="1"/>
  <c r="E27" i="37"/>
  <c r="F27" i="37" s="1"/>
  <c r="D26" i="37"/>
  <c r="F26" i="37" s="1"/>
  <c r="D25" i="37"/>
  <c r="F25" i="37" s="1"/>
  <c r="D24" i="37"/>
  <c r="F24" i="37" s="1"/>
  <c r="D23" i="37"/>
  <c r="F23" i="37" s="1"/>
  <c r="F22" i="37"/>
  <c r="D22" i="37"/>
  <c r="D21" i="37"/>
  <c r="F21" i="37" s="1"/>
  <c r="D20" i="37"/>
  <c r="F20" i="37" s="1"/>
  <c r="E15" i="37"/>
  <c r="F15" i="37" s="1"/>
  <c r="E14" i="37"/>
  <c r="F14" i="37" s="1"/>
  <c r="E13" i="37"/>
  <c r="D13" i="37"/>
  <c r="E12" i="37"/>
  <c r="E10" i="37"/>
  <c r="F40" i="37" l="1"/>
  <c r="H13" i="37"/>
  <c r="F51" i="37"/>
  <c r="D56" i="38"/>
  <c r="F20" i="1"/>
  <c r="F10" i="37"/>
  <c r="D66" i="38"/>
  <c r="F66" i="38" s="1"/>
  <c r="I66" i="38" s="1"/>
  <c r="U20" i="1"/>
  <c r="F13" i="37"/>
  <c r="F37" i="37"/>
  <c r="F42" i="37" s="1"/>
  <c r="F81" i="37"/>
  <c r="D67" i="38"/>
  <c r="E59" i="38"/>
  <c r="G59" i="38"/>
  <c r="F59" i="38" s="1"/>
  <c r="L20" i="1"/>
  <c r="F70" i="37"/>
  <c r="G9" i="37" l="1"/>
  <c r="I59" i="38"/>
  <c r="F67" i="38"/>
  <c r="I67" i="38" s="1"/>
  <c r="D21" i="38"/>
  <c r="E21" i="38" s="1"/>
  <c r="D62" i="38"/>
  <c r="Q20" i="1"/>
  <c r="F16" i="37"/>
  <c r="F43" i="37" s="1"/>
  <c r="G56" i="38"/>
  <c r="J56" i="38"/>
  <c r="D63" i="38"/>
  <c r="E56" i="38"/>
  <c r="D61" i="38"/>
  <c r="P20" i="1"/>
  <c r="G17" i="37"/>
  <c r="D16" i="38"/>
  <c r="E16" i="38" s="1"/>
  <c r="F87" i="36"/>
  <c r="F86" i="36"/>
  <c r="F88" i="36" s="1"/>
  <c r="E83" i="36"/>
  <c r="F83" i="36" s="1"/>
  <c r="E82" i="36"/>
  <c r="F82" i="36" s="1"/>
  <c r="E81" i="36"/>
  <c r="F81" i="36" s="1"/>
  <c r="E80" i="36"/>
  <c r="F80" i="36" s="1"/>
  <c r="E79" i="36"/>
  <c r="F79" i="36" s="1"/>
  <c r="E78" i="36"/>
  <c r="F78" i="36" s="1"/>
  <c r="E77" i="36"/>
  <c r="F77" i="36" s="1"/>
  <c r="E76" i="36"/>
  <c r="F76" i="36" s="1"/>
  <c r="A76" i="36"/>
  <c r="E75" i="36"/>
  <c r="F75" i="36" s="1"/>
  <c r="E72" i="36"/>
  <c r="F72" i="36" s="1"/>
  <c r="E71" i="36"/>
  <c r="F71" i="36" s="1"/>
  <c r="E70" i="36"/>
  <c r="F70" i="36" s="1"/>
  <c r="E69" i="36"/>
  <c r="F69" i="36" s="1"/>
  <c r="E68" i="36"/>
  <c r="F68" i="36" s="1"/>
  <c r="E67" i="36"/>
  <c r="F67" i="36" s="1"/>
  <c r="E66" i="36"/>
  <c r="F66" i="36" s="1"/>
  <c r="E65" i="36"/>
  <c r="F65" i="36" s="1"/>
  <c r="A65" i="36"/>
  <c r="E64" i="36"/>
  <c r="F64" i="36" s="1"/>
  <c r="F60" i="36"/>
  <c r="F59" i="36"/>
  <c r="F58" i="36"/>
  <c r="F61" i="36" s="1"/>
  <c r="E53" i="36"/>
  <c r="F53" i="36" s="1"/>
  <c r="E52" i="36"/>
  <c r="F52" i="36" s="1"/>
  <c r="F54" i="36" s="1"/>
  <c r="F49" i="36"/>
  <c r="F50" i="36" s="1"/>
  <c r="E42" i="36"/>
  <c r="D42" i="36"/>
  <c r="F42" i="36" s="1"/>
  <c r="E41" i="36"/>
  <c r="D41" i="36"/>
  <c r="E40" i="36"/>
  <c r="F40" i="36" s="1"/>
  <c r="E39" i="36"/>
  <c r="D39" i="36"/>
  <c r="F39" i="36" s="1"/>
  <c r="E38" i="36"/>
  <c r="D38" i="36"/>
  <c r="F38" i="36" s="1"/>
  <c r="E36" i="36"/>
  <c r="F36" i="36" s="1"/>
  <c r="E35" i="36"/>
  <c r="F35" i="36" s="1"/>
  <c r="E34" i="36"/>
  <c r="F34" i="36" s="1"/>
  <c r="E33" i="36"/>
  <c r="F33" i="36" s="1"/>
  <c r="E32" i="36"/>
  <c r="F32" i="36" s="1"/>
  <c r="E29" i="36"/>
  <c r="F29" i="36" s="1"/>
  <c r="E28" i="36"/>
  <c r="F28" i="36" s="1"/>
  <c r="D27" i="36"/>
  <c r="F27" i="36" s="1"/>
  <c r="D26" i="36"/>
  <c r="F26" i="36" s="1"/>
  <c r="D25" i="36"/>
  <c r="F25" i="36" s="1"/>
  <c r="D24" i="36"/>
  <c r="F24" i="36" s="1"/>
  <c r="D23" i="36"/>
  <c r="F23" i="36" s="1"/>
  <c r="D22" i="36"/>
  <c r="F22" i="36" s="1"/>
  <c r="D21" i="36"/>
  <c r="E15" i="36"/>
  <c r="F15" i="36" s="1"/>
  <c r="E13" i="36"/>
  <c r="D13" i="36"/>
  <c r="I13" i="36" s="1"/>
  <c r="E12" i="36"/>
  <c r="F12" i="36" s="1"/>
  <c r="E11" i="36"/>
  <c r="F11" i="36" s="1"/>
  <c r="K10" i="36"/>
  <c r="E10" i="36"/>
  <c r="F10" i="36" s="1"/>
  <c r="F13" i="36" l="1"/>
  <c r="F73" i="36"/>
  <c r="E75" i="38"/>
  <c r="E74" i="38"/>
  <c r="F63" i="38"/>
  <c r="D20" i="38" s="1"/>
  <c r="E20" i="38" s="1"/>
  <c r="I63" i="38"/>
  <c r="D55" i="38"/>
  <c r="F56" i="38"/>
  <c r="D15" i="38" s="1"/>
  <c r="E15" i="38" s="1"/>
  <c r="G74" i="38"/>
  <c r="G75" i="38"/>
  <c r="H90" i="37"/>
  <c r="F17" i="1"/>
  <c r="F62" i="38"/>
  <c r="D18" i="38" s="1"/>
  <c r="E18" i="38" s="1"/>
  <c r="F61" i="38"/>
  <c r="I61" i="38"/>
  <c r="D19" i="38"/>
  <c r="E19" i="38" s="1"/>
  <c r="F41" i="36"/>
  <c r="C55" i="38"/>
  <c r="L10" i="36"/>
  <c r="K11" i="36"/>
  <c r="F84" i="36"/>
  <c r="E21" i="36"/>
  <c r="F21" i="36" s="1"/>
  <c r="F43" i="36" s="1"/>
  <c r="R17" i="1" l="1"/>
  <c r="D5" i="47"/>
  <c r="D74" i="38"/>
  <c r="F55" i="38"/>
  <c r="I55" i="38" s="1"/>
  <c r="I62" i="38"/>
  <c r="C74" i="38"/>
  <c r="C14" i="38"/>
  <c r="I56" i="38"/>
  <c r="G18" i="36"/>
  <c r="E14" i="36"/>
  <c r="F14" i="36" s="1"/>
  <c r="D14" i="38" l="1"/>
  <c r="D27" i="38" s="1"/>
  <c r="F75" i="38"/>
  <c r="F74" i="38"/>
  <c r="C27" i="38"/>
  <c r="D32" i="38"/>
  <c r="D33" i="38"/>
  <c r="F16" i="36"/>
  <c r="F45" i="36" s="1"/>
  <c r="G45" i="36" s="1"/>
  <c r="G9" i="36"/>
  <c r="D5" i="1"/>
  <c r="BG9" i="1"/>
  <c r="E32" i="38" l="1"/>
  <c r="D34" i="38"/>
  <c r="E27" i="38"/>
  <c r="C35" i="38"/>
  <c r="C37" i="38" s="1"/>
  <c r="E14" i="38"/>
  <c r="E33" i="38"/>
  <c r="H75" i="38"/>
  <c r="I75" i="38" s="1"/>
  <c r="D36" i="38" s="1"/>
  <c r="E36" i="38" s="1"/>
  <c r="X10" i="1"/>
  <c r="S10" i="1"/>
  <c r="R10" i="1"/>
  <c r="D35" i="38" l="1"/>
  <c r="D37" i="38" s="1"/>
  <c r="E34" i="38"/>
  <c r="A16" i="1"/>
  <c r="A115" i="1"/>
  <c r="F136" i="1"/>
  <c r="D135" i="1"/>
  <c r="B127" i="1"/>
  <c r="B132" i="1"/>
  <c r="B133" i="1"/>
  <c r="B135" i="1"/>
  <c r="B134" i="1"/>
  <c r="H73" i="38" l="1"/>
  <c r="E35" i="38"/>
  <c r="E37" i="38" s="1"/>
  <c r="R19" i="1"/>
  <c r="I73" i="38" l="1"/>
  <c r="I74" i="38" s="1"/>
  <c r="I76" i="38" s="1"/>
  <c r="H74" i="38"/>
  <c r="BB40" i="1"/>
  <c r="BB39" i="1"/>
  <c r="R10" i="30" l="1"/>
  <c r="J13" i="12" l="1"/>
  <c r="O15" i="12"/>
  <c r="J15" i="12" l="1"/>
  <c r="I14" i="12"/>
  <c r="J14" i="12" s="1"/>
  <c r="I15" i="12"/>
  <c r="I13" i="12"/>
  <c r="G117" i="1" l="1"/>
  <c r="G118" i="1"/>
  <c r="G119" i="1"/>
  <c r="C117" i="1"/>
  <c r="C118" i="1"/>
  <c r="AC12" i="30" l="1"/>
  <c r="D10" i="31"/>
  <c r="B8" i="31"/>
  <c r="N6" i="30"/>
  <c r="Q10" i="30"/>
  <c r="M15" i="30"/>
  <c r="F14" i="30"/>
  <c r="AK3684" i="30"/>
  <c r="AK3683" i="30"/>
  <c r="AK3682" i="30"/>
  <c r="AK3681" i="30"/>
  <c r="AK3680" i="30"/>
  <c r="AK3679" i="30"/>
  <c r="AK3678" i="30"/>
  <c r="AK3677" i="30"/>
  <c r="AK3676" i="30"/>
  <c r="AK3675" i="30"/>
  <c r="AK3674" i="30"/>
  <c r="AK3673" i="30"/>
  <c r="AK3672" i="30"/>
  <c r="AK3671" i="30"/>
  <c r="AK3670" i="30"/>
  <c r="AK3669" i="30"/>
  <c r="AK3668" i="30"/>
  <c r="AK3667" i="30"/>
  <c r="AK3666" i="30"/>
  <c r="AK3665" i="30"/>
  <c r="AK3664" i="30"/>
  <c r="AK3663" i="30"/>
  <c r="AK3662" i="30"/>
  <c r="AK3661" i="30"/>
  <c r="AK3660" i="30"/>
  <c r="AK3659" i="30"/>
  <c r="AK3658" i="30"/>
  <c r="AK3657" i="30"/>
  <c r="AK3656" i="30"/>
  <c r="AK3655" i="30"/>
  <c r="AK3654" i="30"/>
  <c r="AK3653" i="30"/>
  <c r="AK3652" i="30"/>
  <c r="AK3651" i="30"/>
  <c r="AK3650" i="30"/>
  <c r="AK3649" i="30"/>
  <c r="AK3648" i="30"/>
  <c r="AK3647" i="30"/>
  <c r="AK3646" i="30"/>
  <c r="AK3645" i="30"/>
  <c r="AK3644" i="30"/>
  <c r="AK3643" i="30"/>
  <c r="AK3642" i="30"/>
  <c r="AK3641" i="30"/>
  <c r="AK3640" i="30"/>
  <c r="AK3639" i="30"/>
  <c r="AK3638" i="30"/>
  <c r="AK3637" i="30"/>
  <c r="AK3636" i="30"/>
  <c r="AK3635" i="30"/>
  <c r="AK3634" i="30"/>
  <c r="AK3633" i="30"/>
  <c r="AK3632" i="30"/>
  <c r="AK3631" i="30"/>
  <c r="AK3630" i="30"/>
  <c r="AK3629" i="30"/>
  <c r="AK3628" i="30"/>
  <c r="AK3627" i="30"/>
  <c r="AK3626" i="30"/>
  <c r="AK3625" i="30"/>
  <c r="AK3624" i="30"/>
  <c r="AK3623" i="30"/>
  <c r="AK3622" i="30"/>
  <c r="AK3621" i="30"/>
  <c r="AK3620" i="30"/>
  <c r="AK3619" i="30"/>
  <c r="AK3618" i="30"/>
  <c r="AK3617" i="30"/>
  <c r="AK3616" i="30"/>
  <c r="AK3615" i="30"/>
  <c r="AK3614" i="30"/>
  <c r="AK3613" i="30"/>
  <c r="AK3612" i="30"/>
  <c r="AK3611" i="30"/>
  <c r="AK3610" i="30"/>
  <c r="AK3609" i="30"/>
  <c r="AK3608" i="30"/>
  <c r="AK3607" i="30"/>
  <c r="AK3606" i="30"/>
  <c r="AK3605" i="30"/>
  <c r="AK3604" i="30"/>
  <c r="AK3603" i="30"/>
  <c r="AK3602" i="30"/>
  <c r="AK3601" i="30"/>
  <c r="AK3600" i="30"/>
  <c r="AK3599" i="30"/>
  <c r="AK3598" i="30"/>
  <c r="AK3597" i="30"/>
  <c r="AK3596" i="30"/>
  <c r="AK3595" i="30"/>
  <c r="AK3594" i="30"/>
  <c r="AK3593" i="30"/>
  <c r="AK3592" i="30"/>
  <c r="AK3591" i="30"/>
  <c r="AK3590" i="30"/>
  <c r="AK3589" i="30"/>
  <c r="AK3588" i="30"/>
  <c r="AK3587" i="30"/>
  <c r="AK3586" i="30"/>
  <c r="AK3585" i="30"/>
  <c r="AK3584" i="30"/>
  <c r="AK3583" i="30"/>
  <c r="AK3582" i="30"/>
  <c r="AK3581" i="30"/>
  <c r="AK3580" i="30"/>
  <c r="AK3579" i="30"/>
  <c r="AK3578" i="30"/>
  <c r="AK3577" i="30"/>
  <c r="AK3576" i="30"/>
  <c r="AK3575" i="30"/>
  <c r="AK3574" i="30"/>
  <c r="AK3573" i="30"/>
  <c r="AK3572" i="30"/>
  <c r="AK3571" i="30"/>
  <c r="AK3570" i="30"/>
  <c r="AK3569" i="30"/>
  <c r="AK3568" i="30"/>
  <c r="AK3567" i="30"/>
  <c r="AK3566" i="30"/>
  <c r="AK3565" i="30"/>
  <c r="AK3564" i="30"/>
  <c r="AK3563" i="30"/>
  <c r="AK3562" i="30"/>
  <c r="AK3561" i="30"/>
  <c r="AK3560" i="30"/>
  <c r="AK3559" i="30"/>
  <c r="AK3558" i="30"/>
  <c r="AK3557" i="30"/>
  <c r="AK3556" i="30"/>
  <c r="AK3555" i="30"/>
  <c r="AK3554" i="30"/>
  <c r="AK3553" i="30"/>
  <c r="AK3552" i="30"/>
  <c r="AK3551" i="30"/>
  <c r="AK3550" i="30"/>
  <c r="AK3549" i="30"/>
  <c r="AK3548" i="30"/>
  <c r="AK3547" i="30"/>
  <c r="AK3546" i="30"/>
  <c r="AK3545" i="30"/>
  <c r="AK3544" i="30"/>
  <c r="AK3543" i="30"/>
  <c r="AK3542" i="30"/>
  <c r="AK3541" i="30"/>
  <c r="AK3540" i="30"/>
  <c r="AK3539" i="30"/>
  <c r="AK3538" i="30"/>
  <c r="AK3537" i="30"/>
  <c r="AK3536" i="30"/>
  <c r="AK3535" i="30"/>
  <c r="AK3534" i="30"/>
  <c r="AK3533" i="30"/>
  <c r="AK3532" i="30"/>
  <c r="AK3531" i="30"/>
  <c r="AK3530" i="30"/>
  <c r="AK3529" i="30"/>
  <c r="AK3528" i="30"/>
  <c r="AK3527" i="30"/>
  <c r="AK3526" i="30"/>
  <c r="AK3525" i="30"/>
  <c r="AK3524" i="30"/>
  <c r="AK3523" i="30"/>
  <c r="AK3522" i="30"/>
  <c r="AK3521" i="30"/>
  <c r="AK3520" i="30"/>
  <c r="AK3519" i="30"/>
  <c r="AK3518" i="30"/>
  <c r="AK3517" i="30"/>
  <c r="AK3516" i="30"/>
  <c r="AK3515" i="30"/>
  <c r="AK3514" i="30"/>
  <c r="AK3513" i="30"/>
  <c r="AK3512" i="30"/>
  <c r="AK3511" i="30"/>
  <c r="AK3510" i="30"/>
  <c r="AK3509" i="30"/>
  <c r="AK3508" i="30"/>
  <c r="AK3507" i="30"/>
  <c r="AK3506" i="30"/>
  <c r="AK3505" i="30"/>
  <c r="AK3504" i="30"/>
  <c r="AK3503" i="30"/>
  <c r="AK3502" i="30"/>
  <c r="AK3501" i="30"/>
  <c r="AK3500" i="30"/>
  <c r="AK3499" i="30"/>
  <c r="AK3498" i="30"/>
  <c r="AK3497" i="30"/>
  <c r="AK3496" i="30"/>
  <c r="AK3495" i="30"/>
  <c r="AK3494" i="30"/>
  <c r="AK3493" i="30"/>
  <c r="AK3492" i="30"/>
  <c r="AK3491" i="30"/>
  <c r="AK3490" i="30"/>
  <c r="AK3489" i="30"/>
  <c r="AK3488" i="30"/>
  <c r="AK3487" i="30"/>
  <c r="AK3486" i="30"/>
  <c r="AK3485" i="30"/>
  <c r="AK3484" i="30"/>
  <c r="AK3483" i="30"/>
  <c r="AK3482" i="30"/>
  <c r="AK3481" i="30"/>
  <c r="AK3480" i="30"/>
  <c r="AK3479" i="30"/>
  <c r="AK3478" i="30"/>
  <c r="AK3477" i="30"/>
  <c r="AK3476" i="30"/>
  <c r="AK3475" i="30"/>
  <c r="AK3474" i="30"/>
  <c r="AK3473" i="30"/>
  <c r="AK3472" i="30"/>
  <c r="AK3471" i="30"/>
  <c r="AK3470" i="30"/>
  <c r="AK3469" i="30"/>
  <c r="AK3468" i="30"/>
  <c r="AK3467" i="30"/>
  <c r="AK3466" i="30"/>
  <c r="AK3465" i="30"/>
  <c r="AK3464" i="30"/>
  <c r="AK3463" i="30"/>
  <c r="AK3462" i="30"/>
  <c r="AK3461" i="30"/>
  <c r="AK3460" i="30"/>
  <c r="AK3459" i="30"/>
  <c r="AK3458" i="30"/>
  <c r="AK3457" i="30"/>
  <c r="AK3456" i="30"/>
  <c r="AK3455" i="30"/>
  <c r="AK3454" i="30"/>
  <c r="AK3453" i="30"/>
  <c r="AK3452" i="30"/>
  <c r="AK3451" i="30"/>
  <c r="AK3450" i="30"/>
  <c r="AK3449" i="30"/>
  <c r="AK3448" i="30"/>
  <c r="AK3447" i="30"/>
  <c r="AK3446" i="30"/>
  <c r="AK3445" i="30"/>
  <c r="AK3444" i="30"/>
  <c r="AK3443" i="30"/>
  <c r="AK3442" i="30"/>
  <c r="AK3441" i="30"/>
  <c r="AK3440" i="30"/>
  <c r="AK3439" i="30"/>
  <c r="AK3438" i="30"/>
  <c r="AK3437" i="30"/>
  <c r="AK3436" i="30"/>
  <c r="AK3435" i="30"/>
  <c r="AK3434" i="30"/>
  <c r="AK3433" i="30"/>
  <c r="AK3432" i="30"/>
  <c r="AK3431" i="30"/>
  <c r="AK3430" i="30"/>
  <c r="AK3429" i="30"/>
  <c r="AK3428" i="30"/>
  <c r="AK3427" i="30"/>
  <c r="AK3426" i="30"/>
  <c r="AK3425" i="30"/>
  <c r="AK3424" i="30"/>
  <c r="AK3423" i="30"/>
  <c r="AK3422" i="30"/>
  <c r="AK3421" i="30"/>
  <c r="AK3420" i="30"/>
  <c r="AK3419" i="30"/>
  <c r="AK3418" i="30"/>
  <c r="AK3417" i="30"/>
  <c r="AK3416" i="30"/>
  <c r="AK3415" i="30"/>
  <c r="AK3414" i="30"/>
  <c r="AK3413" i="30"/>
  <c r="AK3412" i="30"/>
  <c r="AK3411" i="30"/>
  <c r="AK3410" i="30"/>
  <c r="AK3409" i="30"/>
  <c r="AK3408" i="30"/>
  <c r="AK3407" i="30"/>
  <c r="AK3406" i="30"/>
  <c r="AK3405" i="30"/>
  <c r="AK3404" i="30"/>
  <c r="AK3403" i="30"/>
  <c r="AK3402" i="30"/>
  <c r="AK3401" i="30"/>
  <c r="AK3400" i="30"/>
  <c r="AK3399" i="30"/>
  <c r="AK3398" i="30"/>
  <c r="AK3397" i="30"/>
  <c r="AK3396" i="30"/>
  <c r="AK3395" i="30"/>
  <c r="AK3394" i="30"/>
  <c r="AK3393" i="30"/>
  <c r="AK3392" i="30"/>
  <c r="AK3391" i="30"/>
  <c r="AK3390" i="30"/>
  <c r="AK3389" i="30"/>
  <c r="AK3388" i="30"/>
  <c r="AK3387" i="30"/>
  <c r="AK3386" i="30"/>
  <c r="AK3385" i="30"/>
  <c r="AK3384" i="30"/>
  <c r="AK3383" i="30"/>
  <c r="AK3382" i="30"/>
  <c r="AK3381" i="30"/>
  <c r="AK3380" i="30"/>
  <c r="AK3379" i="30"/>
  <c r="AK3378" i="30"/>
  <c r="AK3377" i="30"/>
  <c r="AK3376" i="30"/>
  <c r="AK3375" i="30"/>
  <c r="AK3374" i="30"/>
  <c r="AK3373" i="30"/>
  <c r="AK3372" i="30"/>
  <c r="AK3371" i="30"/>
  <c r="AK3370" i="30"/>
  <c r="AK3369" i="30"/>
  <c r="AK3368" i="30"/>
  <c r="AK3367" i="30"/>
  <c r="AK3366" i="30"/>
  <c r="AK3365" i="30"/>
  <c r="AK3364" i="30"/>
  <c r="AK3363" i="30"/>
  <c r="AK3362" i="30"/>
  <c r="AK3361" i="30"/>
  <c r="AK3360" i="30"/>
  <c r="AK3359" i="30"/>
  <c r="AK3358" i="30"/>
  <c r="AK3357" i="30"/>
  <c r="AK3356" i="30"/>
  <c r="AK3355" i="30"/>
  <c r="AK3354" i="30"/>
  <c r="AK3353" i="30"/>
  <c r="AK3352" i="30"/>
  <c r="AK3351" i="30"/>
  <c r="AK3350" i="30"/>
  <c r="AK3349" i="30"/>
  <c r="AK3348" i="30"/>
  <c r="AK3347" i="30"/>
  <c r="AK3346" i="30"/>
  <c r="AK3345" i="30"/>
  <c r="AK3344" i="30"/>
  <c r="AK3343" i="30"/>
  <c r="AK3342" i="30"/>
  <c r="AK3341" i="30"/>
  <c r="AK3340" i="30"/>
  <c r="AK3339" i="30"/>
  <c r="AK3338" i="30"/>
  <c r="AK3337" i="30"/>
  <c r="AK3336" i="30"/>
  <c r="AK3335" i="30"/>
  <c r="AK3334" i="30"/>
  <c r="AK3333" i="30"/>
  <c r="AK3332" i="30"/>
  <c r="AK3331" i="30"/>
  <c r="AK3330" i="30"/>
  <c r="AK3329" i="30"/>
  <c r="AK3328" i="30"/>
  <c r="AK3327" i="30"/>
  <c r="AK3326" i="30"/>
  <c r="AK3325" i="30"/>
  <c r="AK3324" i="30"/>
  <c r="AK3323" i="30"/>
  <c r="AK3322" i="30"/>
  <c r="AK3321" i="30"/>
  <c r="AK3320" i="30"/>
  <c r="AK3319" i="30"/>
  <c r="AK3318" i="30"/>
  <c r="AK3317" i="30"/>
  <c r="AK3316" i="30"/>
  <c r="AK3315" i="30"/>
  <c r="AK3314" i="30"/>
  <c r="AK3313" i="30"/>
  <c r="AK3312" i="30"/>
  <c r="AK3311" i="30"/>
  <c r="AK3310" i="30"/>
  <c r="AK3309" i="30"/>
  <c r="AK3308" i="30"/>
  <c r="AK3307" i="30"/>
  <c r="AK3306" i="30"/>
  <c r="AK3305" i="30"/>
  <c r="AK3304" i="30"/>
  <c r="AK3303" i="30"/>
  <c r="AK3302" i="30"/>
  <c r="AK3301" i="30"/>
  <c r="AK3300" i="30"/>
  <c r="AK3299" i="30"/>
  <c r="AK3298" i="30"/>
  <c r="AK3297" i="30"/>
  <c r="AK3296" i="30"/>
  <c r="AK3295" i="30"/>
  <c r="AK3294" i="30"/>
  <c r="AK3293" i="30"/>
  <c r="AK3292" i="30"/>
  <c r="AK3291" i="30"/>
  <c r="AK3290" i="30"/>
  <c r="AK3289" i="30"/>
  <c r="AK3288" i="30"/>
  <c r="AK3287" i="30"/>
  <c r="AK3286" i="30"/>
  <c r="AK3285" i="30"/>
  <c r="AK3284" i="30"/>
  <c r="AK3283" i="30"/>
  <c r="AK3282" i="30"/>
  <c r="AK3281" i="30"/>
  <c r="AK3280" i="30"/>
  <c r="AK3279" i="30"/>
  <c r="AK3278" i="30"/>
  <c r="AK3277" i="30"/>
  <c r="AK3276" i="30"/>
  <c r="AK3275" i="30"/>
  <c r="AK3274" i="30"/>
  <c r="AK3273" i="30"/>
  <c r="AK3272" i="30"/>
  <c r="AK3271" i="30"/>
  <c r="AK3270" i="30"/>
  <c r="AK3269" i="30"/>
  <c r="AK3268" i="30"/>
  <c r="AK3267" i="30"/>
  <c r="AK3266" i="30"/>
  <c r="AK3265" i="30"/>
  <c r="AK3264" i="30"/>
  <c r="AK3263" i="30"/>
  <c r="AK3262" i="30"/>
  <c r="AK3261" i="30"/>
  <c r="AK3260" i="30"/>
  <c r="AK3259" i="30"/>
  <c r="AK3258" i="30"/>
  <c r="AK3257" i="30"/>
  <c r="AK3256" i="30"/>
  <c r="AK3255" i="30"/>
  <c r="AK3254" i="30"/>
  <c r="AK3253" i="30"/>
  <c r="AK3252" i="30"/>
  <c r="AK3251" i="30"/>
  <c r="AK3250" i="30"/>
  <c r="AK3249" i="30"/>
  <c r="AK3248" i="30"/>
  <c r="AK3247" i="30"/>
  <c r="AK3246" i="30"/>
  <c r="AK3245" i="30"/>
  <c r="AK3244" i="30"/>
  <c r="AK3243" i="30"/>
  <c r="AK3242" i="30"/>
  <c r="AK3241" i="30"/>
  <c r="AK3240" i="30"/>
  <c r="AK3239" i="30"/>
  <c r="AK3238" i="30"/>
  <c r="AK3237" i="30"/>
  <c r="AK3236" i="30"/>
  <c r="AK3235" i="30"/>
  <c r="AK3234" i="30"/>
  <c r="AK3233" i="30"/>
  <c r="AK3232" i="30"/>
  <c r="AK3231" i="30"/>
  <c r="AK3230" i="30"/>
  <c r="AK3229" i="30"/>
  <c r="AK3228" i="30"/>
  <c r="AK3227" i="30"/>
  <c r="AK3226" i="30"/>
  <c r="AK3225" i="30"/>
  <c r="AK3224" i="30"/>
  <c r="AK3223" i="30"/>
  <c r="AK3222" i="30"/>
  <c r="AK3221" i="30"/>
  <c r="AK3220" i="30"/>
  <c r="AK3219" i="30"/>
  <c r="AK3218" i="30"/>
  <c r="AK3217" i="30"/>
  <c r="AK3216" i="30"/>
  <c r="AK3215" i="30"/>
  <c r="AK3214" i="30"/>
  <c r="AK3213" i="30"/>
  <c r="AK3212" i="30"/>
  <c r="AK3211" i="30"/>
  <c r="AK3210" i="30"/>
  <c r="AK3209" i="30"/>
  <c r="AK3208" i="30"/>
  <c r="AK3207" i="30"/>
  <c r="AK3206" i="30"/>
  <c r="AK3205" i="30"/>
  <c r="AK3204" i="30"/>
  <c r="AK3203" i="30"/>
  <c r="AK3202" i="30"/>
  <c r="AK3201" i="30"/>
  <c r="AK3200" i="30"/>
  <c r="AK3199" i="30"/>
  <c r="AK3198" i="30"/>
  <c r="AK3197" i="30"/>
  <c r="AK3196" i="30"/>
  <c r="AK3195" i="30"/>
  <c r="AK3194" i="30"/>
  <c r="AK3193" i="30"/>
  <c r="AK3192" i="30"/>
  <c r="AK3191" i="30"/>
  <c r="AK3190" i="30"/>
  <c r="AK3189" i="30"/>
  <c r="AK3188" i="30"/>
  <c r="AK3187" i="30"/>
  <c r="AK3186" i="30"/>
  <c r="AK3185" i="30"/>
  <c r="AK3184" i="30"/>
  <c r="AK3183" i="30"/>
  <c r="AK3182" i="30"/>
  <c r="AK3181" i="30"/>
  <c r="AK3180" i="30"/>
  <c r="AK3179" i="30"/>
  <c r="AK3178" i="30"/>
  <c r="AK3177" i="30"/>
  <c r="AK3176" i="30"/>
  <c r="AK3175" i="30"/>
  <c r="AK3174" i="30"/>
  <c r="AK3173" i="30"/>
  <c r="AK3172" i="30"/>
  <c r="AK3171" i="30"/>
  <c r="AK3170" i="30"/>
  <c r="AK3169" i="30"/>
  <c r="AK3168" i="30"/>
  <c r="AK3167" i="30"/>
  <c r="AK3166" i="30"/>
  <c r="AK3165" i="30"/>
  <c r="AK3164" i="30"/>
  <c r="AK3163" i="30"/>
  <c r="AK3162" i="30"/>
  <c r="AK3161" i="30"/>
  <c r="AK3160" i="30"/>
  <c r="AK3159" i="30"/>
  <c r="AK3158" i="30"/>
  <c r="AK3157" i="30"/>
  <c r="AK3156" i="30"/>
  <c r="AK3155" i="30"/>
  <c r="AK3154" i="30"/>
  <c r="AK3153" i="30"/>
  <c r="AK3152" i="30"/>
  <c r="AK3151" i="30"/>
  <c r="AK3150" i="30"/>
  <c r="AK3149" i="30"/>
  <c r="AK3148" i="30"/>
  <c r="AK3147" i="30"/>
  <c r="AK3146" i="30"/>
  <c r="AK3145" i="30"/>
  <c r="AK3144" i="30"/>
  <c r="AK3143" i="30"/>
  <c r="AK3142" i="30"/>
  <c r="AK3141" i="30"/>
  <c r="AK3140" i="30"/>
  <c r="AK3139" i="30"/>
  <c r="AK3138" i="30"/>
  <c r="AK3137" i="30"/>
  <c r="AK3136" i="30"/>
  <c r="AK3135" i="30"/>
  <c r="AK3134" i="30"/>
  <c r="AK3133" i="30"/>
  <c r="AK3132" i="30"/>
  <c r="AK3131" i="30"/>
  <c r="AK3130" i="30"/>
  <c r="AK3129" i="30"/>
  <c r="AK3128" i="30"/>
  <c r="AK3127" i="30"/>
  <c r="AK3126" i="30"/>
  <c r="AK3125" i="30"/>
  <c r="AK3124" i="30"/>
  <c r="AK3123" i="30"/>
  <c r="AK3122" i="30"/>
  <c r="AK3121" i="30"/>
  <c r="AK3120" i="30"/>
  <c r="AK3119" i="30"/>
  <c r="AK3118" i="30"/>
  <c r="AK3117" i="30"/>
  <c r="AK3116" i="30"/>
  <c r="AK3115" i="30"/>
  <c r="AK3114" i="30"/>
  <c r="AK3113" i="30"/>
  <c r="AK3112" i="30"/>
  <c r="AK3111" i="30"/>
  <c r="AK3110" i="30"/>
  <c r="AK3109" i="30"/>
  <c r="AK3108" i="30"/>
  <c r="AK3107" i="30"/>
  <c r="AK3106" i="30"/>
  <c r="AK3105" i="30"/>
  <c r="AK3104" i="30"/>
  <c r="AK3103" i="30"/>
  <c r="AK3102" i="30"/>
  <c r="AK3101" i="30"/>
  <c r="AK3100" i="30"/>
  <c r="AK3099" i="30"/>
  <c r="AK3098" i="30"/>
  <c r="AK3097" i="30"/>
  <c r="AK3096" i="30"/>
  <c r="AK3095" i="30"/>
  <c r="AK3094" i="30"/>
  <c r="AK3093" i="30"/>
  <c r="AK3092" i="30"/>
  <c r="AK3091" i="30"/>
  <c r="AK3090" i="30"/>
  <c r="AK3089" i="30"/>
  <c r="AK3088" i="30"/>
  <c r="AK3087" i="30"/>
  <c r="AK3086" i="30"/>
  <c r="AK3085" i="30"/>
  <c r="AK3084" i="30"/>
  <c r="AK3083" i="30"/>
  <c r="AK3082" i="30"/>
  <c r="AK3081" i="30"/>
  <c r="AK3080" i="30"/>
  <c r="AK3079" i="30"/>
  <c r="AK3078" i="30"/>
  <c r="AK3077" i="30"/>
  <c r="AK3076" i="30"/>
  <c r="AK3075" i="30"/>
  <c r="AK3074" i="30"/>
  <c r="AK3073" i="30"/>
  <c r="AK3072" i="30"/>
  <c r="AK3071" i="30"/>
  <c r="AK3070" i="30"/>
  <c r="AK3069" i="30"/>
  <c r="AK3068" i="30"/>
  <c r="AK3067" i="30"/>
  <c r="AK3066" i="30"/>
  <c r="AK3065" i="30"/>
  <c r="AK3064" i="30"/>
  <c r="AK3063" i="30"/>
  <c r="AK3062" i="30"/>
  <c r="AK3061" i="30"/>
  <c r="AK3060" i="30"/>
  <c r="AK3059" i="30"/>
  <c r="AK3058" i="30"/>
  <c r="AK3057" i="30"/>
  <c r="AK3056" i="30"/>
  <c r="AK3055" i="30"/>
  <c r="AK3054" i="30"/>
  <c r="AK3053" i="30"/>
  <c r="AK3052" i="30"/>
  <c r="AK3051" i="30"/>
  <c r="AK3050" i="30"/>
  <c r="AK3049" i="30"/>
  <c r="AK3048" i="30"/>
  <c r="AK3047" i="30"/>
  <c r="AK3046" i="30"/>
  <c r="AK3045" i="30"/>
  <c r="AK3044" i="30"/>
  <c r="AK3043" i="30"/>
  <c r="AK3042" i="30"/>
  <c r="AK3041" i="30"/>
  <c r="AK3040" i="30"/>
  <c r="AK3039" i="30"/>
  <c r="AK3038" i="30"/>
  <c r="AK3037" i="30"/>
  <c r="AK3036" i="30"/>
  <c r="AK3035" i="30"/>
  <c r="AK3034" i="30"/>
  <c r="AK3033" i="30"/>
  <c r="AK3032" i="30"/>
  <c r="AK3031" i="30"/>
  <c r="AK3030" i="30"/>
  <c r="AK3029" i="30"/>
  <c r="AK3028" i="30"/>
  <c r="AK3027" i="30"/>
  <c r="AK3026" i="30"/>
  <c r="AK3025" i="30"/>
  <c r="AK3024" i="30"/>
  <c r="AK3023" i="30"/>
  <c r="AK3022" i="30"/>
  <c r="AK3021" i="30"/>
  <c r="AK3020" i="30"/>
  <c r="AK3019" i="30"/>
  <c r="AK3018" i="30"/>
  <c r="AK3017" i="30"/>
  <c r="AK3016" i="30"/>
  <c r="AK3015" i="30"/>
  <c r="AK3014" i="30"/>
  <c r="AK3013" i="30"/>
  <c r="AK3012" i="30"/>
  <c r="AK3011" i="30"/>
  <c r="AK3010" i="30"/>
  <c r="AK3009" i="30"/>
  <c r="AK3008" i="30"/>
  <c r="AK3007" i="30"/>
  <c r="AK3006" i="30"/>
  <c r="AK3005" i="30"/>
  <c r="AK3004" i="30"/>
  <c r="AK3003" i="30"/>
  <c r="AK3002" i="30"/>
  <c r="AK3001" i="30"/>
  <c r="AK3000" i="30"/>
  <c r="AK2999" i="30"/>
  <c r="AK2998" i="30"/>
  <c r="AK2997" i="30"/>
  <c r="AK2996" i="30"/>
  <c r="AK2995" i="30"/>
  <c r="AK2994" i="30"/>
  <c r="AK2993" i="30"/>
  <c r="AK2992" i="30"/>
  <c r="AK2991" i="30"/>
  <c r="AK2990" i="30"/>
  <c r="AK2989" i="30"/>
  <c r="AK2988" i="30"/>
  <c r="AK2987" i="30"/>
  <c r="AK2986" i="30"/>
  <c r="AK2985" i="30"/>
  <c r="AK2984" i="30"/>
  <c r="AK2983" i="30"/>
  <c r="AK2982" i="30"/>
  <c r="AK2981" i="30"/>
  <c r="AK2980" i="30"/>
  <c r="AK2979" i="30"/>
  <c r="AK2978" i="30"/>
  <c r="AK2977" i="30"/>
  <c r="AK2976" i="30"/>
  <c r="AK2975" i="30"/>
  <c r="AK2974" i="30"/>
  <c r="AK2973" i="30"/>
  <c r="AK2972" i="30"/>
  <c r="AK2971" i="30"/>
  <c r="AK2970" i="30"/>
  <c r="AK2969" i="30"/>
  <c r="AK2968" i="30"/>
  <c r="AK2967" i="30"/>
  <c r="AK2966" i="30"/>
  <c r="AK2965" i="30"/>
  <c r="AK2964" i="30"/>
  <c r="AK2963" i="30"/>
  <c r="AK2962" i="30"/>
  <c r="AK2961" i="30"/>
  <c r="AK2960" i="30"/>
  <c r="AK2959" i="30"/>
  <c r="AK2958" i="30"/>
  <c r="AK2957" i="30"/>
  <c r="AK2956" i="30"/>
  <c r="AK2955" i="30"/>
  <c r="AK2954" i="30"/>
  <c r="AK2953" i="30"/>
  <c r="AK2952" i="30"/>
  <c r="AK2951" i="30"/>
  <c r="AK2950" i="30"/>
  <c r="AK2949" i="30"/>
  <c r="AK2948" i="30"/>
  <c r="AK2947" i="30"/>
  <c r="AK2946" i="30"/>
  <c r="AK2945" i="30"/>
  <c r="AK2944" i="30"/>
  <c r="AK2943" i="30"/>
  <c r="AK2942" i="30"/>
  <c r="AK2941" i="30"/>
  <c r="AK2940" i="30"/>
  <c r="AK2939" i="30"/>
  <c r="AK2938" i="30"/>
  <c r="AK2937" i="30"/>
  <c r="AK2936" i="30"/>
  <c r="AK2935" i="30"/>
  <c r="AK2934" i="30"/>
  <c r="AK2933" i="30"/>
  <c r="AK2932" i="30"/>
  <c r="AK2931" i="30"/>
  <c r="AK2930" i="30"/>
  <c r="AK2929" i="30"/>
  <c r="AK2928" i="30"/>
  <c r="AK2927" i="30"/>
  <c r="AK2926" i="30"/>
  <c r="AK2925" i="30"/>
  <c r="AK2924" i="30"/>
  <c r="AK2923" i="30"/>
  <c r="AK2922" i="30"/>
  <c r="AK2921" i="30"/>
  <c r="AK2920" i="30"/>
  <c r="AK2919" i="30"/>
  <c r="AK2918" i="30"/>
  <c r="AK2917" i="30"/>
  <c r="AK2916" i="30"/>
  <c r="AK2915" i="30"/>
  <c r="AK2914" i="30"/>
  <c r="AK2913" i="30"/>
  <c r="AK2912" i="30"/>
  <c r="AK2911" i="30"/>
  <c r="AK2910" i="30"/>
  <c r="AK2909" i="30"/>
  <c r="AK2908" i="30"/>
  <c r="AK2907" i="30"/>
  <c r="AK2906" i="30"/>
  <c r="AK2905" i="30"/>
  <c r="AK2904" i="30"/>
  <c r="AK2903" i="30"/>
  <c r="AK2902" i="30"/>
  <c r="AK2901" i="30"/>
  <c r="AK2900" i="30"/>
  <c r="AK2899" i="30"/>
  <c r="AK2898" i="30"/>
  <c r="AK2897" i="30"/>
  <c r="AK2896" i="30"/>
  <c r="AK2895" i="30"/>
  <c r="AK2894" i="30"/>
  <c r="AK2893" i="30"/>
  <c r="AK2892" i="30"/>
  <c r="AK2891" i="30"/>
  <c r="AK2890" i="30"/>
  <c r="AK2889" i="30"/>
  <c r="AK2888" i="30"/>
  <c r="AK2887" i="30"/>
  <c r="AK2886" i="30"/>
  <c r="AK2885" i="30"/>
  <c r="AK2884" i="30"/>
  <c r="AK2883" i="30"/>
  <c r="AK2882" i="30"/>
  <c r="AK2881" i="30"/>
  <c r="AK2880" i="30"/>
  <c r="AK2879" i="30"/>
  <c r="AK2878" i="30"/>
  <c r="AK2877" i="30"/>
  <c r="AK2876" i="30"/>
  <c r="AK2875" i="30"/>
  <c r="AK2874" i="30"/>
  <c r="AK2873" i="30"/>
  <c r="AK2872" i="30"/>
  <c r="AK2871" i="30"/>
  <c r="AK2870" i="30"/>
  <c r="AK2869" i="30"/>
  <c r="AK2868" i="30"/>
  <c r="AK2867" i="30"/>
  <c r="AK2866" i="30"/>
  <c r="AK2865" i="30"/>
  <c r="AK2864" i="30"/>
  <c r="AK2863" i="30"/>
  <c r="AK2862" i="30"/>
  <c r="AK2861" i="30"/>
  <c r="AK2860" i="30"/>
  <c r="AK2859" i="30"/>
  <c r="AK2858" i="30"/>
  <c r="AK2857" i="30"/>
  <c r="AK2856" i="30"/>
  <c r="AK2855" i="30"/>
  <c r="AK2854" i="30"/>
  <c r="AK2853" i="30"/>
  <c r="AK2852" i="30"/>
  <c r="AK2851" i="30"/>
  <c r="AK2850" i="30"/>
  <c r="AK2849" i="30"/>
  <c r="AK2848" i="30"/>
  <c r="AK2847" i="30"/>
  <c r="AK2846" i="30"/>
  <c r="AK2845" i="30"/>
  <c r="AK2844" i="30"/>
  <c r="AK2843" i="30"/>
  <c r="AK2842" i="30"/>
  <c r="AK2841" i="30"/>
  <c r="AK2840" i="30"/>
  <c r="AK2839" i="30"/>
  <c r="AK2838" i="30"/>
  <c r="AK2837" i="30"/>
  <c r="AK2836" i="30"/>
  <c r="AK2835" i="30"/>
  <c r="AK2834" i="30"/>
  <c r="AK2833" i="30"/>
  <c r="AK2832" i="30"/>
  <c r="AK2831" i="30"/>
  <c r="AK2830" i="30"/>
  <c r="AK2829" i="30"/>
  <c r="AK2828" i="30"/>
  <c r="AK2827" i="30"/>
  <c r="AK2826" i="30"/>
  <c r="AK2825" i="30"/>
  <c r="AK2824" i="30"/>
  <c r="AK2823" i="30"/>
  <c r="AK2822" i="30"/>
  <c r="AK2821" i="30"/>
  <c r="AK2820" i="30"/>
  <c r="AK2819" i="30"/>
  <c r="AK2818" i="30"/>
  <c r="AK2817" i="30"/>
  <c r="AK2816" i="30"/>
  <c r="AK2815" i="30"/>
  <c r="AK2814" i="30"/>
  <c r="AK2813" i="30"/>
  <c r="AK2812" i="30"/>
  <c r="AK2811" i="30"/>
  <c r="AK2810" i="30"/>
  <c r="AK2809" i="30"/>
  <c r="AK2808" i="30"/>
  <c r="AK2807" i="30"/>
  <c r="AK2806" i="30"/>
  <c r="AK2805" i="30"/>
  <c r="AK2804" i="30"/>
  <c r="AK2803" i="30"/>
  <c r="AK2802" i="30"/>
  <c r="AK2801" i="30"/>
  <c r="AK2800" i="30"/>
  <c r="AK2799" i="30"/>
  <c r="AK2798" i="30"/>
  <c r="AK2797" i="30"/>
  <c r="AK2796" i="30"/>
  <c r="AK2795" i="30"/>
  <c r="AK2794" i="30"/>
  <c r="AK2793" i="30"/>
  <c r="AK2792" i="30"/>
  <c r="AK2791" i="30"/>
  <c r="AK2790" i="30"/>
  <c r="AK2789" i="30"/>
  <c r="AK2788" i="30"/>
  <c r="AK2787" i="30"/>
  <c r="AK2786" i="30"/>
  <c r="AK2785" i="30"/>
  <c r="AK2784" i="30"/>
  <c r="AK2783" i="30"/>
  <c r="AK2782" i="30"/>
  <c r="AK2781" i="30"/>
  <c r="AK2780" i="30"/>
  <c r="AK2779" i="30"/>
  <c r="AK2778" i="30"/>
  <c r="AK2777" i="30"/>
  <c r="AK2776" i="30"/>
  <c r="AK2775" i="30"/>
  <c r="AK2774" i="30"/>
  <c r="AK2773" i="30"/>
  <c r="AK2772" i="30"/>
  <c r="AK2771" i="30"/>
  <c r="AK2770" i="30"/>
  <c r="AK2769" i="30"/>
  <c r="AK2768" i="30"/>
  <c r="AK2767" i="30"/>
  <c r="AK2766" i="30"/>
  <c r="AK2765" i="30"/>
  <c r="AK2764" i="30"/>
  <c r="AK2763" i="30"/>
  <c r="AK2762" i="30"/>
  <c r="AK2761" i="30"/>
  <c r="AK2760" i="30"/>
  <c r="AK2759" i="30"/>
  <c r="AK2758" i="30"/>
  <c r="AK2757" i="30"/>
  <c r="AK2756" i="30"/>
  <c r="AK2755" i="30"/>
  <c r="AK2754" i="30"/>
  <c r="AK2753" i="30"/>
  <c r="AK2752" i="30"/>
  <c r="AK2751" i="30"/>
  <c r="AK2750" i="30"/>
  <c r="AK2749" i="30"/>
  <c r="AK2748" i="30"/>
  <c r="AK2747" i="30"/>
  <c r="AK2746" i="30"/>
  <c r="AK2745" i="30"/>
  <c r="AK2744" i="30"/>
  <c r="AK2743" i="30"/>
  <c r="AK2742" i="30"/>
  <c r="AK2741" i="30"/>
  <c r="AK2740" i="30"/>
  <c r="AK2739" i="30"/>
  <c r="AK2738" i="30"/>
  <c r="AK2737" i="30"/>
  <c r="AK2736" i="30"/>
  <c r="AK2735" i="30"/>
  <c r="AK2734" i="30"/>
  <c r="AK2733" i="30"/>
  <c r="AK2732" i="30"/>
  <c r="AK2731" i="30"/>
  <c r="AK2730" i="30"/>
  <c r="AK2729" i="30"/>
  <c r="AK2728" i="30"/>
  <c r="AK2727" i="30"/>
  <c r="AK2726" i="30"/>
  <c r="AK2725" i="30"/>
  <c r="AK2724" i="30"/>
  <c r="AK2723" i="30"/>
  <c r="AK2722" i="30"/>
  <c r="AK2721" i="30"/>
  <c r="AK2720" i="30"/>
  <c r="AK2719" i="30"/>
  <c r="AK2718" i="30"/>
  <c r="AK2717" i="30"/>
  <c r="AK2716" i="30"/>
  <c r="AK2715" i="30"/>
  <c r="AK2714" i="30"/>
  <c r="AK2713" i="30"/>
  <c r="AK2712" i="30"/>
  <c r="AK2711" i="30"/>
  <c r="AK2710" i="30"/>
  <c r="AK2709" i="30"/>
  <c r="AK2708" i="30"/>
  <c r="AK2707" i="30"/>
  <c r="AK2706" i="30"/>
  <c r="AK2705" i="30"/>
  <c r="AK2704" i="30"/>
  <c r="AK2703" i="30"/>
  <c r="AK2702" i="30"/>
  <c r="AK2701" i="30"/>
  <c r="AK2700" i="30"/>
  <c r="AK2699" i="30"/>
  <c r="AK2698" i="30"/>
  <c r="AK2697" i="30"/>
  <c r="AK2696" i="30"/>
  <c r="AK2695" i="30"/>
  <c r="AK2694" i="30"/>
  <c r="AK2693" i="30"/>
  <c r="AK2692" i="30"/>
  <c r="AK2691" i="30"/>
  <c r="AK2690" i="30"/>
  <c r="AK2689" i="30"/>
  <c r="AK2688" i="30"/>
  <c r="AK2687" i="30"/>
  <c r="AK2686" i="30"/>
  <c r="AK2685" i="30"/>
  <c r="AK2684" i="30"/>
  <c r="AK2683" i="30"/>
  <c r="AK2682" i="30"/>
  <c r="AK2681" i="30"/>
  <c r="AK2680" i="30"/>
  <c r="AK2679" i="30"/>
  <c r="AK2678" i="30"/>
  <c r="AK2677" i="30"/>
  <c r="AK2676" i="30"/>
  <c r="AK2675" i="30"/>
  <c r="AK2674" i="30"/>
  <c r="AK2673" i="30"/>
  <c r="AK2672" i="30"/>
  <c r="AK2671" i="30"/>
  <c r="AK2670" i="30"/>
  <c r="AK2669" i="30"/>
  <c r="AK2668" i="30"/>
  <c r="AK2667" i="30"/>
  <c r="AK2666" i="30"/>
  <c r="AK2665" i="30"/>
  <c r="AK2664" i="30"/>
  <c r="AK2663" i="30"/>
  <c r="AK2662" i="30"/>
  <c r="AK2661" i="30"/>
  <c r="AK2660" i="30"/>
  <c r="AK2659" i="30"/>
  <c r="AK2658" i="30"/>
  <c r="AK2657" i="30"/>
  <c r="AK2656" i="30"/>
  <c r="AK2655" i="30"/>
  <c r="AK2654" i="30"/>
  <c r="AK2653" i="30"/>
  <c r="AK2652" i="30"/>
  <c r="AK2651" i="30"/>
  <c r="AK2650" i="30"/>
  <c r="AK2649" i="30"/>
  <c r="AK2648" i="30"/>
  <c r="AK2647" i="30"/>
  <c r="AK2646" i="30"/>
  <c r="AK2645" i="30"/>
  <c r="AK2644" i="30"/>
  <c r="AK2643" i="30"/>
  <c r="AK2642" i="30"/>
  <c r="AK2641" i="30"/>
  <c r="AK2640" i="30"/>
  <c r="AK2639" i="30"/>
  <c r="AK2638" i="30"/>
  <c r="AK2637" i="30"/>
  <c r="AK2636" i="30"/>
  <c r="AK2635" i="30"/>
  <c r="AK2634" i="30"/>
  <c r="AK2633" i="30"/>
  <c r="AK2632" i="30"/>
  <c r="AK2631" i="30"/>
  <c r="AK2630" i="30"/>
  <c r="AK2629" i="30"/>
  <c r="AK2628" i="30"/>
  <c r="AK2627" i="30"/>
  <c r="AK2626" i="30"/>
  <c r="AK2625" i="30"/>
  <c r="AK2624" i="30"/>
  <c r="AK2623" i="30"/>
  <c r="AK2622" i="30"/>
  <c r="AK2621" i="30"/>
  <c r="AK2620" i="30"/>
  <c r="AK2619" i="30"/>
  <c r="AK2618" i="30"/>
  <c r="AK2617" i="30"/>
  <c r="AK2616" i="30"/>
  <c r="AK2615" i="30"/>
  <c r="AK2614" i="30"/>
  <c r="AK2613" i="30"/>
  <c r="AK2612" i="30"/>
  <c r="AK2611" i="30"/>
  <c r="AK2610" i="30"/>
  <c r="AK2609" i="30"/>
  <c r="AK2608" i="30"/>
  <c r="AK2607" i="30"/>
  <c r="AK2606" i="30"/>
  <c r="AK2605" i="30"/>
  <c r="AK2604" i="30"/>
  <c r="AK2603" i="30"/>
  <c r="AK2602" i="30"/>
  <c r="AK2601" i="30"/>
  <c r="AK2600" i="30"/>
  <c r="AK2599" i="30"/>
  <c r="AK2598" i="30"/>
  <c r="AK2597" i="30"/>
  <c r="AK2596" i="30"/>
  <c r="AK2595" i="30"/>
  <c r="AK2594" i="30"/>
  <c r="AK2593" i="30"/>
  <c r="AK2592" i="30"/>
  <c r="AK2591" i="30"/>
  <c r="AK2590" i="30"/>
  <c r="AK2589" i="30"/>
  <c r="AK2588" i="30"/>
  <c r="AK2587" i="30"/>
  <c r="AK2586" i="30"/>
  <c r="AK2585" i="30"/>
  <c r="AK2584" i="30"/>
  <c r="AK2583" i="30"/>
  <c r="AK2582" i="30"/>
  <c r="AK2581" i="30"/>
  <c r="AK2580" i="30"/>
  <c r="AK2579" i="30"/>
  <c r="AK2578" i="30"/>
  <c r="AK2577" i="30"/>
  <c r="AK2576" i="30"/>
  <c r="AK2575" i="30"/>
  <c r="AK2574" i="30"/>
  <c r="AK2573" i="30"/>
  <c r="AK2572" i="30"/>
  <c r="AK2571" i="30"/>
  <c r="AK2570" i="30"/>
  <c r="AK2569" i="30"/>
  <c r="AK2568" i="30"/>
  <c r="AK2567" i="30"/>
  <c r="AK2566" i="30"/>
  <c r="AK2565" i="30"/>
  <c r="AK2564" i="30"/>
  <c r="AK2563" i="30"/>
  <c r="AK2562" i="30"/>
  <c r="AK2561" i="30"/>
  <c r="AK2560" i="30"/>
  <c r="AK2559" i="30"/>
  <c r="AK2558" i="30"/>
  <c r="AK2557" i="30"/>
  <c r="AK2556" i="30"/>
  <c r="AK2555" i="30"/>
  <c r="AK2554" i="30"/>
  <c r="AK2553" i="30"/>
  <c r="AK2552" i="30"/>
  <c r="AK2551" i="30"/>
  <c r="AK2550" i="30"/>
  <c r="AK2549" i="30"/>
  <c r="AK2548" i="30"/>
  <c r="AK2547" i="30"/>
  <c r="AK2546" i="30"/>
  <c r="AK2545" i="30"/>
  <c r="AK2544" i="30"/>
  <c r="AK2543" i="30"/>
  <c r="AK2542" i="30"/>
  <c r="AK2541" i="30"/>
  <c r="AK2540" i="30"/>
  <c r="AK2539" i="30"/>
  <c r="AK2538" i="30"/>
  <c r="AK2537" i="30"/>
  <c r="AK2536" i="30"/>
  <c r="AK2535" i="30"/>
  <c r="AK2534" i="30"/>
  <c r="AK2533" i="30"/>
  <c r="AK2532" i="30"/>
  <c r="AK2531" i="30"/>
  <c r="AK2530" i="30"/>
  <c r="AK2529" i="30"/>
  <c r="AK2528" i="30"/>
  <c r="AK2527" i="30"/>
  <c r="AK2526" i="30"/>
  <c r="AK2525" i="30"/>
  <c r="AK2524" i="30"/>
  <c r="AK2523" i="30"/>
  <c r="AK2522" i="30"/>
  <c r="AK2521" i="30"/>
  <c r="AK2520" i="30"/>
  <c r="AK2519" i="30"/>
  <c r="AK2518" i="30"/>
  <c r="AK2517" i="30"/>
  <c r="AK2516" i="30"/>
  <c r="AK2515" i="30"/>
  <c r="AK2514" i="30"/>
  <c r="AK2513" i="30"/>
  <c r="AK2512" i="30"/>
  <c r="AK2511" i="30"/>
  <c r="AK2510" i="30"/>
  <c r="AK2509" i="30"/>
  <c r="AK2508" i="30"/>
  <c r="AK2507" i="30"/>
  <c r="AK2506" i="30"/>
  <c r="AK2505" i="30"/>
  <c r="AK2504" i="30"/>
  <c r="AK2503" i="30"/>
  <c r="AK2502" i="30"/>
  <c r="AK2501" i="30"/>
  <c r="AK2500" i="30"/>
  <c r="AK2499" i="30"/>
  <c r="AK2498" i="30"/>
  <c r="AK2497" i="30"/>
  <c r="AK2496" i="30"/>
  <c r="AK2495" i="30"/>
  <c r="AK2494" i="30"/>
  <c r="AK2493" i="30"/>
  <c r="AK2492" i="30"/>
  <c r="AK2491" i="30"/>
  <c r="AK2490" i="30"/>
  <c r="AK2489" i="30"/>
  <c r="AK2488" i="30"/>
  <c r="AK2487" i="30"/>
  <c r="AK2486" i="30"/>
  <c r="AK2485" i="30"/>
  <c r="AK2484" i="30"/>
  <c r="AK2483" i="30"/>
  <c r="AK2482" i="30"/>
  <c r="AK2481" i="30"/>
  <c r="AK2480" i="30"/>
  <c r="AK2479" i="30"/>
  <c r="AK2478" i="30"/>
  <c r="AK2477" i="30"/>
  <c r="AK2476" i="30"/>
  <c r="AK2475" i="30"/>
  <c r="AK2474" i="30"/>
  <c r="AK2473" i="30"/>
  <c r="AK2472" i="30"/>
  <c r="AK2471" i="30"/>
  <c r="AK2470" i="30"/>
  <c r="AK2469" i="30"/>
  <c r="AK2468" i="30"/>
  <c r="AK2467" i="30"/>
  <c r="AK2466" i="30"/>
  <c r="AK2465" i="30"/>
  <c r="AK2464" i="30"/>
  <c r="AK2463" i="30"/>
  <c r="AK2462" i="30"/>
  <c r="AK2461" i="30"/>
  <c r="AK2460" i="30"/>
  <c r="AK2459" i="30"/>
  <c r="AK2458" i="30"/>
  <c r="AK2457" i="30"/>
  <c r="AK2456" i="30"/>
  <c r="AK2455" i="30"/>
  <c r="AK2454" i="30"/>
  <c r="AK2453" i="30"/>
  <c r="AK2452" i="30"/>
  <c r="AK2451" i="30"/>
  <c r="AK2450" i="30"/>
  <c r="AK2449" i="30"/>
  <c r="AK2448" i="30"/>
  <c r="AK2447" i="30"/>
  <c r="AK2446" i="30"/>
  <c r="AK2445" i="30"/>
  <c r="AK2444" i="30"/>
  <c r="AK2443" i="30"/>
  <c r="AK2442" i="30"/>
  <c r="AK2441" i="30"/>
  <c r="AK2440" i="30"/>
  <c r="AK2439" i="30"/>
  <c r="AK2438" i="30"/>
  <c r="AK2437" i="30"/>
  <c r="AK2436" i="30"/>
  <c r="AK2435" i="30"/>
  <c r="AK2434" i="30"/>
  <c r="AK2433" i="30"/>
  <c r="AK2432" i="30"/>
  <c r="AK2431" i="30"/>
  <c r="AK2430" i="30"/>
  <c r="AK2429" i="30"/>
  <c r="AK2428" i="30"/>
  <c r="AK2427" i="30"/>
  <c r="AK2426" i="30"/>
  <c r="AK2425" i="30"/>
  <c r="AK2424" i="30"/>
  <c r="AK2423" i="30"/>
  <c r="AK2422" i="30"/>
  <c r="AK2421" i="30"/>
  <c r="AK2420" i="30"/>
  <c r="AK2419" i="30"/>
  <c r="AK2418" i="30"/>
  <c r="AK2417" i="30"/>
  <c r="AK2416" i="30"/>
  <c r="AK2415" i="30"/>
  <c r="AK2414" i="30"/>
  <c r="AK2413" i="30"/>
  <c r="AK2412" i="30"/>
  <c r="AK2411" i="30"/>
  <c r="AK2410" i="30"/>
  <c r="AK2409" i="30"/>
  <c r="AK2408" i="30"/>
  <c r="AK2407" i="30"/>
  <c r="AK2406" i="30"/>
  <c r="AK2405" i="30"/>
  <c r="AK2404" i="30"/>
  <c r="AK2403" i="30"/>
  <c r="AK2402" i="30"/>
  <c r="AK2401" i="30"/>
  <c r="AK2400" i="30"/>
  <c r="AK2399" i="30"/>
  <c r="AK2398" i="30"/>
  <c r="AK2397" i="30"/>
  <c r="AK2396" i="30"/>
  <c r="AK2395" i="30"/>
  <c r="AK2394" i="30"/>
  <c r="AK2393" i="30"/>
  <c r="AK2392" i="30"/>
  <c r="AK2391" i="30"/>
  <c r="AK2390" i="30"/>
  <c r="AK2389" i="30"/>
  <c r="AK2388" i="30"/>
  <c r="AK2387" i="30"/>
  <c r="AK2386" i="30"/>
  <c r="AK2385" i="30"/>
  <c r="AK2384" i="30"/>
  <c r="AK2383" i="30"/>
  <c r="AK2382" i="30"/>
  <c r="AK2381" i="30"/>
  <c r="AK2380" i="30"/>
  <c r="AK2379" i="30"/>
  <c r="AK2378" i="30"/>
  <c r="AK2377" i="30"/>
  <c r="AK2376" i="30"/>
  <c r="AK2375" i="30"/>
  <c r="AK2374" i="30"/>
  <c r="AK2373" i="30"/>
  <c r="AK2372" i="30"/>
  <c r="AK2371" i="30"/>
  <c r="AK2370" i="30"/>
  <c r="AK2369" i="30"/>
  <c r="AK2368" i="30"/>
  <c r="AK2367" i="30"/>
  <c r="AK2366" i="30"/>
  <c r="AK2365" i="30"/>
  <c r="AK2364" i="30"/>
  <c r="AK2363" i="30"/>
  <c r="AK2362" i="30"/>
  <c r="AK2361" i="30"/>
  <c r="AK2360" i="30"/>
  <c r="AK2359" i="30"/>
  <c r="AK2358" i="30"/>
  <c r="AK2357" i="30"/>
  <c r="AK2356" i="30"/>
  <c r="AK2355" i="30"/>
  <c r="AK2354" i="30"/>
  <c r="AK2353" i="30"/>
  <c r="AK2352" i="30"/>
  <c r="AK2351" i="30"/>
  <c r="AK2350" i="30"/>
  <c r="AK2349" i="30"/>
  <c r="AK2348" i="30"/>
  <c r="AK2347" i="30"/>
  <c r="AK2346" i="30"/>
  <c r="AK2345" i="30"/>
  <c r="AK2344" i="30"/>
  <c r="AK2343" i="30"/>
  <c r="AK2342" i="30"/>
  <c r="AK2341" i="30"/>
  <c r="AK2340" i="30"/>
  <c r="AK2339" i="30"/>
  <c r="AK2338" i="30"/>
  <c r="AK2337" i="30"/>
  <c r="AK2336" i="30"/>
  <c r="AK2335" i="30"/>
  <c r="AK2334" i="30"/>
  <c r="AK2333" i="30"/>
  <c r="AK2332" i="30"/>
  <c r="AK2331" i="30"/>
  <c r="AK2330" i="30"/>
  <c r="AK2329" i="30"/>
  <c r="AK2328" i="30"/>
  <c r="AK2327" i="30"/>
  <c r="AK2326" i="30"/>
  <c r="AK2325" i="30"/>
  <c r="AK2324" i="30"/>
  <c r="AK2323" i="30"/>
  <c r="AK2322" i="30"/>
  <c r="AK2321" i="30"/>
  <c r="AK2320" i="30"/>
  <c r="AK2319" i="30"/>
  <c r="AK2318" i="30"/>
  <c r="AK2317" i="30"/>
  <c r="AK2316" i="30"/>
  <c r="AK2315" i="30"/>
  <c r="AK2314" i="30"/>
  <c r="AK2313" i="30"/>
  <c r="AK2312" i="30"/>
  <c r="AK2311" i="30"/>
  <c r="AK2310" i="30"/>
  <c r="AK2309" i="30"/>
  <c r="AK2308" i="30"/>
  <c r="AK2307" i="30"/>
  <c r="AK2306" i="30"/>
  <c r="AK2305" i="30"/>
  <c r="AK2304" i="30"/>
  <c r="AK2303" i="30"/>
  <c r="AK2302" i="30"/>
  <c r="AK2301" i="30"/>
  <c r="AK2300" i="30"/>
  <c r="AK2299" i="30"/>
  <c r="AK2298" i="30"/>
  <c r="AK2297" i="30"/>
  <c r="AK2296" i="30"/>
  <c r="AK2295" i="30"/>
  <c r="AK2294" i="30"/>
  <c r="AK2293" i="30"/>
  <c r="AK2292" i="30"/>
  <c r="AK2291" i="30"/>
  <c r="AK2290" i="30"/>
  <c r="AK2289" i="30"/>
  <c r="AK2288" i="30"/>
  <c r="AK2287" i="30"/>
  <c r="AK2286" i="30"/>
  <c r="AK2285" i="30"/>
  <c r="AK2284" i="30"/>
  <c r="AK2283" i="30"/>
  <c r="AK2282" i="30"/>
  <c r="AK2281" i="30"/>
  <c r="AK2280" i="30"/>
  <c r="AK2279" i="30"/>
  <c r="AK2278" i="30"/>
  <c r="AK2277" i="30"/>
  <c r="AK2276" i="30"/>
  <c r="AK2275" i="30"/>
  <c r="AK2274" i="30"/>
  <c r="AK2273" i="30"/>
  <c r="AK2272" i="30"/>
  <c r="AK2271" i="30"/>
  <c r="AK2270" i="30"/>
  <c r="AK2269" i="30"/>
  <c r="AK2268" i="30"/>
  <c r="AK2267" i="30"/>
  <c r="AK2266" i="30"/>
  <c r="AK2265" i="30"/>
  <c r="AK2264" i="30"/>
  <c r="AK2263" i="30"/>
  <c r="AK2262" i="30"/>
  <c r="AK2261" i="30"/>
  <c r="AK2260" i="30"/>
  <c r="AK2259" i="30"/>
  <c r="AK2258" i="30"/>
  <c r="AK2257" i="30"/>
  <c r="AK2256" i="30"/>
  <c r="AK2255" i="30"/>
  <c r="AK2254" i="30"/>
  <c r="AK2253" i="30"/>
  <c r="AK2252" i="30"/>
  <c r="AK2251" i="30"/>
  <c r="AK2250" i="30"/>
  <c r="AK2249" i="30"/>
  <c r="AK2248" i="30"/>
  <c r="AK2247" i="30"/>
  <c r="AK2246" i="30"/>
  <c r="AK2245" i="30"/>
  <c r="AK2244" i="30"/>
  <c r="AK2243" i="30"/>
  <c r="AK2242" i="30"/>
  <c r="AK2241" i="30"/>
  <c r="AK2240" i="30"/>
  <c r="AK2239" i="30"/>
  <c r="AK2238" i="30"/>
  <c r="AK2237" i="30"/>
  <c r="AK2236" i="30"/>
  <c r="AK2235" i="30"/>
  <c r="AK2234" i="30"/>
  <c r="AK2233" i="30"/>
  <c r="AK2232" i="30"/>
  <c r="AK2231" i="30"/>
  <c r="AK2230" i="30"/>
  <c r="AK2229" i="30"/>
  <c r="AK2228" i="30"/>
  <c r="AK2227" i="30"/>
  <c r="AK2226" i="30"/>
  <c r="AK2225" i="30"/>
  <c r="AK2224" i="30"/>
  <c r="AK2223" i="30"/>
  <c r="AK2222" i="30"/>
  <c r="AK2221" i="30"/>
  <c r="AK2220" i="30"/>
  <c r="AK2219" i="30"/>
  <c r="AK2218" i="30"/>
  <c r="AK2217" i="30"/>
  <c r="AK2216" i="30"/>
  <c r="AK2215" i="30"/>
  <c r="AK2214" i="30"/>
  <c r="AK2213" i="30"/>
  <c r="AK2212" i="30"/>
  <c r="AK2211" i="30"/>
  <c r="AK2210" i="30"/>
  <c r="AK2209" i="30"/>
  <c r="AK2208" i="30"/>
  <c r="AK2207" i="30"/>
  <c r="AK2206" i="30"/>
  <c r="AK2205" i="30"/>
  <c r="AK2204" i="30"/>
  <c r="AK2203" i="30"/>
  <c r="AK2202" i="30"/>
  <c r="AK2201" i="30"/>
  <c r="AK2200" i="30"/>
  <c r="AK2199" i="30"/>
  <c r="AK2198" i="30"/>
  <c r="AK2197" i="30"/>
  <c r="AK2196" i="30"/>
  <c r="AK2195" i="30"/>
  <c r="AK2194" i="30"/>
  <c r="AK2193" i="30"/>
  <c r="AK2192" i="30"/>
  <c r="AK2191" i="30"/>
  <c r="AK2190" i="30"/>
  <c r="AK2189" i="30"/>
  <c r="AK2188" i="30"/>
  <c r="AK2187" i="30"/>
  <c r="AK2186" i="30"/>
  <c r="AK2185" i="30"/>
  <c r="AK2184" i="30"/>
  <c r="AK2183" i="30"/>
  <c r="AK2182" i="30"/>
  <c r="AK2181" i="30"/>
  <c r="AK2180" i="30"/>
  <c r="AK2179" i="30"/>
  <c r="AK2178" i="30"/>
  <c r="AK2177" i="30"/>
  <c r="AK2176" i="30"/>
  <c r="AK2175" i="30"/>
  <c r="AK2174" i="30"/>
  <c r="AK2173" i="30"/>
  <c r="AK2172" i="30"/>
  <c r="AK2171" i="30"/>
  <c r="AK2170" i="30"/>
  <c r="AK2169" i="30"/>
  <c r="AK2168" i="30"/>
  <c r="AK2167" i="30"/>
  <c r="AK2166" i="30"/>
  <c r="AK2165" i="30"/>
  <c r="AK2164" i="30"/>
  <c r="AK2163" i="30"/>
  <c r="AK2162" i="30"/>
  <c r="AK2161" i="30"/>
  <c r="AK2160" i="30"/>
  <c r="AK2159" i="30"/>
  <c r="AK2158" i="30"/>
  <c r="AK2157" i="30"/>
  <c r="AK2156" i="30"/>
  <c r="AK2155" i="30"/>
  <c r="AK2154" i="30"/>
  <c r="AK2153" i="30"/>
  <c r="AK2152" i="30"/>
  <c r="AK2151" i="30"/>
  <c r="AK2150" i="30"/>
  <c r="AK2149" i="30"/>
  <c r="AK2148" i="30"/>
  <c r="AK2147" i="30"/>
  <c r="AK2146" i="30"/>
  <c r="AK2145" i="30"/>
  <c r="AK2144" i="30"/>
  <c r="AK2143" i="30"/>
  <c r="AK2142" i="30"/>
  <c r="AK2141" i="30"/>
  <c r="AK2140" i="30"/>
  <c r="AK2139" i="30"/>
  <c r="AK2138" i="30"/>
  <c r="AK2137" i="30"/>
  <c r="AK2136" i="30"/>
  <c r="AK2135" i="30"/>
  <c r="AK2134" i="30"/>
  <c r="AK2133" i="30"/>
  <c r="AK2132" i="30"/>
  <c r="AK2131" i="30"/>
  <c r="AK2130" i="30"/>
  <c r="AK2129" i="30"/>
  <c r="AK2128" i="30"/>
  <c r="AK2127" i="30"/>
  <c r="AK2126" i="30"/>
  <c r="AK2125" i="30"/>
  <c r="AK2124" i="30"/>
  <c r="AK2123" i="30"/>
  <c r="AK2122" i="30"/>
  <c r="AK2121" i="30"/>
  <c r="AK2120" i="30"/>
  <c r="AK2119" i="30"/>
  <c r="AK2118" i="30"/>
  <c r="AK2117" i="30"/>
  <c r="AK2116" i="30"/>
  <c r="AK2115" i="30"/>
  <c r="AK2114" i="30"/>
  <c r="AK2113" i="30"/>
  <c r="AK2112" i="30"/>
  <c r="AK2111" i="30"/>
  <c r="AK2110" i="30"/>
  <c r="AK2109" i="30"/>
  <c r="AK2108" i="30"/>
  <c r="AK2107" i="30"/>
  <c r="AK2106" i="30"/>
  <c r="AK2105" i="30"/>
  <c r="AK2104" i="30"/>
  <c r="AK2103" i="30"/>
  <c r="AK2102" i="30"/>
  <c r="AK2101" i="30"/>
  <c r="AK2100" i="30"/>
  <c r="AK2099" i="30"/>
  <c r="AK2098" i="30"/>
  <c r="AK2097" i="30"/>
  <c r="AK2096" i="30"/>
  <c r="AK2095" i="30"/>
  <c r="AK2094" i="30"/>
  <c r="AK2093" i="30"/>
  <c r="AK2092" i="30"/>
  <c r="AK2091" i="30"/>
  <c r="AK2090" i="30"/>
  <c r="AK2089" i="30"/>
  <c r="AK2088" i="30"/>
  <c r="AK2087" i="30"/>
  <c r="AK2086" i="30"/>
  <c r="AK2085" i="30"/>
  <c r="AK2084" i="30"/>
  <c r="AK2083" i="30"/>
  <c r="AK2082" i="30"/>
  <c r="AK2081" i="30"/>
  <c r="AK2080" i="30"/>
  <c r="AK2079" i="30"/>
  <c r="AK2078" i="30"/>
  <c r="AK2077" i="30"/>
  <c r="AK2076" i="30"/>
  <c r="AK2075" i="30"/>
  <c r="AK2074" i="30"/>
  <c r="AK2073" i="30"/>
  <c r="AK2072" i="30"/>
  <c r="AK2071" i="30"/>
  <c r="AK2070" i="30"/>
  <c r="AK2069" i="30"/>
  <c r="AK2068" i="30"/>
  <c r="AK2067" i="30"/>
  <c r="AK2066" i="30"/>
  <c r="AK2065" i="30"/>
  <c r="AK2064" i="30"/>
  <c r="AK2063" i="30"/>
  <c r="AK2062" i="30"/>
  <c r="AK2061" i="30"/>
  <c r="AK2060" i="30"/>
  <c r="AK2059" i="30"/>
  <c r="AK2058" i="30"/>
  <c r="AK2057" i="30"/>
  <c r="AK2056" i="30"/>
  <c r="AK2055" i="30"/>
  <c r="AK2054" i="30"/>
  <c r="AK2053" i="30"/>
  <c r="AK2052" i="30"/>
  <c r="AK2051" i="30"/>
  <c r="AK2050" i="30"/>
  <c r="AK2049" i="30"/>
  <c r="AK2048" i="30"/>
  <c r="AK2047" i="30"/>
  <c r="AK2046" i="30"/>
  <c r="AK2045" i="30"/>
  <c r="AK2044" i="30"/>
  <c r="AK2043" i="30"/>
  <c r="AK2042" i="30"/>
  <c r="AK2041" i="30"/>
  <c r="AK2040" i="30"/>
  <c r="AK2039" i="30"/>
  <c r="AK2038" i="30"/>
  <c r="AK2037" i="30"/>
  <c r="AK2036" i="30"/>
  <c r="AK2035" i="30"/>
  <c r="AK2034" i="30"/>
  <c r="AK2033" i="30"/>
  <c r="AK2032" i="30"/>
  <c r="AK2031" i="30"/>
  <c r="AK2030" i="30"/>
  <c r="AK2029" i="30"/>
  <c r="AK2028" i="30"/>
  <c r="AK2027" i="30"/>
  <c r="AK2026" i="30"/>
  <c r="AK2025" i="30"/>
  <c r="AK2024" i="30"/>
  <c r="AK2023" i="30"/>
  <c r="AK2022" i="30"/>
  <c r="AK2021" i="30"/>
  <c r="AK2020" i="30"/>
  <c r="AK2019" i="30"/>
  <c r="AK2018" i="30"/>
  <c r="AK2017" i="30"/>
  <c r="AK2016" i="30"/>
  <c r="AK2015" i="30"/>
  <c r="AK2014" i="30"/>
  <c r="AK2013" i="30"/>
  <c r="AK2012" i="30"/>
  <c r="AK2011" i="30"/>
  <c r="AK2010" i="30"/>
  <c r="AK2009" i="30"/>
  <c r="AK2008" i="30"/>
  <c r="AK2007" i="30"/>
  <c r="AK2006" i="30"/>
  <c r="AK2005" i="30"/>
  <c r="AK2004" i="30"/>
  <c r="AK2003" i="30"/>
  <c r="AK2002" i="30"/>
  <c r="AK2001" i="30"/>
  <c r="AK2000" i="30"/>
  <c r="AK1999" i="30"/>
  <c r="AK1998" i="30"/>
  <c r="AK1997" i="30"/>
  <c r="AK1996" i="30"/>
  <c r="AK1995" i="30"/>
  <c r="AK1994" i="30"/>
  <c r="AK1993" i="30"/>
  <c r="AK1992" i="30"/>
  <c r="AK1991" i="30"/>
  <c r="AK1990" i="30"/>
  <c r="AK1989" i="30"/>
  <c r="AK1988" i="30"/>
  <c r="AK1987" i="30"/>
  <c r="AK1986" i="30"/>
  <c r="AK1985" i="30"/>
  <c r="AK1984" i="30"/>
  <c r="AK1983" i="30"/>
  <c r="AK1982" i="30"/>
  <c r="AK1981" i="30"/>
  <c r="AK1980" i="30"/>
  <c r="AK1979" i="30"/>
  <c r="AK1978" i="30"/>
  <c r="AK1977" i="30"/>
  <c r="AK1976" i="30"/>
  <c r="AK1975" i="30"/>
  <c r="AK1974" i="30"/>
  <c r="AK1973" i="30"/>
  <c r="AK1972" i="30"/>
  <c r="AK1971" i="30"/>
  <c r="AK1970" i="30"/>
  <c r="AK1969" i="30"/>
  <c r="AK1968" i="30"/>
  <c r="AK1967" i="30"/>
  <c r="AK1966" i="30"/>
  <c r="AK1965" i="30"/>
  <c r="AK1964" i="30"/>
  <c r="AK1963" i="30"/>
  <c r="AK1962" i="30"/>
  <c r="AK1961" i="30"/>
  <c r="AK1960" i="30"/>
  <c r="AK1959" i="30"/>
  <c r="AK1958" i="30"/>
  <c r="AK1957" i="30"/>
  <c r="AK1956" i="30"/>
  <c r="AK1955" i="30"/>
  <c r="AK1954" i="30"/>
  <c r="AK1953" i="30"/>
  <c r="AK1952" i="30"/>
  <c r="AK1951" i="30"/>
  <c r="AK1950" i="30"/>
  <c r="AK1949" i="30"/>
  <c r="AK1948" i="30"/>
  <c r="AK1947" i="30"/>
  <c r="AK1946" i="30"/>
  <c r="AK1945" i="30"/>
  <c r="AK1944" i="30"/>
  <c r="AK1943" i="30"/>
  <c r="AK1942" i="30"/>
  <c r="AK1941" i="30"/>
  <c r="AK1940" i="30"/>
  <c r="AK1939" i="30"/>
  <c r="AK1938" i="30"/>
  <c r="AK1937" i="30"/>
  <c r="AK1936" i="30"/>
  <c r="AK1935" i="30"/>
  <c r="AK1934" i="30"/>
  <c r="AK1933" i="30"/>
  <c r="AK1932" i="30"/>
  <c r="AK1931" i="30"/>
  <c r="AK1930" i="30"/>
  <c r="AK1929" i="30"/>
  <c r="AK1928" i="30"/>
  <c r="AK1927" i="30"/>
  <c r="AK1926" i="30"/>
  <c r="AK1925" i="30"/>
  <c r="AK1924" i="30"/>
  <c r="AK1923" i="30"/>
  <c r="AK1922" i="30"/>
  <c r="AK1921" i="30"/>
  <c r="AK1920" i="30"/>
  <c r="AK1919" i="30"/>
  <c r="AK1918" i="30"/>
  <c r="AK1917" i="30"/>
  <c r="AK1916" i="30"/>
  <c r="AK1915" i="30"/>
  <c r="AK1914" i="30"/>
  <c r="AK1913" i="30"/>
  <c r="AK1912" i="30"/>
  <c r="AK1911" i="30"/>
  <c r="AK1910" i="30"/>
  <c r="AK1909" i="30"/>
  <c r="AK1908" i="30"/>
  <c r="AK1907" i="30"/>
  <c r="AK1906" i="30"/>
  <c r="AK1905" i="30"/>
  <c r="AK1904" i="30"/>
  <c r="AK1903" i="30"/>
  <c r="AK1902" i="30"/>
  <c r="AK1901" i="30"/>
  <c r="AK1900" i="30"/>
  <c r="AK1899" i="30"/>
  <c r="AK1898" i="30"/>
  <c r="AK1897" i="30"/>
  <c r="AK1896" i="30"/>
  <c r="AK1895" i="30"/>
  <c r="AK1894" i="30"/>
  <c r="AK1893" i="30"/>
  <c r="AK1892" i="30"/>
  <c r="AK1891" i="30"/>
  <c r="AK1890" i="30"/>
  <c r="AK1889" i="30"/>
  <c r="AK1888" i="30"/>
  <c r="AK1887" i="30"/>
  <c r="AK1886" i="30"/>
  <c r="AK1885" i="30"/>
  <c r="AK1884" i="30"/>
  <c r="AK1883" i="30"/>
  <c r="AK1882" i="30"/>
  <c r="AK1881" i="30"/>
  <c r="AK1880" i="30"/>
  <c r="AK1879" i="30"/>
  <c r="AK1878" i="30"/>
  <c r="AK1877" i="30"/>
  <c r="AK1876" i="30"/>
  <c r="AK1875" i="30"/>
  <c r="AK1874" i="30"/>
  <c r="AK1873" i="30"/>
  <c r="AK1872" i="30"/>
  <c r="AK1871" i="30"/>
  <c r="AK1870" i="30"/>
  <c r="AK1869" i="30"/>
  <c r="AK1868" i="30"/>
  <c r="AK1867" i="30"/>
  <c r="AK1866" i="30"/>
  <c r="AK1865" i="30"/>
  <c r="AK1864" i="30"/>
  <c r="AK1863" i="30"/>
  <c r="AK1862" i="30"/>
  <c r="AK1861" i="30"/>
  <c r="AK1860" i="30"/>
  <c r="AK1859" i="30"/>
  <c r="AK1858" i="30"/>
  <c r="AK1857" i="30"/>
  <c r="AK1856" i="30"/>
  <c r="AK1855" i="30"/>
  <c r="AK1854" i="30"/>
  <c r="AK1853" i="30"/>
  <c r="AK1852" i="30"/>
  <c r="AK1851" i="30"/>
  <c r="AK1850" i="30"/>
  <c r="AK1849" i="30"/>
  <c r="AK1848" i="30"/>
  <c r="AK1847" i="30"/>
  <c r="AK1846" i="30"/>
  <c r="AK1845" i="30"/>
  <c r="AK1844" i="30"/>
  <c r="AK1843" i="30"/>
  <c r="AK1842" i="30"/>
  <c r="AK1841" i="30"/>
  <c r="AK1840" i="30"/>
  <c r="AK1839" i="30"/>
  <c r="AK1838" i="30"/>
  <c r="AK1837" i="30"/>
  <c r="AK1836" i="30"/>
  <c r="AK1835" i="30"/>
  <c r="AK1834" i="30"/>
  <c r="AK1833" i="30"/>
  <c r="AK1832" i="30"/>
  <c r="AK1831" i="30"/>
  <c r="AK1830" i="30"/>
  <c r="AK1829" i="30"/>
  <c r="AK1828" i="30"/>
  <c r="AK1827" i="30"/>
  <c r="AK1826" i="30"/>
  <c r="AK1825" i="30"/>
  <c r="AK1824" i="30"/>
  <c r="AK1823" i="30"/>
  <c r="AK1822" i="30"/>
  <c r="AK1821" i="30"/>
  <c r="AK1820" i="30"/>
  <c r="AK1819" i="30"/>
  <c r="AK1818" i="30"/>
  <c r="AK1817" i="30"/>
  <c r="AK1816" i="30"/>
  <c r="AK1815" i="30"/>
  <c r="AK1814" i="30"/>
  <c r="AK1813" i="30"/>
  <c r="AK1812" i="30"/>
  <c r="AK1811" i="30"/>
  <c r="AK1810" i="30"/>
  <c r="AK1809" i="30"/>
  <c r="AK1808" i="30"/>
  <c r="AK1807" i="30"/>
  <c r="AK1806" i="30"/>
  <c r="AK1805" i="30"/>
  <c r="AK1804" i="30"/>
  <c r="AK1803" i="30"/>
  <c r="AK1802" i="30"/>
  <c r="AK1801" i="30"/>
  <c r="AK1800" i="30"/>
  <c r="AK1799" i="30"/>
  <c r="AK1798" i="30"/>
  <c r="AK1797" i="30"/>
  <c r="AK1796" i="30"/>
  <c r="AK1795" i="30"/>
  <c r="AK1794" i="30"/>
  <c r="AK1793" i="30"/>
  <c r="AK1792" i="30"/>
  <c r="AK1791" i="30"/>
  <c r="AK1790" i="30"/>
  <c r="AK1789" i="30"/>
  <c r="AK1788" i="30"/>
  <c r="AK1787" i="30"/>
  <c r="AK1786" i="30"/>
  <c r="AK1785" i="30"/>
  <c r="AK1784" i="30"/>
  <c r="AK1783" i="30"/>
  <c r="AK1782" i="30"/>
  <c r="AK1781" i="30"/>
  <c r="AK1780" i="30"/>
  <c r="AK1779" i="30"/>
  <c r="AK1778" i="30"/>
  <c r="AK1777" i="30"/>
  <c r="AK1776" i="30"/>
  <c r="AK1775" i="30"/>
  <c r="AK1774" i="30"/>
  <c r="AK1773" i="30"/>
  <c r="AK1772" i="30"/>
  <c r="AK1771" i="30"/>
  <c r="AK1770" i="30"/>
  <c r="AK1769" i="30"/>
  <c r="AK1768" i="30"/>
  <c r="AK1767" i="30"/>
  <c r="AK1766" i="30"/>
  <c r="AK1765" i="30"/>
  <c r="AK1764" i="30"/>
  <c r="AK1763" i="30"/>
  <c r="AK1762" i="30"/>
  <c r="AK1761" i="30"/>
  <c r="AK1760" i="30"/>
  <c r="AK1759" i="30"/>
  <c r="AK1758" i="30"/>
  <c r="AK1757" i="30"/>
  <c r="AK1756" i="30"/>
  <c r="AK1755" i="30"/>
  <c r="AK1754" i="30"/>
  <c r="AK1753" i="30"/>
  <c r="AK1752" i="30"/>
  <c r="AK1751" i="30"/>
  <c r="AK1750" i="30"/>
  <c r="AK1749" i="30"/>
  <c r="AK1748" i="30"/>
  <c r="AK1747" i="30"/>
  <c r="AK1746" i="30"/>
  <c r="AK1745" i="30"/>
  <c r="AK1744" i="30"/>
  <c r="AK1743" i="30"/>
  <c r="AK1742" i="30"/>
  <c r="AK1741" i="30"/>
  <c r="AK1740" i="30"/>
  <c r="AK1739" i="30"/>
  <c r="AK1738" i="30"/>
  <c r="AK1737" i="30"/>
  <c r="AK1736" i="30"/>
  <c r="AK1735" i="30"/>
  <c r="AK1734" i="30"/>
  <c r="AK1733" i="30"/>
  <c r="AK1732" i="30"/>
  <c r="AK1731" i="30"/>
  <c r="AK1730" i="30"/>
  <c r="AK1729" i="30"/>
  <c r="AK1728" i="30"/>
  <c r="AK1727" i="30"/>
  <c r="AK1726" i="30"/>
  <c r="AK1725" i="30"/>
  <c r="AK1724" i="30"/>
  <c r="AK1723" i="30"/>
  <c r="AK1722" i="30"/>
  <c r="AK1721" i="30"/>
  <c r="AK1720" i="30"/>
  <c r="AK1719" i="30"/>
  <c r="AK1718" i="30"/>
  <c r="AK1717" i="30"/>
  <c r="AK1716" i="30"/>
  <c r="AK1715" i="30"/>
  <c r="AK1714" i="30"/>
  <c r="AK1713" i="30"/>
  <c r="AK1712" i="30"/>
  <c r="AK1711" i="30"/>
  <c r="AK1710" i="30"/>
  <c r="AK1709" i="30"/>
  <c r="AK1708" i="30"/>
  <c r="AK1707" i="30"/>
  <c r="AK1706" i="30"/>
  <c r="AK1705" i="30"/>
  <c r="AK1704" i="30"/>
  <c r="AK1703" i="30"/>
  <c r="AK1702" i="30"/>
  <c r="AK1701" i="30"/>
  <c r="AK1700" i="30"/>
  <c r="AK1699" i="30"/>
  <c r="AK1698" i="30"/>
  <c r="AK1697" i="30"/>
  <c r="AK1696" i="30"/>
  <c r="AK1695" i="30"/>
  <c r="AK1694" i="30"/>
  <c r="AK1693" i="30"/>
  <c r="AK1692" i="30"/>
  <c r="AK1691" i="30"/>
  <c r="AK1690" i="30"/>
  <c r="AK1689" i="30"/>
  <c r="AK1688" i="30"/>
  <c r="AK1687" i="30"/>
  <c r="AK1686" i="30"/>
  <c r="AK1685" i="30"/>
  <c r="AK1684" i="30"/>
  <c r="AK1683" i="30"/>
  <c r="AK1682" i="30"/>
  <c r="AK1681" i="30"/>
  <c r="AK1680" i="30"/>
  <c r="AK1679" i="30"/>
  <c r="AK1678" i="30"/>
  <c r="AK1677" i="30"/>
  <c r="AK1676" i="30"/>
  <c r="AK1675" i="30"/>
  <c r="AK1674" i="30"/>
  <c r="AK1673" i="30"/>
  <c r="AK1672" i="30"/>
  <c r="AK1671" i="30"/>
  <c r="AK1670" i="30"/>
  <c r="AK1669" i="30"/>
  <c r="AK1668" i="30"/>
  <c r="AK1667" i="30"/>
  <c r="AK1666" i="30"/>
  <c r="AK1665" i="30"/>
  <c r="AK1664" i="30"/>
  <c r="AK1663" i="30"/>
  <c r="AK1662" i="30"/>
  <c r="AK1661" i="30"/>
  <c r="AK1660" i="30"/>
  <c r="AK1659" i="30"/>
  <c r="AK1658" i="30"/>
  <c r="AK1657" i="30"/>
  <c r="AK1656" i="30"/>
  <c r="AK1655" i="30"/>
  <c r="AK1654" i="30"/>
  <c r="AK1653" i="30"/>
  <c r="AK1652" i="30"/>
  <c r="AK1651" i="30"/>
  <c r="AK1650" i="30"/>
  <c r="AK1649" i="30"/>
  <c r="AK1648" i="30"/>
  <c r="AK1647" i="30"/>
  <c r="AK1646" i="30"/>
  <c r="AK1645" i="30"/>
  <c r="AK1644" i="30"/>
  <c r="AK1643" i="30"/>
  <c r="AK1642" i="30"/>
  <c r="AK1641" i="30"/>
  <c r="AK1640" i="30"/>
  <c r="AK1639" i="30"/>
  <c r="AK1638" i="30"/>
  <c r="AK1637" i="30"/>
  <c r="AK1636" i="30"/>
  <c r="AK1635" i="30"/>
  <c r="AK1634" i="30"/>
  <c r="AK1633" i="30"/>
  <c r="AK1632" i="30"/>
  <c r="AK1631" i="30"/>
  <c r="AK1630" i="30"/>
  <c r="AK1629" i="30"/>
  <c r="AK1628" i="30"/>
  <c r="AK1627" i="30"/>
  <c r="AK1626" i="30"/>
  <c r="AK1625" i="30"/>
  <c r="AK1624" i="30"/>
  <c r="AK1623" i="30"/>
  <c r="AK1622" i="30"/>
  <c r="AK1621" i="30"/>
  <c r="AK1620" i="30"/>
  <c r="AK1619" i="30"/>
  <c r="AK1618" i="30"/>
  <c r="AK1617" i="30"/>
  <c r="AK1616" i="30"/>
  <c r="AK1615" i="30"/>
  <c r="AK1614" i="30"/>
  <c r="AK1613" i="30"/>
  <c r="AK1612" i="30"/>
  <c r="AK1611" i="30"/>
  <c r="AK1610" i="30"/>
  <c r="AK1609" i="30"/>
  <c r="AK1608" i="30"/>
  <c r="AK1607" i="30"/>
  <c r="AK1606" i="30"/>
  <c r="AK1605" i="30"/>
  <c r="AK1604" i="30"/>
  <c r="AK1603" i="30"/>
  <c r="AK1602" i="30"/>
  <c r="AK1601" i="30"/>
  <c r="AK1600" i="30"/>
  <c r="AK1599" i="30"/>
  <c r="AK1598" i="30"/>
  <c r="AK1597" i="30"/>
  <c r="AK1596" i="30"/>
  <c r="AK1595" i="30"/>
  <c r="AK1594" i="30"/>
  <c r="AK1593" i="30"/>
  <c r="AK1592" i="30"/>
  <c r="AK1591" i="30"/>
  <c r="AK1590" i="30"/>
  <c r="AK1589" i="30"/>
  <c r="AK1588" i="30"/>
  <c r="AK1587" i="30"/>
  <c r="AK1586" i="30"/>
  <c r="AK1585" i="30"/>
  <c r="AK1584" i="30"/>
  <c r="AK1583" i="30"/>
  <c r="AK1582" i="30"/>
  <c r="AK1581" i="30"/>
  <c r="AK1580" i="30"/>
  <c r="AK1579" i="30"/>
  <c r="AK1578" i="30"/>
  <c r="AK1577" i="30"/>
  <c r="AK1576" i="30"/>
  <c r="AK1575" i="30"/>
  <c r="AK1574" i="30"/>
  <c r="AK1573" i="30"/>
  <c r="AK1572" i="30"/>
  <c r="AK1571" i="30"/>
  <c r="AK1570" i="30"/>
  <c r="AK1569" i="30"/>
  <c r="AK1568" i="30"/>
  <c r="AK1567" i="30"/>
  <c r="AK1566" i="30"/>
  <c r="AK1565" i="30"/>
  <c r="AK1564" i="30"/>
  <c r="AK1563" i="30"/>
  <c r="AK1562" i="30"/>
  <c r="AK1561" i="30"/>
  <c r="AK1560" i="30"/>
  <c r="AK1559" i="30"/>
  <c r="AK1558" i="30"/>
  <c r="AK1557" i="30"/>
  <c r="AK1556" i="30"/>
  <c r="AK1555" i="30"/>
  <c r="AK1554" i="30"/>
  <c r="AK1553" i="30"/>
  <c r="AK1552" i="30"/>
  <c r="AK1551" i="30"/>
  <c r="AK1550" i="30"/>
  <c r="AK1549" i="30"/>
  <c r="AK1548" i="30"/>
  <c r="AK1547" i="30"/>
  <c r="AK1546" i="30"/>
  <c r="AK1545" i="30"/>
  <c r="AK1544" i="30"/>
  <c r="AK1543" i="30"/>
  <c r="AK1542" i="30"/>
  <c r="AK1541" i="30"/>
  <c r="AK1540" i="30"/>
  <c r="AK1539" i="30"/>
  <c r="AK1538" i="30"/>
  <c r="AK1537" i="30"/>
  <c r="AK1536" i="30"/>
  <c r="AK1535" i="30"/>
  <c r="AK1534" i="30"/>
  <c r="AK1533" i="30"/>
  <c r="AK1532" i="30"/>
  <c r="AK1531" i="30"/>
  <c r="AK1530" i="30"/>
  <c r="AK1529" i="30"/>
  <c r="AK1528" i="30"/>
  <c r="AK1527" i="30"/>
  <c r="AK1526" i="30"/>
  <c r="AK1525" i="30"/>
  <c r="AK1524" i="30"/>
  <c r="AK1523" i="30"/>
  <c r="AK1522" i="30"/>
  <c r="AK1521" i="30"/>
  <c r="AK1520" i="30"/>
  <c r="AK1519" i="30"/>
  <c r="AK1518" i="30"/>
  <c r="AK1517" i="30"/>
  <c r="AK1516" i="30"/>
  <c r="AK1515" i="30"/>
  <c r="AK1514" i="30"/>
  <c r="AK1513" i="30"/>
  <c r="AK1512" i="30"/>
  <c r="AK1511" i="30"/>
  <c r="AK1510" i="30"/>
  <c r="AK1509" i="30"/>
  <c r="AK1508" i="30"/>
  <c r="AK1507" i="30"/>
  <c r="AK1506" i="30"/>
  <c r="AK1505" i="30"/>
  <c r="AK1504" i="30"/>
  <c r="AK1503" i="30"/>
  <c r="AK1502" i="30"/>
  <c r="AK1501" i="30"/>
  <c r="AK1500" i="30"/>
  <c r="AK1499" i="30"/>
  <c r="AK1498" i="30"/>
  <c r="AK1497" i="30"/>
  <c r="AK1496" i="30"/>
  <c r="AK1495" i="30"/>
  <c r="AK1494" i="30"/>
  <c r="AK1493" i="30"/>
  <c r="AK1492" i="30"/>
  <c r="AK1491" i="30"/>
  <c r="AK1490" i="30"/>
  <c r="AK1489" i="30"/>
  <c r="AK1488" i="30"/>
  <c r="AK1487" i="30"/>
  <c r="AK1486" i="30"/>
  <c r="AK1485" i="30"/>
  <c r="AK1484" i="30"/>
  <c r="AK1483" i="30"/>
  <c r="AK1482" i="30"/>
  <c r="AK1481" i="30"/>
  <c r="AK1480" i="30"/>
  <c r="AK1479" i="30"/>
  <c r="AK1478" i="30"/>
  <c r="AK1477" i="30"/>
  <c r="AK1476" i="30"/>
  <c r="AK1475" i="30"/>
  <c r="AK1474" i="30"/>
  <c r="AK1473" i="30"/>
  <c r="AK1472" i="30"/>
  <c r="AK1471" i="30"/>
  <c r="AK1470" i="30"/>
  <c r="AK1469" i="30"/>
  <c r="AK1468" i="30"/>
  <c r="AK1467" i="30"/>
  <c r="AK1466" i="30"/>
  <c r="AK1465" i="30"/>
  <c r="AK1464" i="30"/>
  <c r="AK1463" i="30"/>
  <c r="AK1462" i="30"/>
  <c r="AK1461" i="30"/>
  <c r="AK1460" i="30"/>
  <c r="AK1459" i="30"/>
  <c r="AK1458" i="30"/>
  <c r="AK1457" i="30"/>
  <c r="AK1456" i="30"/>
  <c r="AK1455" i="30"/>
  <c r="AK1454" i="30"/>
  <c r="AK1453" i="30"/>
  <c r="AK1452" i="30"/>
  <c r="AK1451" i="30"/>
  <c r="AK1450" i="30"/>
  <c r="AK1449" i="30"/>
  <c r="AK1448" i="30"/>
  <c r="AK1447" i="30"/>
  <c r="AK1446" i="30"/>
  <c r="AK1445" i="30"/>
  <c r="AK1444" i="30"/>
  <c r="AK1443" i="30"/>
  <c r="AK1442" i="30"/>
  <c r="AK1441" i="30"/>
  <c r="AK1440" i="30"/>
  <c r="AK1439" i="30"/>
  <c r="AK1438" i="30"/>
  <c r="AK1437" i="30"/>
  <c r="AK1436" i="30"/>
  <c r="AK1435" i="30"/>
  <c r="AK1434" i="30"/>
  <c r="AK1433" i="30"/>
  <c r="AK1432" i="30"/>
  <c r="AK1431" i="30"/>
  <c r="AK1430" i="30"/>
  <c r="AK1429" i="30"/>
  <c r="AK1428" i="30"/>
  <c r="AK1427" i="30"/>
  <c r="AK1426" i="30"/>
  <c r="AK1425" i="30"/>
  <c r="AK1424" i="30"/>
  <c r="AK1423" i="30"/>
  <c r="AK1422" i="30"/>
  <c r="AK1421" i="30"/>
  <c r="AK1420" i="30"/>
  <c r="AK1419" i="30"/>
  <c r="AK1418" i="30"/>
  <c r="AK1417" i="30"/>
  <c r="AK1416" i="30"/>
  <c r="AK1415" i="30"/>
  <c r="AK1414" i="30"/>
  <c r="AK1413" i="30"/>
  <c r="AK1412" i="30"/>
  <c r="AK1411" i="30"/>
  <c r="AK1410" i="30"/>
  <c r="AK1409" i="30"/>
  <c r="AK1408" i="30"/>
  <c r="AK1407" i="30"/>
  <c r="AK1406" i="30"/>
  <c r="AK1405" i="30"/>
  <c r="AK1404" i="30"/>
  <c r="AK1403" i="30"/>
  <c r="AK1402" i="30"/>
  <c r="AK1401" i="30"/>
  <c r="AK1400" i="30"/>
  <c r="AK1399" i="30"/>
  <c r="AK1398" i="30"/>
  <c r="AK1397" i="30"/>
  <c r="AK1396" i="30"/>
  <c r="AK1395" i="30"/>
  <c r="AK1394" i="30"/>
  <c r="AK1393" i="30"/>
  <c r="AK1392" i="30"/>
  <c r="AK1391" i="30"/>
  <c r="AK1390" i="30"/>
  <c r="AK1389" i="30"/>
  <c r="AK1388" i="30"/>
  <c r="AK1387" i="30"/>
  <c r="AK1386" i="30"/>
  <c r="AK1385" i="30"/>
  <c r="AK1384" i="30"/>
  <c r="AK1383" i="30"/>
  <c r="AK1382" i="30"/>
  <c r="AK1381" i="30"/>
  <c r="AK1380" i="30"/>
  <c r="AK1379" i="30"/>
  <c r="AK1378" i="30"/>
  <c r="AK1377" i="30"/>
  <c r="AK1376" i="30"/>
  <c r="AK1375" i="30"/>
  <c r="AK1374" i="30"/>
  <c r="AK1373" i="30"/>
  <c r="AK1372" i="30"/>
  <c r="AK1371" i="30"/>
  <c r="AK1370" i="30"/>
  <c r="AK1369" i="30"/>
  <c r="AK1368" i="30"/>
  <c r="AK1367" i="30"/>
  <c r="AK1366" i="30"/>
  <c r="AK1365" i="30"/>
  <c r="AK1364" i="30"/>
  <c r="AK1363" i="30"/>
  <c r="AK1362" i="30"/>
  <c r="AK1361" i="30"/>
  <c r="AK1360" i="30"/>
  <c r="AK1359" i="30"/>
  <c r="AK1358" i="30"/>
  <c r="AK1357" i="30"/>
  <c r="AK1356" i="30"/>
  <c r="AK1355" i="30"/>
  <c r="AK1354" i="30"/>
  <c r="AK1353" i="30"/>
  <c r="AK1352" i="30"/>
  <c r="AK1351" i="30"/>
  <c r="AK1350" i="30"/>
  <c r="AK1349" i="30"/>
  <c r="AK1348" i="30"/>
  <c r="AK1347" i="30"/>
  <c r="AK1346" i="30"/>
  <c r="AK1345" i="30"/>
  <c r="AK1344" i="30"/>
  <c r="AK1343" i="30"/>
  <c r="AK1342" i="30"/>
  <c r="AK1341" i="30"/>
  <c r="AK1340" i="30"/>
  <c r="AK1339" i="30"/>
  <c r="AK1338" i="30"/>
  <c r="AK1337" i="30"/>
  <c r="AK1336" i="30"/>
  <c r="AK1335" i="30"/>
  <c r="AK1334" i="30"/>
  <c r="AK1333" i="30"/>
  <c r="AK1332" i="30"/>
  <c r="AK1331" i="30"/>
  <c r="AK1330" i="30"/>
  <c r="AK1329" i="30"/>
  <c r="AK1328" i="30"/>
  <c r="AK1327" i="30"/>
  <c r="AK1326" i="30"/>
  <c r="AK1325" i="30"/>
  <c r="AK1324" i="30"/>
  <c r="AK1323" i="30"/>
  <c r="AK1322" i="30"/>
  <c r="AK1321" i="30"/>
  <c r="AK1320" i="30"/>
  <c r="AK1319" i="30"/>
  <c r="AK1318" i="30"/>
  <c r="AK1317" i="30"/>
  <c r="AK1316" i="30"/>
  <c r="AK1315" i="30"/>
  <c r="AK1314" i="30"/>
  <c r="AK1313" i="30"/>
  <c r="AK1312" i="30"/>
  <c r="AK1311" i="30"/>
  <c r="AK1310" i="30"/>
  <c r="AK1309" i="30"/>
  <c r="AK1308" i="30"/>
  <c r="AK1307" i="30"/>
  <c r="AK1306" i="30"/>
  <c r="AK1305" i="30"/>
  <c r="AK1304" i="30"/>
  <c r="AK1303" i="30"/>
  <c r="AK1302" i="30"/>
  <c r="AK1301" i="30"/>
  <c r="AK1300" i="30"/>
  <c r="AK1299" i="30"/>
  <c r="AK1298" i="30"/>
  <c r="AK1297" i="30"/>
  <c r="AK1296" i="30"/>
  <c r="AK1295" i="30"/>
  <c r="AK1294" i="30"/>
  <c r="AK1293" i="30"/>
  <c r="AK1292" i="30"/>
  <c r="AK1291" i="30"/>
  <c r="AK1290" i="30"/>
  <c r="AK1289" i="30"/>
  <c r="AK1288" i="30"/>
  <c r="AK1287" i="30"/>
  <c r="AK1286" i="30"/>
  <c r="AK1285" i="30"/>
  <c r="AK1284" i="30"/>
  <c r="AK1283" i="30"/>
  <c r="AK1282" i="30"/>
  <c r="AK1281" i="30"/>
  <c r="AK1280" i="30"/>
  <c r="AK1279" i="30"/>
  <c r="AK1278" i="30"/>
  <c r="AK1277" i="30"/>
  <c r="AK1276" i="30"/>
  <c r="AK1275" i="30"/>
  <c r="AK1274" i="30"/>
  <c r="AK1273" i="30"/>
  <c r="AK1272" i="30"/>
  <c r="AK1271" i="30"/>
  <c r="AK1270" i="30"/>
  <c r="AK1269" i="30"/>
  <c r="AK1268" i="30"/>
  <c r="AK1267" i="30"/>
  <c r="AK1266" i="30"/>
  <c r="AK1265" i="30"/>
  <c r="AK1264" i="30"/>
  <c r="AK1263" i="30"/>
  <c r="AK1262" i="30"/>
  <c r="AK1261" i="30"/>
  <c r="AK1260" i="30"/>
  <c r="AK1259" i="30"/>
  <c r="AK1258" i="30"/>
  <c r="AK1257" i="30"/>
  <c r="AK1256" i="30"/>
  <c r="AK1255" i="30"/>
  <c r="AK1254" i="30"/>
  <c r="AK1253" i="30"/>
  <c r="AK1252" i="30"/>
  <c r="AK1251" i="30"/>
  <c r="AK1250" i="30"/>
  <c r="AK1249" i="30"/>
  <c r="AK1248" i="30"/>
  <c r="AK1247" i="30"/>
  <c r="AK1246" i="30"/>
  <c r="AK1245" i="30"/>
  <c r="AK1244" i="30"/>
  <c r="AK1243" i="30"/>
  <c r="AK1242" i="30"/>
  <c r="AK1241" i="30"/>
  <c r="AK1240" i="30"/>
  <c r="AK1239" i="30"/>
  <c r="AK1238" i="30"/>
  <c r="AK1237" i="30"/>
  <c r="AK1236" i="30"/>
  <c r="AK1235" i="30"/>
  <c r="AK1234" i="30"/>
  <c r="AK1233" i="30"/>
  <c r="AK1232" i="30"/>
  <c r="AK1231" i="30"/>
  <c r="AK1230" i="30"/>
  <c r="AK1229" i="30"/>
  <c r="AK1228" i="30"/>
  <c r="AK1227" i="30"/>
  <c r="AK1226" i="30"/>
  <c r="AK1225" i="30"/>
  <c r="AK1224" i="30"/>
  <c r="AK1223" i="30"/>
  <c r="AK1222" i="30"/>
  <c r="AK1221" i="30"/>
  <c r="AK1220" i="30"/>
  <c r="AK1219" i="30"/>
  <c r="AK1218" i="30"/>
  <c r="AK1217" i="30"/>
  <c r="AK1216" i="30"/>
  <c r="AK1215" i="30"/>
  <c r="AK1214" i="30"/>
  <c r="AK1213" i="30"/>
  <c r="AK1212" i="30"/>
  <c r="AK1211" i="30"/>
  <c r="AK1210" i="30"/>
  <c r="AK1209" i="30"/>
  <c r="AK1208" i="30"/>
  <c r="AK1207" i="30"/>
  <c r="AK1206" i="30"/>
  <c r="AK1205" i="30"/>
  <c r="AK1204" i="30"/>
  <c r="AK1203" i="30"/>
  <c r="AK1202" i="30"/>
  <c r="AK1201" i="30"/>
  <c r="AK1200" i="30"/>
  <c r="AK1199" i="30"/>
  <c r="AK1198" i="30"/>
  <c r="AK1197" i="30"/>
  <c r="AK1196" i="30"/>
  <c r="AK1195" i="30"/>
  <c r="AK1194" i="30"/>
  <c r="AK1193" i="30"/>
  <c r="AK1192" i="30"/>
  <c r="AK1191" i="30"/>
  <c r="AK1190" i="30"/>
  <c r="AK1189" i="30"/>
  <c r="AK1188" i="30"/>
  <c r="AK1187" i="30"/>
  <c r="AK1186" i="30"/>
  <c r="AK1185" i="30"/>
  <c r="AK1184" i="30"/>
  <c r="AK1183" i="30"/>
  <c r="AK1182" i="30"/>
  <c r="AK1181" i="30"/>
  <c r="AK1180" i="30"/>
  <c r="AK1179" i="30"/>
  <c r="AK1178" i="30"/>
  <c r="AK1177" i="30"/>
  <c r="AK1176" i="30"/>
  <c r="AK1175" i="30"/>
  <c r="AK1174" i="30"/>
  <c r="AK1173" i="30"/>
  <c r="AK1172" i="30"/>
  <c r="AK1171" i="30"/>
  <c r="AK1170" i="30"/>
  <c r="AK1169" i="30"/>
  <c r="AK1168" i="30"/>
  <c r="AK1167" i="30"/>
  <c r="AK1166" i="30"/>
  <c r="AK1165" i="30"/>
  <c r="AK1164" i="30"/>
  <c r="AK1163" i="30"/>
  <c r="AK1162" i="30"/>
  <c r="AK1161" i="30"/>
  <c r="AK1160" i="30"/>
  <c r="AK1159" i="30"/>
  <c r="AK1158" i="30"/>
  <c r="AK1157" i="30"/>
  <c r="AK1156" i="30"/>
  <c r="AK1155" i="30"/>
  <c r="AK1154" i="30"/>
  <c r="AK1153" i="30"/>
  <c r="AK1152" i="30"/>
  <c r="AK1151" i="30"/>
  <c r="AK1150" i="30"/>
  <c r="AK1149" i="30"/>
  <c r="AK1148" i="30"/>
  <c r="AK1147" i="30"/>
  <c r="AK1146" i="30"/>
  <c r="AK1145" i="30"/>
  <c r="AK1144" i="30"/>
  <c r="AK1143" i="30"/>
  <c r="AK1142" i="30"/>
  <c r="AK1141" i="30"/>
  <c r="AK1140" i="30"/>
  <c r="AK1139" i="30"/>
  <c r="AK1138" i="30"/>
  <c r="AK1137" i="30"/>
  <c r="AK1136" i="30"/>
  <c r="AK1135" i="30"/>
  <c r="AK1134" i="30"/>
  <c r="AK1133" i="30"/>
  <c r="AK1132" i="30"/>
  <c r="AK1131" i="30"/>
  <c r="AK1130" i="30"/>
  <c r="AK1129" i="30"/>
  <c r="AK1128" i="30"/>
  <c r="AK1127" i="30"/>
  <c r="AK1126" i="30"/>
  <c r="AK1125" i="30"/>
  <c r="AK1124" i="30"/>
  <c r="AK1123" i="30"/>
  <c r="AK1122" i="30"/>
  <c r="AK1121" i="30"/>
  <c r="AK1120" i="30"/>
  <c r="AK1119" i="30"/>
  <c r="AK1118" i="30"/>
  <c r="AK1117" i="30"/>
  <c r="AK1116" i="30"/>
  <c r="AK1115" i="30"/>
  <c r="AK1114" i="30"/>
  <c r="AK1113" i="30"/>
  <c r="AK1112" i="30"/>
  <c r="AK1111" i="30"/>
  <c r="AK1110" i="30"/>
  <c r="AK1109" i="30"/>
  <c r="AK1108" i="30"/>
  <c r="AK1107" i="30"/>
  <c r="AK1106" i="30"/>
  <c r="AK1105" i="30"/>
  <c r="AK1104" i="30"/>
  <c r="AK1103" i="30"/>
  <c r="AK1102" i="30"/>
  <c r="AK1101" i="30"/>
  <c r="AK1100" i="30"/>
  <c r="AK1099" i="30"/>
  <c r="AK1098" i="30"/>
  <c r="AK1097" i="30"/>
  <c r="AK1096" i="30"/>
  <c r="AK1095" i="30"/>
  <c r="AK1094" i="30"/>
  <c r="AK1093" i="30"/>
  <c r="AK1092" i="30"/>
  <c r="AK1091" i="30"/>
  <c r="AK1090" i="30"/>
  <c r="AK1089" i="30"/>
  <c r="AK1088" i="30"/>
  <c r="AK1087" i="30"/>
  <c r="AK1086" i="30"/>
  <c r="AK1085" i="30"/>
  <c r="AK1084" i="30"/>
  <c r="AK1083" i="30"/>
  <c r="AK1082" i="30"/>
  <c r="AK1081" i="30"/>
  <c r="AK1080" i="30"/>
  <c r="AK1079" i="30"/>
  <c r="AK1078" i="30"/>
  <c r="AK1077" i="30"/>
  <c r="AK1076" i="30"/>
  <c r="AK1075" i="30"/>
  <c r="AK1074" i="30"/>
  <c r="AK1073" i="30"/>
  <c r="AK1072" i="30"/>
  <c r="AK1071" i="30"/>
  <c r="AK1070" i="30"/>
  <c r="AK1069" i="30"/>
  <c r="AK1068" i="30"/>
  <c r="AK1067" i="30"/>
  <c r="AK1066" i="30"/>
  <c r="AK1065" i="30"/>
  <c r="AK1064" i="30"/>
  <c r="AK1063" i="30"/>
  <c r="AK1062" i="30"/>
  <c r="AK1061" i="30"/>
  <c r="AK1060" i="30"/>
  <c r="AK1059" i="30"/>
  <c r="AK1058" i="30"/>
  <c r="AK1057" i="30"/>
  <c r="AK1056" i="30"/>
  <c r="AK1055" i="30"/>
  <c r="AK1054" i="30"/>
  <c r="AK1053" i="30"/>
  <c r="AK1052" i="30"/>
  <c r="AK1051" i="30"/>
  <c r="AK1050" i="30"/>
  <c r="AK1049" i="30"/>
  <c r="AK1048" i="30"/>
  <c r="AK1047" i="30"/>
  <c r="AK1046" i="30"/>
  <c r="AK1045" i="30"/>
  <c r="AK1044" i="30"/>
  <c r="AK1043" i="30"/>
  <c r="AK1042" i="30"/>
  <c r="AK1041" i="30"/>
  <c r="AK1040" i="30"/>
  <c r="AK1039" i="30"/>
  <c r="AK1038" i="30"/>
  <c r="AK1037" i="30"/>
  <c r="AK1036" i="30"/>
  <c r="AK1035" i="30"/>
  <c r="AK1034" i="30"/>
  <c r="AK1033" i="30"/>
  <c r="AK1032" i="30"/>
  <c r="AK1031" i="30"/>
  <c r="AK1030" i="30"/>
  <c r="AK1029" i="30"/>
  <c r="AK1028" i="30"/>
  <c r="AK1027" i="30"/>
  <c r="AK1026" i="30"/>
  <c r="AK1025" i="30"/>
  <c r="AK1024" i="30"/>
  <c r="AK1023" i="30"/>
  <c r="AK1022" i="30"/>
  <c r="AK1021" i="30"/>
  <c r="AK1020" i="30"/>
  <c r="AK1019" i="30"/>
  <c r="AK1018" i="30"/>
  <c r="AK1017" i="30"/>
  <c r="AK1016" i="30"/>
  <c r="AK1015" i="30"/>
  <c r="AK1014" i="30"/>
  <c r="AK1013" i="30"/>
  <c r="AK1012" i="30"/>
  <c r="AK1011" i="30"/>
  <c r="AK1010" i="30"/>
  <c r="AK1009" i="30"/>
  <c r="AK1008" i="30"/>
  <c r="AK1007" i="30"/>
  <c r="AK1006" i="30"/>
  <c r="AK1005" i="30"/>
  <c r="AK1004" i="30"/>
  <c r="AK1003" i="30"/>
  <c r="AK1002" i="30"/>
  <c r="AK1001" i="30"/>
  <c r="AK1000" i="30"/>
  <c r="AK999" i="30"/>
  <c r="AK998" i="30"/>
  <c r="AK997" i="30"/>
  <c r="AK996" i="30"/>
  <c r="AK995" i="30"/>
  <c r="AK994" i="30"/>
  <c r="AK993" i="30"/>
  <c r="AK992" i="30"/>
  <c r="AK991" i="30"/>
  <c r="AK990" i="30"/>
  <c r="AK989" i="30"/>
  <c r="AK988" i="30"/>
  <c r="AK987" i="30"/>
  <c r="AK986" i="30"/>
  <c r="AK985" i="30"/>
  <c r="AK984" i="30"/>
  <c r="AK983" i="30"/>
  <c r="AK982" i="30"/>
  <c r="AK981" i="30"/>
  <c r="AK980" i="30"/>
  <c r="AK979" i="30"/>
  <c r="AK978" i="30"/>
  <c r="AK977" i="30"/>
  <c r="AK976" i="30"/>
  <c r="AK975" i="30"/>
  <c r="AK974" i="30"/>
  <c r="AK973" i="30"/>
  <c r="AK972" i="30"/>
  <c r="AK971" i="30"/>
  <c r="AK970" i="30"/>
  <c r="AK969" i="30"/>
  <c r="AK968" i="30"/>
  <c r="AK967" i="30"/>
  <c r="AK966" i="30"/>
  <c r="AK965" i="30"/>
  <c r="AK964" i="30"/>
  <c r="AK963" i="30"/>
  <c r="AK962" i="30"/>
  <c r="AK961" i="30"/>
  <c r="AK960" i="30"/>
  <c r="AK959" i="30"/>
  <c r="AK958" i="30"/>
  <c r="AK957" i="30"/>
  <c r="AK956" i="30"/>
  <c r="AK955" i="30"/>
  <c r="AK954" i="30"/>
  <c r="AK953" i="30"/>
  <c r="AK952" i="30"/>
  <c r="AK951" i="30"/>
  <c r="AK950" i="30"/>
  <c r="AK949" i="30"/>
  <c r="AK948" i="30"/>
  <c r="AK947" i="30"/>
  <c r="AK946" i="30"/>
  <c r="AK945" i="30"/>
  <c r="AK944" i="30"/>
  <c r="AK943" i="30"/>
  <c r="AK942" i="30"/>
  <c r="AK941" i="30"/>
  <c r="AK940" i="30"/>
  <c r="AK939" i="30"/>
  <c r="AK938" i="30"/>
  <c r="AK937" i="30"/>
  <c r="AK936" i="30"/>
  <c r="AK935" i="30"/>
  <c r="AK934" i="30"/>
  <c r="AK933" i="30"/>
  <c r="AK932" i="30"/>
  <c r="AK931" i="30"/>
  <c r="AK930" i="30"/>
  <c r="AK929" i="30"/>
  <c r="AK928" i="30"/>
  <c r="AK927" i="30"/>
  <c r="AK926" i="30"/>
  <c r="AK925" i="30"/>
  <c r="AK924" i="30"/>
  <c r="AK923" i="30"/>
  <c r="AK922" i="30"/>
  <c r="AK921" i="30"/>
  <c r="AK920" i="30"/>
  <c r="O47" i="30"/>
  <c r="O49" i="30" s="1"/>
  <c r="AJ43" i="30"/>
  <c r="AI43" i="30"/>
  <c r="AH43" i="30"/>
  <c r="AG43" i="30"/>
  <c r="AF43" i="30"/>
  <c r="AE43" i="30"/>
  <c r="AD43" i="30"/>
  <c r="AC43" i="30"/>
  <c r="AB43" i="30"/>
  <c r="AA43" i="30"/>
  <c r="Z43" i="30"/>
  <c r="Y43" i="30"/>
  <c r="X43" i="30"/>
  <c r="W43" i="30"/>
  <c r="V43" i="30"/>
  <c r="U43" i="30"/>
  <c r="T43" i="30"/>
  <c r="S43" i="30"/>
  <c r="AK41" i="30"/>
  <c r="AJ41" i="30"/>
  <c r="AI41" i="30"/>
  <c r="AH41" i="30"/>
  <c r="AG41" i="30"/>
  <c r="AF41" i="30"/>
  <c r="AE41" i="30"/>
  <c r="AD41" i="30"/>
  <c r="AC41" i="30"/>
  <c r="AB41" i="30"/>
  <c r="AA41" i="30"/>
  <c r="Z41" i="30"/>
  <c r="Y41" i="30"/>
  <c r="X41" i="30"/>
  <c r="W41" i="30"/>
  <c r="V41" i="30"/>
  <c r="U41" i="30"/>
  <c r="T41" i="30"/>
  <c r="S41" i="30"/>
  <c r="R41" i="30"/>
  <c r="Q41" i="30"/>
  <c r="P41" i="30"/>
  <c r="O41" i="30"/>
  <c r="W38" i="30"/>
  <c r="AI38" i="30" s="1"/>
  <c r="O33" i="30"/>
  <c r="O32" i="30"/>
  <c r="AL28" i="30"/>
  <c r="P23" i="30"/>
  <c r="AJ22" i="30"/>
  <c r="AI22" i="30"/>
  <c r="AH22" i="30"/>
  <c r="AG22" i="30"/>
  <c r="AF22" i="30"/>
  <c r="AE22" i="30"/>
  <c r="AD22" i="30"/>
  <c r="AC22" i="30"/>
  <c r="AB22" i="30"/>
  <c r="AA22" i="30"/>
  <c r="Z22" i="30"/>
  <c r="Y22" i="30"/>
  <c r="X22" i="30"/>
  <c r="W22" i="30"/>
  <c r="V22" i="30"/>
  <c r="U22" i="30"/>
  <c r="T22" i="30"/>
  <c r="S22" i="30"/>
  <c r="R22" i="30"/>
  <c r="Q22" i="30"/>
  <c r="P22" i="30"/>
  <c r="O22" i="30"/>
  <c r="V21" i="30"/>
  <c r="O15" i="30"/>
  <c r="D14" i="30"/>
  <c r="H14" i="30" s="1"/>
  <c r="AK12" i="30"/>
  <c r="AJ12" i="30"/>
  <c r="AI12" i="30"/>
  <c r="AH12" i="30"/>
  <c r="AG12" i="30"/>
  <c r="AF12" i="30"/>
  <c r="AE12" i="30"/>
  <c r="AD12" i="30"/>
  <c r="P12" i="30"/>
  <c r="P14" i="30" s="1"/>
  <c r="O12" i="30"/>
  <c r="D12" i="30"/>
  <c r="H12" i="30" s="1"/>
  <c r="D11" i="30"/>
  <c r="H11" i="30" s="1"/>
  <c r="D10" i="30"/>
  <c r="AI6" i="30"/>
  <c r="Q24" i="30" l="1"/>
  <c r="Q30" i="30" s="1"/>
  <c r="P24" i="30"/>
  <c r="P30" i="30" s="1"/>
  <c r="D15" i="30"/>
  <c r="P15" i="30"/>
  <c r="P17" i="30" s="1"/>
  <c r="P18" i="30" s="1"/>
  <c r="O44" i="30"/>
  <c r="O34" i="30"/>
  <c r="H10" i="30"/>
  <c r="P47" i="30"/>
  <c r="P49" i="30" s="1"/>
  <c r="V40" i="30"/>
  <c r="AI40" i="30" s="1"/>
  <c r="AI21" i="30"/>
  <c r="R120" i="1"/>
  <c r="K117" i="1"/>
  <c r="K118" i="1"/>
  <c r="K119" i="1"/>
  <c r="I117" i="1"/>
  <c r="I118" i="1"/>
  <c r="I119" i="1"/>
  <c r="L14" i="29"/>
  <c r="G15" i="29" s="1"/>
  <c r="G13" i="29"/>
  <c r="F11" i="29"/>
  <c r="A9" i="29"/>
  <c r="K25" i="29"/>
  <c r="D25" i="29"/>
  <c r="D28" i="29" s="1"/>
  <c r="F28" i="29" s="1"/>
  <c r="C22" i="29" s="1"/>
  <c r="F23" i="29"/>
  <c r="C21" i="29"/>
  <c r="AL14" i="29"/>
  <c r="M14" i="29"/>
  <c r="AL12" i="29"/>
  <c r="A7" i="29"/>
  <c r="F25" i="29" l="1"/>
  <c r="F27" i="29" s="1"/>
  <c r="A8" i="29"/>
  <c r="B7" i="31"/>
  <c r="H15" i="30"/>
  <c r="O24" i="30"/>
  <c r="P44" i="30"/>
  <c r="P34" i="30"/>
  <c r="G16" i="29"/>
  <c r="G17" i="29"/>
  <c r="F26" i="29"/>
  <c r="BG10" i="1"/>
  <c r="G18" i="29" l="1"/>
  <c r="D17" i="30" s="1"/>
  <c r="E13" i="31"/>
  <c r="I18" i="31" s="1"/>
  <c r="O30" i="30"/>
  <c r="M24" i="30"/>
  <c r="AL24" i="30"/>
  <c r="BE17" i="1"/>
  <c r="BB17" i="1" s="1"/>
  <c r="BB16" i="1"/>
  <c r="G21" i="1"/>
  <c r="H21" i="1"/>
  <c r="I21" i="1"/>
  <c r="J21" i="1"/>
  <c r="M21" i="1"/>
  <c r="N21" i="1"/>
  <c r="AJ21" i="1"/>
  <c r="AK21" i="1"/>
  <c r="AL21" i="1"/>
  <c r="AM21" i="1"/>
  <c r="AN21" i="1"/>
  <c r="AO21" i="1"/>
  <c r="AP21" i="1"/>
  <c r="E21" i="1"/>
  <c r="D21" i="1"/>
  <c r="C109" i="1" l="1"/>
  <c r="C9" i="1"/>
  <c r="R11" i="30"/>
  <c r="R23" i="30" s="1"/>
  <c r="R47" i="30" s="1"/>
  <c r="AI11" i="30"/>
  <c r="AI23" i="30" s="1"/>
  <c r="AA11" i="30"/>
  <c r="AA23" i="30" s="1"/>
  <c r="S11" i="30"/>
  <c r="S23" i="30" s="1"/>
  <c r="V11" i="30"/>
  <c r="V23" i="30" s="1"/>
  <c r="AH11" i="30"/>
  <c r="AH23" i="30" s="1"/>
  <c r="Z11" i="30"/>
  <c r="Z23" i="30" s="1"/>
  <c r="AJ11" i="30"/>
  <c r="AJ23" i="30" s="1"/>
  <c r="AE11" i="30"/>
  <c r="AE23" i="30" s="1"/>
  <c r="W11" i="30"/>
  <c r="W23" i="30" s="1"/>
  <c r="AD11" i="30"/>
  <c r="AD23" i="30" s="1"/>
  <c r="AF11" i="30"/>
  <c r="AF23" i="30" s="1"/>
  <c r="AB11" i="30"/>
  <c r="AB23" i="30" s="1"/>
  <c r="Q11" i="30"/>
  <c r="Q23" i="30" s="1"/>
  <c r="AG11" i="30"/>
  <c r="AG23" i="30" s="1"/>
  <c r="X11" i="30"/>
  <c r="X23" i="30" s="1"/>
  <c r="T11" i="30"/>
  <c r="T23" i="30" s="1"/>
  <c r="U11" i="30"/>
  <c r="U23" i="30" s="1"/>
  <c r="AK11" i="30"/>
  <c r="Y11" i="30"/>
  <c r="Y23" i="30" s="1"/>
  <c r="AC11" i="30"/>
  <c r="AC23" i="30" s="1"/>
  <c r="K18" i="31"/>
  <c r="J18" i="31"/>
  <c r="H18" i="31"/>
  <c r="M30" i="30"/>
  <c r="AL30" i="30"/>
  <c r="Q14" i="30" l="1"/>
  <c r="Q15" i="30" s="1"/>
  <c r="Q17" i="30" s="1"/>
  <c r="Q18" i="30" s="1"/>
  <c r="AC26" i="30"/>
  <c r="AC47" i="30"/>
  <c r="AC49" i="30" s="1"/>
  <c r="T26" i="30"/>
  <c r="T47" i="30"/>
  <c r="T49" i="30" s="1"/>
  <c r="AB26" i="30"/>
  <c r="AB47" i="30"/>
  <c r="AB49" i="30" s="1"/>
  <c r="AE26" i="30"/>
  <c r="AE47" i="30"/>
  <c r="AE49" i="30" s="1"/>
  <c r="V47" i="30"/>
  <c r="V49" i="30" s="1"/>
  <c r="V26" i="30"/>
  <c r="Y26" i="30"/>
  <c r="Y47" i="30"/>
  <c r="Y49" i="30" s="1"/>
  <c r="X26" i="30"/>
  <c r="X47" i="30"/>
  <c r="X49" i="30" s="1"/>
  <c r="AF26" i="30"/>
  <c r="AF47" i="30"/>
  <c r="AF49" i="30" s="1"/>
  <c r="AJ47" i="30"/>
  <c r="AJ49" i="30" s="1"/>
  <c r="AJ26" i="30"/>
  <c r="S47" i="30"/>
  <c r="S26" i="30"/>
  <c r="AK23" i="30"/>
  <c r="AK14" i="30"/>
  <c r="AK15" i="30" s="1"/>
  <c r="AG47" i="30"/>
  <c r="AG49" i="30" s="1"/>
  <c r="AG26" i="30"/>
  <c r="AD47" i="30"/>
  <c r="AD49" i="30" s="1"/>
  <c r="AD26" i="30"/>
  <c r="Z47" i="30"/>
  <c r="Z49" i="30" s="1"/>
  <c r="Z26" i="30"/>
  <c r="AA26" i="30"/>
  <c r="AA47" i="30"/>
  <c r="AA49" i="30" s="1"/>
  <c r="U26" i="30"/>
  <c r="U47" i="30"/>
  <c r="U49" i="30" s="1"/>
  <c r="Q47" i="30"/>
  <c r="Q49" i="30" s="1"/>
  <c r="AL23" i="30"/>
  <c r="W47" i="30"/>
  <c r="W49" i="30" s="1"/>
  <c r="W26" i="30"/>
  <c r="AH47" i="30"/>
  <c r="AH49" i="30" s="1"/>
  <c r="AH26" i="30"/>
  <c r="AI47" i="30"/>
  <c r="AI49" i="30" s="1"/>
  <c r="AI26" i="30"/>
  <c r="L21" i="1" l="1"/>
  <c r="P21" i="1"/>
  <c r="G116" i="1"/>
  <c r="G120" i="1" s="1"/>
  <c r="AK17" i="30"/>
  <c r="AK44" i="30"/>
  <c r="AK45" i="30" s="1"/>
  <c r="AK34" i="30"/>
  <c r="AK35" i="30" s="1"/>
  <c r="AK47" i="30"/>
  <c r="AK26" i="30"/>
  <c r="Q44" i="30"/>
  <c r="Q34" i="30"/>
  <c r="K21" i="1"/>
  <c r="Q21" i="1"/>
  <c r="C119" i="1" l="1"/>
  <c r="AK36" i="30"/>
  <c r="T17" i="1" l="1"/>
  <c r="O21" i="1" l="1"/>
  <c r="B154" i="1"/>
  <c r="B155" i="1"/>
  <c r="B109" i="1"/>
  <c r="C116" i="1" l="1"/>
  <c r="C120" i="1" s="1"/>
  <c r="F21" i="1"/>
  <c r="B119" i="1"/>
  <c r="B115" i="1"/>
  <c r="B16" i="1"/>
  <c r="U21" i="1" l="1"/>
  <c r="O14" i="12" l="1"/>
  <c r="K14" i="12"/>
  <c r="K15" i="12"/>
  <c r="C6" i="26" l="1"/>
  <c r="C5" i="26"/>
  <c r="C4" i="26"/>
  <c r="C2" i="12" l="1"/>
  <c r="C3" i="26" l="1"/>
  <c r="B9" i="8" l="1"/>
  <c r="D113" i="18" l="1"/>
  <c r="BB38" i="1"/>
  <c r="Y10" i="1" s="1"/>
  <c r="L86" i="18"/>
  <c r="BB43" i="1" l="1"/>
  <c r="I8" i="1"/>
  <c r="AH20" i="1"/>
  <c r="AB20" i="1"/>
  <c r="AA20" i="1"/>
  <c r="Z20" i="1"/>
  <c r="AC20" i="1" s="1"/>
  <c r="AF20" i="1" s="1"/>
  <c r="T20" i="1"/>
  <c r="S20" i="1"/>
  <c r="R20" i="1"/>
  <c r="AH19" i="1"/>
  <c r="AB19" i="1"/>
  <c r="AA19" i="1"/>
  <c r="Z19" i="1"/>
  <c r="T19" i="1"/>
  <c r="S19" i="1"/>
  <c r="AH18" i="1"/>
  <c r="AB18" i="1"/>
  <c r="AA18" i="1"/>
  <c r="Z18" i="1"/>
  <c r="T18" i="1"/>
  <c r="S18" i="1"/>
  <c r="R18" i="1"/>
  <c r="G86" i="18"/>
  <c r="D67" i="18"/>
  <c r="D66" i="18"/>
  <c r="E49" i="18"/>
  <c r="D59" i="18"/>
  <c r="D37" i="18"/>
  <c r="D36" i="18"/>
  <c r="D35" i="18"/>
  <c r="D34" i="18"/>
  <c r="E29" i="18"/>
  <c r="D33" i="18"/>
  <c r="O119" i="1" l="1"/>
  <c r="T21" i="1"/>
  <c r="AC18" i="1"/>
  <c r="O117" i="1"/>
  <c r="X19" i="1"/>
  <c r="W19" i="1"/>
  <c r="V19" i="1"/>
  <c r="L118" i="1"/>
  <c r="W18" i="1"/>
  <c r="V18" i="1"/>
  <c r="X18" i="1"/>
  <c r="L117" i="1"/>
  <c r="AC19" i="1"/>
  <c r="AF19" i="1" s="1"/>
  <c r="O118" i="1"/>
  <c r="V20" i="1"/>
  <c r="W20" i="1"/>
  <c r="R21" i="1"/>
  <c r="L119" i="1"/>
  <c r="Y19" i="1"/>
  <c r="X20" i="1"/>
  <c r="AI20" i="1" s="1"/>
  <c r="AD20" i="1"/>
  <c r="Y18" i="1"/>
  <c r="Y20" i="1"/>
  <c r="E37" i="18"/>
  <c r="E36" i="18"/>
  <c r="E35" i="18"/>
  <c r="E34" i="18"/>
  <c r="E33" i="18"/>
  <c r="F33" i="18" s="1"/>
  <c r="E32" i="18"/>
  <c r="AD19" i="1" l="1"/>
  <c r="M117" i="1"/>
  <c r="M118" i="1"/>
  <c r="AQ20" i="1"/>
  <c r="AS20" i="1" s="1"/>
  <c r="AF18" i="1"/>
  <c r="AI18" i="1"/>
  <c r="M119" i="1"/>
  <c r="AQ18" i="1"/>
  <c r="AQ19" i="1"/>
  <c r="D32" i="18"/>
  <c r="F107" i="18"/>
  <c r="E106" i="18"/>
  <c r="F106" i="18" s="1"/>
  <c r="D20" i="18"/>
  <c r="D97" i="18"/>
  <c r="D13" i="18" s="1"/>
  <c r="D58" i="18"/>
  <c r="D94" i="18"/>
  <c r="F94" i="18" s="1"/>
  <c r="D93" i="18"/>
  <c r="D48" i="18"/>
  <c r="D49" i="18"/>
  <c r="E52" i="18" s="1"/>
  <c r="D14" i="18"/>
  <c r="D12" i="18"/>
  <c r="D11" i="18"/>
  <c r="D10" i="18"/>
  <c r="D8" i="18"/>
  <c r="G88" i="18"/>
  <c r="G87" i="18"/>
  <c r="D112" i="18"/>
  <c r="D114" i="18" s="1"/>
  <c r="E28" i="18" s="1"/>
  <c r="G82" i="18"/>
  <c r="G81" i="18"/>
  <c r="E80" i="18"/>
  <c r="D80" i="18"/>
  <c r="F79" i="18"/>
  <c r="G78" i="18"/>
  <c r="A68" i="18"/>
  <c r="A69" i="18" s="1"/>
  <c r="A70" i="18" s="1"/>
  <c r="A71" i="18" s="1"/>
  <c r="D68" i="18"/>
  <c r="A66" i="18"/>
  <c r="D60" i="18"/>
  <c r="D55" i="18"/>
  <c r="C55" i="18"/>
  <c r="F37" i="18"/>
  <c r="F36" i="18"/>
  <c r="F35" i="18"/>
  <c r="F34" i="18"/>
  <c r="A9" i="18"/>
  <c r="A10" i="18" s="1"/>
  <c r="A11" i="18" s="1"/>
  <c r="A12" i="18" s="1"/>
  <c r="A13" i="18" s="1"/>
  <c r="A14" i="18" s="1"/>
  <c r="A15" i="18" s="1"/>
  <c r="A16" i="18" s="1"/>
  <c r="A17" i="18" s="1"/>
  <c r="A18" i="18" s="1"/>
  <c r="A19" i="18" s="1"/>
  <c r="A20" i="18" s="1"/>
  <c r="A21" i="18" s="1"/>
  <c r="A22" i="18" s="1"/>
  <c r="A23" i="18" s="1"/>
  <c r="A24" i="18" s="1"/>
  <c r="AD18" i="1" l="1"/>
  <c r="AS18" i="1"/>
  <c r="AS19" i="1"/>
  <c r="F53" i="18"/>
  <c r="F52" i="18"/>
  <c r="D22" i="18"/>
  <c r="G80" i="18"/>
  <c r="D9" i="18"/>
  <c r="G55" i="18" s="1"/>
  <c r="D47" i="18"/>
  <c r="G54" i="18" s="1"/>
  <c r="D61" i="18"/>
  <c r="F55" i="18" s="1"/>
  <c r="G79" i="18"/>
  <c r="D92" i="18"/>
  <c r="D99" i="18"/>
  <c r="F32" i="18"/>
  <c r="E93" i="18"/>
  <c r="F93" i="18" s="1"/>
  <c r="F49" i="18"/>
  <c r="H54" i="18" s="1"/>
  <c r="D100" i="18"/>
  <c r="F54" i="18"/>
  <c r="G52" i="18" l="1"/>
  <c r="H55" i="18"/>
  <c r="G53" i="18"/>
  <c r="G56" i="18" s="1"/>
  <c r="E47" i="18" s="1"/>
  <c r="D21" i="18"/>
  <c r="D23" i="18" s="1"/>
  <c r="D24" i="18" s="1"/>
  <c r="D16" i="18"/>
  <c r="H53" i="18"/>
  <c r="H47" i="18" s="1"/>
  <c r="H52" i="18"/>
  <c r="F56" i="18"/>
  <c r="E48" i="18" s="1"/>
  <c r="E92" i="18"/>
  <c r="F92" i="18" s="1"/>
  <c r="D15" i="18" s="1"/>
  <c r="D65" i="18"/>
  <c r="D69" i="18" s="1"/>
  <c r="D70" i="18" l="1"/>
  <c r="D71" i="18" s="1"/>
  <c r="F48" i="18"/>
  <c r="F47" i="18"/>
  <c r="D17" i="18"/>
  <c r="D18" i="18" s="1"/>
  <c r="D19" i="18" l="1"/>
  <c r="D28" i="18" s="1"/>
  <c r="F28" i="18" s="1"/>
  <c r="D29" i="18"/>
  <c r="F29" i="18" s="1"/>
  <c r="F30" i="18" l="1"/>
  <c r="AT9" i="6" l="1"/>
  <c r="AS9" i="6"/>
  <c r="AR9" i="6"/>
  <c r="BF17" i="1" l="1"/>
  <c r="S17" i="1" l="1"/>
  <c r="X145" i="1"/>
  <c r="S21" i="1" l="1"/>
  <c r="V17" i="1"/>
  <c r="W17" i="1"/>
  <c r="E110" i="1"/>
  <c r="V21" i="1" l="1"/>
  <c r="AT6" i="6"/>
  <c r="B117" i="1" l="1"/>
  <c r="T118" i="1"/>
  <c r="J118" i="1"/>
  <c r="H118" i="1"/>
  <c r="F118" i="1"/>
  <c r="E118" i="1"/>
  <c r="D118" i="1"/>
  <c r="T117" i="1"/>
  <c r="S117" i="1"/>
  <c r="J117" i="1"/>
  <c r="H117" i="1"/>
  <c r="F117" i="1"/>
  <c r="E117" i="1"/>
  <c r="D117" i="1"/>
  <c r="P118" i="1"/>
  <c r="P117" i="1" l="1"/>
  <c r="BE19" i="1" l="1"/>
  <c r="BE22" i="1"/>
  <c r="BB22" i="1" s="1"/>
  <c r="BF19" i="1" l="1"/>
  <c r="BB19" i="1"/>
  <c r="BB23" i="1"/>
  <c r="C10" i="1" l="1"/>
  <c r="C155" i="1"/>
  <c r="N117" i="1"/>
  <c r="X117" i="1"/>
  <c r="N118" i="1"/>
  <c r="L11" i="12"/>
  <c r="L15" i="12" s="1"/>
  <c r="L14" i="12" l="1"/>
  <c r="P14" i="12" s="1"/>
  <c r="Q14" i="12" s="1"/>
  <c r="P15" i="12"/>
  <c r="Q15" i="12" s="1"/>
  <c r="X118" i="1"/>
  <c r="V118" i="1"/>
  <c r="V117" i="1"/>
  <c r="D62" i="15"/>
  <c r="D61" i="15"/>
  <c r="D60" i="15"/>
  <c r="D58" i="15"/>
  <c r="D55" i="15" l="1"/>
  <c r="D56" i="15" l="1"/>
  <c r="L13" i="12" l="1"/>
  <c r="P44" i="1" l="1"/>
  <c r="P43" i="1"/>
  <c r="P51" i="1"/>
  <c r="P48" i="1"/>
  <c r="C46" i="1"/>
  <c r="G46" i="1" s="1"/>
  <c r="N46" i="1"/>
  <c r="AH17" i="1"/>
  <c r="C52" i="1"/>
  <c r="P52" i="1" s="1"/>
  <c r="C51" i="1"/>
  <c r="Q51" i="1" s="1"/>
  <c r="C49" i="1"/>
  <c r="P49" i="1" s="1"/>
  <c r="C48" i="1"/>
  <c r="AB17" i="1"/>
  <c r="AB21" i="1" s="1"/>
  <c r="C45" i="1"/>
  <c r="C42" i="1"/>
  <c r="C41" i="1"/>
  <c r="AH21" i="1" l="1"/>
  <c r="I45" i="1"/>
  <c r="P45" i="1" s="1"/>
  <c r="Q48" i="1"/>
  <c r="I41" i="1"/>
  <c r="P41" i="1" s="1"/>
  <c r="I42" i="1"/>
  <c r="P42" i="1" s="1"/>
  <c r="B121" i="1" l="1"/>
  <c r="C53" i="15" l="1"/>
  <c r="B53" i="15"/>
  <c r="A8" i="15"/>
  <c r="A7" i="15"/>
  <c r="F62" i="15"/>
  <c r="I62" i="15" s="1"/>
  <c r="E59" i="15"/>
  <c r="G58" i="15"/>
  <c r="E57" i="15"/>
  <c r="C57" i="15"/>
  <c r="G56" i="15"/>
  <c r="C56" i="15"/>
  <c r="H86" i="15"/>
  <c r="H91" i="15" s="1"/>
  <c r="C33" i="15"/>
  <c r="AJ27" i="15"/>
  <c r="C13" i="15"/>
  <c r="C12" i="15"/>
  <c r="G57" i="15" l="1"/>
  <c r="I57" i="15" s="1"/>
  <c r="D53" i="15"/>
  <c r="E58" i="15"/>
  <c r="I58" i="15" s="1"/>
  <c r="D65" i="15"/>
  <c r="E56" i="15"/>
  <c r="I56" i="15" s="1"/>
  <c r="G59" i="15"/>
  <c r="D64" i="15"/>
  <c r="F60" i="15"/>
  <c r="D20" i="15" s="1"/>
  <c r="E20" i="15" s="1"/>
  <c r="I60" i="15" l="1"/>
  <c r="F65" i="15"/>
  <c r="I65" i="15" s="1"/>
  <c r="D17" i="15"/>
  <c r="E17" i="15" s="1"/>
  <c r="F64" i="15"/>
  <c r="I64" i="15" s="1"/>
  <c r="D18" i="15"/>
  <c r="F61" i="15" l="1"/>
  <c r="I61" i="15" s="1"/>
  <c r="E55" i="15" l="1"/>
  <c r="E72" i="15" s="1"/>
  <c r="G55" i="15"/>
  <c r="D19" i="15"/>
  <c r="E19" i="15" s="1"/>
  <c r="E73" i="15" l="1"/>
  <c r="D16" i="15"/>
  <c r="V11" i="6" l="1"/>
  <c r="B118" i="1" l="1"/>
  <c r="Q23" i="1" l="1"/>
  <c r="Q24" i="1"/>
  <c r="BB69" i="1" l="1"/>
  <c r="AE17" i="1" s="1"/>
  <c r="AE20" i="1" l="1"/>
  <c r="AX20" i="1" s="1"/>
  <c r="AE19" i="1"/>
  <c r="AX19" i="1" s="1"/>
  <c r="AE18" i="1"/>
  <c r="AX18" i="1" s="1"/>
  <c r="M33" i="1"/>
  <c r="M34" i="1"/>
  <c r="M51" i="1"/>
  <c r="O51" i="1" s="1"/>
  <c r="M48" i="1"/>
  <c r="O48" i="1" s="1"/>
  <c r="BE21" i="1"/>
  <c r="BB21" i="1" s="1"/>
  <c r="AG19" i="1" l="1"/>
  <c r="C154" i="1"/>
  <c r="G8" i="12"/>
  <c r="AG18" i="1"/>
  <c r="AR18" i="1" s="1"/>
  <c r="AG20" i="1"/>
  <c r="AR20" i="1" s="1"/>
  <c r="U119" i="1" s="1"/>
  <c r="D110" i="1"/>
  <c r="A47" i="12"/>
  <c r="A48" i="12" s="1"/>
  <c r="A49" i="12" s="1"/>
  <c r="A50" i="12" s="1"/>
  <c r="A51" i="12" s="1"/>
  <c r="A52" i="12" s="1"/>
  <c r="A53" i="12" s="1"/>
  <c r="A54" i="12" s="1"/>
  <c r="O25" i="12"/>
  <c r="J25" i="12"/>
  <c r="P25" i="12" s="1"/>
  <c r="N18" i="12"/>
  <c r="J18" i="12"/>
  <c r="AT18" i="1" l="1"/>
  <c r="AU18" i="1" s="1"/>
  <c r="U117" i="1"/>
  <c r="Q117" i="1"/>
  <c r="Q119" i="1"/>
  <c r="AT20" i="1"/>
  <c r="AU20" i="1" s="1"/>
  <c r="A55" i="12"/>
  <c r="A56" i="12"/>
  <c r="A57" i="12" s="1"/>
  <c r="Q25" i="12"/>
  <c r="K13" i="12"/>
  <c r="W117" i="1" l="1"/>
  <c r="AW18" i="1"/>
  <c r="AY18" i="1" s="1"/>
  <c r="W119" i="1"/>
  <c r="AW20" i="1"/>
  <c r="A58" i="12"/>
  <c r="P13" i="12"/>
  <c r="AY20" i="1" l="1"/>
  <c r="I77" i="38" s="1"/>
  <c r="I78" i="38" s="1"/>
  <c r="G77" i="38"/>
  <c r="G78" i="38" s="1"/>
  <c r="P109" i="1"/>
  <c r="N109" i="1"/>
  <c r="M109" i="1"/>
  <c r="D27" i="6" l="1"/>
  <c r="D28" i="6" s="1"/>
  <c r="D29" i="6" s="1"/>
  <c r="D30" i="6" s="1"/>
  <c r="D31" i="6" s="1"/>
  <c r="D32" i="6" s="1"/>
  <c r="D33" i="6" s="1"/>
  <c r="D34" i="6" s="1"/>
  <c r="D35" i="6" s="1"/>
  <c r="D36" i="6" s="1"/>
  <c r="D37" i="6" s="1"/>
  <c r="D38" i="6" s="1"/>
  <c r="D39" i="6" s="1"/>
  <c r="D40" i="6" s="1"/>
  <c r="D41" i="6" s="1"/>
  <c r="D42" i="6" s="1"/>
  <c r="D43" i="6" s="1"/>
  <c r="D44" i="6" s="1"/>
  <c r="D45" i="6" s="1"/>
  <c r="D46" i="6" s="1"/>
  <c r="D47" i="6" s="1"/>
  <c r="D48" i="6" s="1"/>
  <c r="K116" i="1" l="1"/>
  <c r="K120" i="1" s="1"/>
  <c r="F110" i="1" l="1"/>
  <c r="BB24" i="1"/>
  <c r="C110" i="1" l="1"/>
  <c r="E8" i="12"/>
  <c r="E16" i="12" s="1"/>
  <c r="F16" i="12" s="1"/>
  <c r="P16" i="12" s="1"/>
  <c r="C44" i="1"/>
  <c r="E25" i="12" l="1"/>
  <c r="E13" i="12"/>
  <c r="C68" i="15"/>
  <c r="C23" i="15" s="1"/>
  <c r="Q44" i="1"/>
  <c r="M44" i="1"/>
  <c r="O44" i="1" s="1"/>
  <c r="F13" i="12" l="1"/>
  <c r="H13" i="12" s="1"/>
  <c r="O13" i="12" s="1"/>
  <c r="O18" i="12" s="1"/>
  <c r="C46" i="12" s="1"/>
  <c r="C59" i="15"/>
  <c r="I68" i="15"/>
  <c r="E23" i="15"/>
  <c r="F18" i="12" l="1"/>
  <c r="C31" i="1"/>
  <c r="C8" i="1"/>
  <c r="X17" i="1"/>
  <c r="C18" i="15"/>
  <c r="E18" i="15" s="1"/>
  <c r="D66" i="15"/>
  <c r="F66" i="15" s="1"/>
  <c r="I66" i="15" s="1"/>
  <c r="I59" i="15"/>
  <c r="E116" i="1"/>
  <c r="E120" i="1" s="1"/>
  <c r="Z17" i="1"/>
  <c r="AA17" i="1"/>
  <c r="AA21" i="1" s="1"/>
  <c r="C55" i="15"/>
  <c r="Q13" i="12"/>
  <c r="X21" i="1" l="1"/>
  <c r="AC17" i="1"/>
  <c r="Z21" i="1"/>
  <c r="N17" i="12"/>
  <c r="P17" i="12" s="1"/>
  <c r="W21" i="1"/>
  <c r="D31" i="1"/>
  <c r="G31" i="1" s="1"/>
  <c r="I31" i="1" s="1"/>
  <c r="C69" i="15"/>
  <c r="G69" i="15"/>
  <c r="H70" i="15"/>
  <c r="I70" i="15" s="1"/>
  <c r="C16" i="15"/>
  <c r="D63" i="15"/>
  <c r="I55" i="15"/>
  <c r="AF17" i="1" l="1"/>
  <c r="AC21" i="1"/>
  <c r="P18" i="12"/>
  <c r="Q17" i="12"/>
  <c r="Q18" i="12" s="1"/>
  <c r="D27" i="12" s="1"/>
  <c r="Y17" i="1"/>
  <c r="Y21" i="1" s="1"/>
  <c r="E31" i="1"/>
  <c r="P31" i="1" s="1"/>
  <c r="K31" i="1"/>
  <c r="L31" i="1" s="1"/>
  <c r="D24" i="15"/>
  <c r="G72" i="15"/>
  <c r="G73" i="15"/>
  <c r="C24" i="15"/>
  <c r="I69" i="15"/>
  <c r="F63" i="15"/>
  <c r="I63" i="15" s="1"/>
  <c r="C54" i="15"/>
  <c r="D54" i="15"/>
  <c r="E16" i="15"/>
  <c r="H41" i="1"/>
  <c r="M41" i="1" s="1"/>
  <c r="O41" i="1" s="1"/>
  <c r="J45" i="1"/>
  <c r="J41" i="1"/>
  <c r="H42" i="1"/>
  <c r="M42" i="1" s="1"/>
  <c r="O42" i="1" s="1"/>
  <c r="J42" i="1"/>
  <c r="H45" i="1"/>
  <c r="M45" i="1" s="1"/>
  <c r="O45" i="1" s="1"/>
  <c r="H31" i="1"/>
  <c r="J31" i="1"/>
  <c r="B116" i="1"/>
  <c r="F116" i="1"/>
  <c r="F120" i="1" s="1"/>
  <c r="H116" i="1"/>
  <c r="H120" i="1" s="1"/>
  <c r="AD17" i="1" l="1"/>
  <c r="AF21" i="1"/>
  <c r="S23" i="12"/>
  <c r="D46" i="12"/>
  <c r="R23" i="12"/>
  <c r="N31" i="1"/>
  <c r="E24" i="15"/>
  <c r="D28" i="15"/>
  <c r="E28" i="15" s="1"/>
  <c r="D72" i="15"/>
  <c r="F54" i="15"/>
  <c r="D15" i="15" s="1"/>
  <c r="C15" i="15"/>
  <c r="D21" i="15"/>
  <c r="E21" i="15" s="1"/>
  <c r="M31" i="1"/>
  <c r="O31" i="1" s="1"/>
  <c r="Q31" i="1"/>
  <c r="F10" i="6"/>
  <c r="AD21" i="1" l="1"/>
  <c r="AX17" i="1"/>
  <c r="D29" i="15"/>
  <c r="E29" i="15" s="1"/>
  <c r="D26" i="15"/>
  <c r="I54" i="15"/>
  <c r="F73" i="15"/>
  <c r="F72" i="15"/>
  <c r="E15" i="15"/>
  <c r="AT58" i="6"/>
  <c r="AT57" i="6"/>
  <c r="AT55" i="6"/>
  <c r="AT54" i="6"/>
  <c r="AT19" i="6"/>
  <c r="D30" i="15" l="1"/>
  <c r="E30" i="15" s="1"/>
  <c r="BD10" i="1"/>
  <c r="P46" i="6"/>
  <c r="AO24" i="1" l="1"/>
  <c r="AN24" i="1"/>
  <c r="AL24" i="1"/>
  <c r="AK24" i="1"/>
  <c r="C40" i="1"/>
  <c r="C34" i="1"/>
  <c r="C33" i="1"/>
  <c r="G24" i="1"/>
  <c r="E24" i="1"/>
  <c r="M24" i="1" l="1"/>
  <c r="C38" i="1"/>
  <c r="F34" i="1"/>
  <c r="P34" i="1" s="1"/>
  <c r="N34" i="1"/>
  <c r="J24" i="1"/>
  <c r="C35" i="1"/>
  <c r="K24" i="1"/>
  <c r="C36" i="1"/>
  <c r="F40" i="1"/>
  <c r="N40" i="1"/>
  <c r="G40" i="1"/>
  <c r="I40" i="1" s="1"/>
  <c r="D33" i="1"/>
  <c r="E33" i="1" s="1"/>
  <c r="P33" i="1" s="1"/>
  <c r="L24" i="1"/>
  <c r="C37" i="1"/>
  <c r="S24" i="1"/>
  <c r="J40" i="1" l="1"/>
  <c r="H40" i="1"/>
  <c r="M40" i="1" s="1"/>
  <c r="O40" i="1" s="1"/>
  <c r="D35" i="1"/>
  <c r="E35" i="1" s="1"/>
  <c r="N38" i="1"/>
  <c r="G38" i="1"/>
  <c r="J38" i="1" s="1"/>
  <c r="G36" i="1"/>
  <c r="J36" i="1" s="1"/>
  <c r="N36" i="1"/>
  <c r="F36" i="1"/>
  <c r="Q33" i="1"/>
  <c r="P40" i="1"/>
  <c r="K33" i="1"/>
  <c r="G37" i="1"/>
  <c r="I37" i="1" s="1"/>
  <c r="N37" i="1"/>
  <c r="F37" i="1"/>
  <c r="C32" i="1" l="1"/>
  <c r="G32" i="1" s="1"/>
  <c r="J32" i="1" s="1"/>
  <c r="G35" i="1"/>
  <c r="I35" i="1" s="1"/>
  <c r="P35" i="1" s="1"/>
  <c r="I36" i="1"/>
  <c r="P36" i="1" s="1"/>
  <c r="H36" i="1"/>
  <c r="M36" i="1" s="1"/>
  <c r="O36" i="1" s="1"/>
  <c r="J37" i="1"/>
  <c r="H38" i="1"/>
  <c r="P37" i="1"/>
  <c r="H37" i="1"/>
  <c r="L33" i="1"/>
  <c r="N33" i="1" s="1"/>
  <c r="I38" i="1"/>
  <c r="P38" i="1" s="1"/>
  <c r="K35" i="1"/>
  <c r="J27" i="1"/>
  <c r="N32" i="1" l="1"/>
  <c r="F32" i="1"/>
  <c r="J35" i="1"/>
  <c r="H35" i="1"/>
  <c r="H32" i="1"/>
  <c r="I32" i="1"/>
  <c r="L35" i="1"/>
  <c r="N35" i="1" s="1"/>
  <c r="M37" i="1"/>
  <c r="O37" i="1" s="1"/>
  <c r="M38" i="1"/>
  <c r="O38" i="1" s="1"/>
  <c r="P32" i="1" l="1"/>
  <c r="Q35" i="1"/>
  <c r="M35" i="1"/>
  <c r="O35" i="1" s="1"/>
  <c r="M32" i="1"/>
  <c r="O32" i="1" s="1"/>
  <c r="C50" i="12" l="1"/>
  <c r="C48" i="12"/>
  <c r="D50" i="12" l="1"/>
  <c r="D116" i="1"/>
  <c r="D120" i="1" s="1"/>
  <c r="I116" i="1"/>
  <c r="I120" i="1" s="1"/>
  <c r="C39" i="1"/>
  <c r="D159" i="1"/>
  <c r="C159" i="1"/>
  <c r="C160" i="1"/>
  <c r="F50" i="12" l="1"/>
  <c r="G50" i="12" s="1"/>
  <c r="AM24" i="1"/>
  <c r="C55" i="12"/>
  <c r="D39" i="1"/>
  <c r="R24" i="1"/>
  <c r="J116" i="1"/>
  <c r="AA24" i="1"/>
  <c r="L116" i="1"/>
  <c r="L120" i="1" s="1"/>
  <c r="E159" i="1"/>
  <c r="T116" i="1"/>
  <c r="T120" i="1" s="1"/>
  <c r="S116" i="1"/>
  <c r="J120" i="1" l="1"/>
  <c r="C49" i="12" s="1"/>
  <c r="F55" i="12"/>
  <c r="G55" i="12" s="1"/>
  <c r="K39" i="1"/>
  <c r="L39" i="1" s="1"/>
  <c r="G39" i="1"/>
  <c r="I39" i="1" s="1"/>
  <c r="I53" i="1" s="1"/>
  <c r="E39" i="1"/>
  <c r="AI17" i="1"/>
  <c r="C161" i="1"/>
  <c r="C167" i="1"/>
  <c r="D49" i="12"/>
  <c r="P39" i="1" l="1"/>
  <c r="P53" i="1" s="1"/>
  <c r="D48" i="12"/>
  <c r="F48" i="12" s="1"/>
  <c r="G48" i="12" s="1"/>
  <c r="F49" i="12"/>
  <c r="G49" i="12" s="1"/>
  <c r="N39" i="1"/>
  <c r="N53" i="1" s="1"/>
  <c r="J39" i="1"/>
  <c r="H39" i="1"/>
  <c r="D161" i="1"/>
  <c r="E161" i="1" s="1"/>
  <c r="D160" i="1"/>
  <c r="E160" i="1" s="1"/>
  <c r="T24" i="1"/>
  <c r="Q39" i="1" l="1"/>
  <c r="M39" i="1"/>
  <c r="H53" i="1"/>
  <c r="H55" i="1" s="1"/>
  <c r="G46" i="12"/>
  <c r="O39" i="1" l="1"/>
  <c r="O116" i="1"/>
  <c r="O120" i="1" s="1"/>
  <c r="C158" i="1"/>
  <c r="P116" i="1"/>
  <c r="P120" i="1" s="1"/>
  <c r="C53" i="12" l="1"/>
  <c r="AD24" i="1"/>
  <c r="C166" i="1"/>
  <c r="C165" i="1"/>
  <c r="B120" i="1" l="1"/>
  <c r="AO23" i="1" l="1"/>
  <c r="AN23" i="1"/>
  <c r="AM23" i="1"/>
  <c r="AL23" i="1"/>
  <c r="AK23" i="1"/>
  <c r="AJ23" i="1"/>
  <c r="U23" i="1"/>
  <c r="O23" i="1"/>
  <c r="N23" i="1"/>
  <c r="M23" i="1"/>
  <c r="J23" i="1"/>
  <c r="I23" i="1"/>
  <c r="H23" i="1"/>
  <c r="G23" i="1"/>
  <c r="E23" i="1"/>
  <c r="P44" i="6"/>
  <c r="W2" i="6"/>
  <c r="W3" i="6"/>
  <c r="J11" i="6"/>
  <c r="X19" i="6"/>
  <c r="Y19" i="6"/>
  <c r="Z19" i="6"/>
  <c r="AA19" i="6"/>
  <c r="AB19" i="6"/>
  <c r="AC19" i="6"/>
  <c r="AD19" i="6"/>
  <c r="AE19" i="6"/>
  <c r="AF19" i="6"/>
  <c r="AG19" i="6"/>
  <c r="AH19" i="6"/>
  <c r="AI19" i="6"/>
  <c r="AJ19" i="6"/>
  <c r="AK19" i="6"/>
  <c r="AL19" i="6"/>
  <c r="AM19" i="6"/>
  <c r="AN19" i="6"/>
  <c r="AO19" i="6"/>
  <c r="AP19" i="6"/>
  <c r="AQ19" i="6"/>
  <c r="AR19" i="6"/>
  <c r="AS19" i="6"/>
  <c r="AA27" i="6"/>
  <c r="AA28" i="6"/>
  <c r="X32" i="6"/>
  <c r="A34" i="6"/>
  <c r="AB44" i="6"/>
  <c r="AC44" i="6"/>
  <c r="AD44" i="6"/>
  <c r="AE44" i="6"/>
  <c r="AF44" i="6"/>
  <c r="AG44" i="6"/>
  <c r="AH44" i="6"/>
  <c r="AI44" i="6"/>
  <c r="AJ44" i="6"/>
  <c r="AK44" i="6"/>
  <c r="AL44" i="6"/>
  <c r="AM44" i="6"/>
  <c r="AN44" i="6"/>
  <c r="AO44" i="6"/>
  <c r="AP44" i="6"/>
  <c r="AQ44" i="6"/>
  <c r="AR44" i="6"/>
  <c r="AE1" i="1"/>
  <c r="AS1" i="1" s="1"/>
  <c r="CL3" i="1"/>
  <c r="CN3" i="1"/>
  <c r="AE5" i="1"/>
  <c r="AS5" i="1" s="1"/>
  <c r="E8" i="1"/>
  <c r="L110" i="1" s="1"/>
  <c r="F8" i="1"/>
  <c r="G8" i="1"/>
  <c r="H8" i="1"/>
  <c r="O110" i="1" s="1"/>
  <c r="P110" i="1"/>
  <c r="J8" i="1"/>
  <c r="Q110" i="1" s="1"/>
  <c r="CI14" i="1"/>
  <c r="CI15" i="1"/>
  <c r="T16" i="1"/>
  <c r="T23" i="1" s="1"/>
  <c r="BI50" i="1"/>
  <c r="DM66" i="1"/>
  <c r="DM67" i="1" s="1"/>
  <c r="DM68" i="1"/>
  <c r="DP74" i="1"/>
  <c r="DP75" i="1" s="1"/>
  <c r="DQ75" i="1"/>
  <c r="DL91" i="1"/>
  <c r="DL94" i="1"/>
  <c r="DL95" i="1" s="1"/>
  <c r="DL96" i="1"/>
  <c r="V103" i="1"/>
  <c r="K104" i="1"/>
  <c r="V104" i="1"/>
  <c r="J105" i="1"/>
  <c r="Q109" i="1"/>
  <c r="B110" i="1"/>
  <c r="B122" i="1"/>
  <c r="B123" i="1"/>
  <c r="B172" i="1" s="1"/>
  <c r="B124" i="1"/>
  <c r="A156" i="1"/>
  <c r="M110" i="1" l="1"/>
  <c r="N110" i="1"/>
  <c r="A149" i="1"/>
  <c r="A150" i="1"/>
  <c r="DM69" i="1"/>
  <c r="DM73" i="1" s="1"/>
  <c r="DL97" i="1"/>
  <c r="DL99" i="1" s="1"/>
  <c r="AA44" i="6"/>
  <c r="B11" i="8" l="1"/>
  <c r="B10" i="8"/>
  <c r="DM72" i="1"/>
  <c r="DM75" i="1"/>
  <c r="DM74" i="1"/>
  <c r="DM77" i="1"/>
  <c r="DR74" i="1" s="1"/>
  <c r="DS74" i="1" s="1"/>
  <c r="DM76" i="1"/>
  <c r="K23" i="1"/>
  <c r="L23" i="1"/>
  <c r="AB16" i="1"/>
  <c r="AH16" i="1"/>
  <c r="S16" i="1"/>
  <c r="D23" i="1"/>
  <c r="DR66" i="1" l="1"/>
  <c r="DS66" i="1" s="1"/>
  <c r="DR69" i="1"/>
  <c r="DS69" i="1" s="1"/>
  <c r="DR65" i="1"/>
  <c r="DS65" i="1" s="1"/>
  <c r="DR67" i="1"/>
  <c r="DS67" i="1" s="1"/>
  <c r="DR72" i="1"/>
  <c r="DS72" i="1" s="1"/>
  <c r="DR68" i="1"/>
  <c r="DS68" i="1" s="1"/>
  <c r="DR63" i="1"/>
  <c r="DR75" i="1" s="1"/>
  <c r="DS77" i="1" s="1"/>
  <c r="DW66" i="1" s="1"/>
  <c r="DR70" i="1"/>
  <c r="DS70" i="1" s="1"/>
  <c r="DR73" i="1"/>
  <c r="DS73" i="1" s="1"/>
  <c r="DR71" i="1"/>
  <c r="DS71" i="1" s="1"/>
  <c r="DR64" i="1"/>
  <c r="DS64" i="1" s="1"/>
  <c r="S23" i="1"/>
  <c r="R16" i="1"/>
  <c r="AV16" i="1"/>
  <c r="AA16" i="1"/>
  <c r="AA23" i="1" s="1"/>
  <c r="AC16" i="1"/>
  <c r="AC23" i="1" s="1"/>
  <c r="Z16" i="1"/>
  <c r="Z23" i="1" s="1"/>
  <c r="DS63" i="1" l="1"/>
  <c r="DS75" i="1" s="1"/>
  <c r="X16" i="1"/>
  <c r="AD16" i="1"/>
  <c r="V16" i="1"/>
  <c r="Y16" i="1"/>
  <c r="DS76" i="1" l="1"/>
  <c r="DW64" i="1" s="1"/>
  <c r="AD23" i="1"/>
  <c r="AQ16" i="1"/>
  <c r="AE16" i="1"/>
  <c r="AF16" i="1"/>
  <c r="AI16" i="1"/>
  <c r="D158" i="1" l="1"/>
  <c r="AB24" i="1"/>
  <c r="AH24" i="1"/>
  <c r="D51" i="12"/>
  <c r="F51" i="12" l="1"/>
  <c r="G51" i="12" s="1"/>
  <c r="E158" i="1"/>
  <c r="D163" i="1"/>
  <c r="E163" i="1" s="1"/>
  <c r="D165" i="1"/>
  <c r="E165" i="1" s="1"/>
  <c r="AH23" i="1"/>
  <c r="AB23" i="1"/>
  <c r="F23" i="1"/>
  <c r="R23" i="1"/>
  <c r="AS54" i="6" l="1"/>
  <c r="AS57" i="6"/>
  <c r="AS55" i="6" l="1"/>
  <c r="AS58" i="6"/>
  <c r="D47" i="12"/>
  <c r="F47" i="12" l="1"/>
  <c r="G47" i="12" s="1"/>
  <c r="D162" i="1"/>
  <c r="E162" i="1" s="1"/>
  <c r="Y23" i="1"/>
  <c r="P23" i="1" l="1"/>
  <c r="X24" i="1" l="1"/>
  <c r="D52" i="12"/>
  <c r="W24" i="1"/>
  <c r="C52" i="12"/>
  <c r="X23" i="1"/>
  <c r="AF23" i="1"/>
  <c r="W23" i="1"/>
  <c r="F52" i="12" l="1"/>
  <c r="G52" i="12" s="1"/>
  <c r="M116" i="1" l="1"/>
  <c r="M120" i="1" s="1"/>
  <c r="AQ17" i="1"/>
  <c r="AQ21" i="1" s="1"/>
  <c r="N116" i="1"/>
  <c r="C43" i="1"/>
  <c r="C67" i="15"/>
  <c r="N120" i="1" l="1"/>
  <c r="C164" i="1" s="1"/>
  <c r="AG17" i="1"/>
  <c r="AG21" i="1" s="1"/>
  <c r="AG24" i="1" s="1"/>
  <c r="AE21" i="1"/>
  <c r="AX21" i="1" s="1"/>
  <c r="Q43" i="1"/>
  <c r="Q53" i="1" s="1"/>
  <c r="M43" i="1"/>
  <c r="M53" i="1" s="1"/>
  <c r="V116" i="1"/>
  <c r="V120" i="1" s="1"/>
  <c r="AQ23" i="1"/>
  <c r="AS17" i="1"/>
  <c r="AS21" i="1" s="1"/>
  <c r="C72" i="15"/>
  <c r="C22" i="15"/>
  <c r="I67" i="15"/>
  <c r="V23" i="1"/>
  <c r="C54" i="12"/>
  <c r="V24" i="1"/>
  <c r="AR17" i="1" l="1"/>
  <c r="U116" i="1" s="1"/>
  <c r="AG23" i="1"/>
  <c r="Q116" i="1"/>
  <c r="D164" i="1"/>
  <c r="E164" i="1" s="1"/>
  <c r="AE24" i="1"/>
  <c r="AE23" i="1"/>
  <c r="E22" i="15"/>
  <c r="C26" i="15"/>
  <c r="D31" i="15"/>
  <c r="D32" i="15" s="1"/>
  <c r="X116" i="1"/>
  <c r="X120" i="1" s="1"/>
  <c r="X122" i="1" s="1"/>
  <c r="X124" i="1" s="1"/>
  <c r="AS23" i="1"/>
  <c r="F54" i="12"/>
  <c r="G54" i="12" s="1"/>
  <c r="C57" i="12"/>
  <c r="C60" i="12" s="1"/>
  <c r="C168" i="1"/>
  <c r="O43" i="1"/>
  <c r="O53" i="1" s="1"/>
  <c r="AT17" i="1" l="1"/>
  <c r="AU17" i="1" s="1"/>
  <c r="E32" i="15"/>
  <c r="H73" i="15"/>
  <c r="I73" i="15" s="1"/>
  <c r="D35" i="15" s="1"/>
  <c r="E35" i="15" s="1"/>
  <c r="E31" i="15"/>
  <c r="D33" i="15"/>
  <c r="C169" i="1"/>
  <c r="E26" i="15"/>
  <c r="C34" i="15"/>
  <c r="C36" i="15" s="1"/>
  <c r="AW17" i="1" l="1"/>
  <c r="AY17" i="1" s="1"/>
  <c r="W116" i="1"/>
  <c r="E33" i="15"/>
  <c r="D34" i="15"/>
  <c r="D36" i="15" s="1"/>
  <c r="D56" i="12" l="1"/>
  <c r="G56" i="12" s="1"/>
  <c r="AI19" i="1"/>
  <c r="AP24" i="1"/>
  <c r="AI24" i="1" s="1"/>
  <c r="S118" i="1"/>
  <c r="E34" i="15"/>
  <c r="E36" i="15" s="1"/>
  <c r="H71" i="15"/>
  <c r="S120" i="1" l="1"/>
  <c r="D167" i="1" s="1"/>
  <c r="E167" i="1" s="1"/>
  <c r="Q118" i="1"/>
  <c r="Q120" i="1" s="1"/>
  <c r="D166" i="1" s="1"/>
  <c r="E166" i="1" s="1"/>
  <c r="AI21" i="1"/>
  <c r="AI23" i="1" s="1"/>
  <c r="AR19" i="1"/>
  <c r="AP23" i="1"/>
  <c r="AV24" i="1"/>
  <c r="AT24" i="1"/>
  <c r="AU24" i="1" s="1"/>
  <c r="I71" i="15"/>
  <c r="I72" i="15" s="1"/>
  <c r="I74" i="15" s="1"/>
  <c r="H72" i="15"/>
  <c r="D53" i="12" l="1"/>
  <c r="F53" i="12" s="1"/>
  <c r="G53" i="12" s="1"/>
  <c r="U118" i="1"/>
  <c r="U120" i="1" s="1"/>
  <c r="D168" i="1" s="1"/>
  <c r="AR21" i="1"/>
  <c r="AR23" i="1" s="1"/>
  <c r="AT19" i="1"/>
  <c r="C12" i="6"/>
  <c r="D16" i="6" s="1"/>
  <c r="AW24" i="1"/>
  <c r="AU19" i="1" l="1"/>
  <c r="AW19" i="1" s="1"/>
  <c r="AY19" i="1" s="1"/>
  <c r="AT21" i="1"/>
  <c r="D57" i="12"/>
  <c r="F57" i="12" s="1"/>
  <c r="G57" i="12" s="1"/>
  <c r="BM15" i="1"/>
  <c r="W123" i="1"/>
  <c r="D169" i="1"/>
  <c r="E168" i="1"/>
  <c r="Y48" i="6"/>
  <c r="Z48" i="6"/>
  <c r="J15" i="30" l="1"/>
  <c r="R48" i="30" s="1"/>
  <c r="G138" i="1"/>
  <c r="E169" i="1"/>
  <c r="W118" i="1"/>
  <c r="W120" i="1" s="1"/>
  <c r="AU21" i="1"/>
  <c r="D59" i="12"/>
  <c r="E172" i="1"/>
  <c r="BI1" i="1" l="1"/>
  <c r="BI12" i="1" s="1"/>
  <c r="C135" i="1" s="1"/>
  <c r="AW21" i="1"/>
  <c r="AY21" i="1" s="1"/>
  <c r="S48" i="30"/>
  <c r="S49" i="30" s="1"/>
  <c r="R49" i="30"/>
  <c r="G59" i="12"/>
  <c r="BK12" i="1" l="1"/>
  <c r="E13" i="30" s="1"/>
  <c r="BI9" i="1"/>
  <c r="C13" i="30"/>
  <c r="BI11" i="1"/>
  <c r="C12" i="30" s="1"/>
  <c r="BI10" i="1"/>
  <c r="BI14" i="1" s="1"/>
  <c r="C137" i="1" s="1"/>
  <c r="BI13" i="1"/>
  <c r="BJ13" i="1" s="1"/>
  <c r="C6" i="6"/>
  <c r="E6" i="6" s="1"/>
  <c r="L48" i="30"/>
  <c r="E135" i="1"/>
  <c r="C10" i="30"/>
  <c r="O43" i="30" s="1"/>
  <c r="C132" i="1"/>
  <c r="C134" i="1"/>
  <c r="C11" i="30"/>
  <c r="P43" i="30" s="1"/>
  <c r="P45" i="30" s="1"/>
  <c r="C133" i="1"/>
  <c r="BJ9" i="1"/>
  <c r="D132" i="1" s="1"/>
  <c r="C7" i="6"/>
  <c r="BK9" i="1"/>
  <c r="BJ10" i="1"/>
  <c r="C8" i="6"/>
  <c r="BK10" i="1"/>
  <c r="BK11" i="1"/>
  <c r="C9" i="6"/>
  <c r="BJ11" i="1"/>
  <c r="C10" i="6"/>
  <c r="C14" i="30" l="1"/>
  <c r="G14" i="30" s="1"/>
  <c r="C136" i="1"/>
  <c r="BK13" i="1"/>
  <c r="D6" i="6"/>
  <c r="BL11" i="1"/>
  <c r="BL10" i="1"/>
  <c r="BL12" i="1"/>
  <c r="F135" i="1" s="1"/>
  <c r="Q43" i="30"/>
  <c r="Q45" i="30" s="1"/>
  <c r="Q51" i="30" s="1"/>
  <c r="D8" i="6"/>
  <c r="D133" i="1"/>
  <c r="E10" i="30"/>
  <c r="E132" i="1"/>
  <c r="E11" i="30"/>
  <c r="E133" i="1"/>
  <c r="D9" i="6"/>
  <c r="D134" i="1"/>
  <c r="E14" i="30"/>
  <c r="I14" i="30" s="1"/>
  <c r="E136" i="1"/>
  <c r="D10" i="6"/>
  <c r="D136" i="1"/>
  <c r="E12" i="30"/>
  <c r="E134" i="1"/>
  <c r="P51" i="30"/>
  <c r="P52" i="30"/>
  <c r="O45" i="30"/>
  <c r="E9" i="6"/>
  <c r="BL9" i="1"/>
  <c r="E10" i="6"/>
  <c r="BM13" i="1"/>
  <c r="G136" i="1" s="1"/>
  <c r="E8" i="6"/>
  <c r="D7" i="6"/>
  <c r="BJ14" i="1"/>
  <c r="D137" i="1" s="1"/>
  <c r="Z44" i="6"/>
  <c r="Y44" i="6"/>
  <c r="E27" i="6"/>
  <c r="E7" i="6"/>
  <c r="BK14" i="1"/>
  <c r="E137" i="1" s="1"/>
  <c r="X44" i="6"/>
  <c r="E26" i="6"/>
  <c r="G26" i="6" s="1"/>
  <c r="C11" i="6"/>
  <c r="C15" i="30" l="1"/>
  <c r="K43" i="30" s="1"/>
  <c r="R43" i="30"/>
  <c r="G10" i="6"/>
  <c r="I10" i="6" s="1"/>
  <c r="K10" i="6" s="1"/>
  <c r="L43" i="30"/>
  <c r="Q52" i="30"/>
  <c r="E15" i="30"/>
  <c r="F11" i="30"/>
  <c r="G11" i="30" s="1"/>
  <c r="F133" i="1"/>
  <c r="F12" i="30"/>
  <c r="G12" i="30" s="1"/>
  <c r="F134" i="1"/>
  <c r="D11" i="6"/>
  <c r="F10" i="30"/>
  <c r="I10" i="30" s="1"/>
  <c r="O25" i="30" s="1"/>
  <c r="F132" i="1"/>
  <c r="BM12" i="1"/>
  <c r="G135" i="1" s="1"/>
  <c r="F13" i="30"/>
  <c r="O52" i="30"/>
  <c r="O51" i="30"/>
  <c r="E11" i="6"/>
  <c r="H10" i="6"/>
  <c r="BM9" i="1"/>
  <c r="G132" i="1" s="1"/>
  <c r="BL14" i="1"/>
  <c r="F7" i="6"/>
  <c r="U44" i="6"/>
  <c r="AS44" i="6"/>
  <c r="BM11" i="1"/>
  <c r="G134" i="1" s="1"/>
  <c r="F9" i="6"/>
  <c r="G9" i="6" s="1"/>
  <c r="F8" i="6"/>
  <c r="G8" i="6" s="1"/>
  <c r="BM10" i="1"/>
  <c r="G133" i="1" s="1"/>
  <c r="AT44" i="6"/>
  <c r="I11" i="30" l="1"/>
  <c r="P25" i="30" s="1"/>
  <c r="P26" i="30" s="1"/>
  <c r="G10" i="30"/>
  <c r="AT22" i="1"/>
  <c r="AT23" i="1" s="1"/>
  <c r="F137" i="1"/>
  <c r="F15" i="30"/>
  <c r="I12" i="30"/>
  <c r="Q25" i="30" s="1"/>
  <c r="Q26" i="30" s="1"/>
  <c r="I13" i="30"/>
  <c r="R25" i="30" s="1"/>
  <c r="G13" i="30"/>
  <c r="O31" i="30"/>
  <c r="O26" i="30"/>
  <c r="BM14" i="1"/>
  <c r="G137" i="1" s="1"/>
  <c r="H9" i="6"/>
  <c r="Z21" i="6" s="1"/>
  <c r="Z27" i="6" s="1"/>
  <c r="I9" i="6"/>
  <c r="G7" i="6"/>
  <c r="F11" i="6"/>
  <c r="H8" i="6"/>
  <c r="Y21" i="6" s="1"/>
  <c r="Y27" i="6" s="1"/>
  <c r="I8" i="6"/>
  <c r="P31" i="30" l="1"/>
  <c r="P35" i="30" s="1"/>
  <c r="P36" i="30" s="1"/>
  <c r="AU22" i="1"/>
  <c r="AU23" i="1" s="1"/>
  <c r="AU25" i="1" s="1"/>
  <c r="AU28" i="1" s="1"/>
  <c r="AT28" i="1" s="1"/>
  <c r="G15" i="30"/>
  <c r="K15" i="30" s="1"/>
  <c r="AN12" i="30" s="1"/>
  <c r="AL25" i="30"/>
  <c r="Q31" i="30"/>
  <c r="M25" i="30"/>
  <c r="M26" i="30" s="1"/>
  <c r="O35" i="30"/>
  <c r="O36" i="30" s="1"/>
  <c r="I15" i="30"/>
  <c r="R31" i="30"/>
  <c r="R26" i="30"/>
  <c r="AL26" i="30" s="1"/>
  <c r="G11" i="6"/>
  <c r="D15" i="6" s="1"/>
  <c r="D17" i="6" s="1"/>
  <c r="H7" i="6"/>
  <c r="I7" i="6"/>
  <c r="K8" i="6"/>
  <c r="Y22" i="6"/>
  <c r="Y28" i="6" s="1"/>
  <c r="Z22" i="6"/>
  <c r="Z28" i="6" s="1"/>
  <c r="K9" i="6"/>
  <c r="W121" i="1" l="1"/>
  <c r="E170" i="1" s="1"/>
  <c r="BL13" i="30"/>
  <c r="AL31" i="30"/>
  <c r="M31" i="30"/>
  <c r="W33" i="30" s="1"/>
  <c r="E11" i="31"/>
  <c r="J17" i="29"/>
  <c r="P37" i="30"/>
  <c r="O37" i="30"/>
  <c r="AK48" i="30"/>
  <c r="AK49" i="30" s="1"/>
  <c r="AN16" i="30"/>
  <c r="AN13" i="30"/>
  <c r="AN14" i="30" s="1"/>
  <c r="AO12" i="30" s="1"/>
  <c r="I11" i="6"/>
  <c r="X22" i="6"/>
  <c r="K7" i="6"/>
  <c r="K11" i="6" s="1"/>
  <c r="AZ12" i="6"/>
  <c r="AZ8" i="6"/>
  <c r="AZ9" i="6" s="1"/>
  <c r="X65" i="6"/>
  <c r="AV9" i="6"/>
  <c r="H11" i="6"/>
  <c r="X21" i="6"/>
  <c r="X29" i="1"/>
  <c r="K27" i="1"/>
  <c r="D58" i="12" l="1"/>
  <c r="D60" i="12" s="1"/>
  <c r="W122" i="1"/>
  <c r="W124" i="1" s="1"/>
  <c r="E171" i="1"/>
  <c r="AA33" i="30"/>
  <c r="X33" i="30"/>
  <c r="Y33" i="30"/>
  <c r="V33" i="30"/>
  <c r="Q33" i="30"/>
  <c r="R32" i="30" s="1"/>
  <c r="S33" i="30"/>
  <c r="U33" i="30"/>
  <c r="AB33" i="30"/>
  <c r="Z33" i="30"/>
  <c r="T33" i="30"/>
  <c r="AO13" i="30"/>
  <c r="AO14" i="30" s="1"/>
  <c r="AP12" i="30" s="1"/>
  <c r="AP13" i="30" s="1"/>
  <c r="R13" i="30"/>
  <c r="AK52" i="30"/>
  <c r="AK51" i="30"/>
  <c r="Y9" i="6"/>
  <c r="M11" i="6"/>
  <c r="M13" i="6" s="1"/>
  <c r="X27" i="6"/>
  <c r="V21" i="6"/>
  <c r="X28" i="6"/>
  <c r="Y30" i="6" s="1"/>
  <c r="V22" i="6"/>
  <c r="G58" i="12" l="1"/>
  <c r="Q35" i="30"/>
  <c r="Q36" i="30" s="1"/>
  <c r="E173" i="1"/>
  <c r="X32" i="30"/>
  <c r="X12" i="30" s="1"/>
  <c r="AA32" i="30"/>
  <c r="AA12" i="30" s="1"/>
  <c r="S32" i="30"/>
  <c r="S12" i="30" s="1"/>
  <c r="W32" i="30"/>
  <c r="W12" i="30" s="1"/>
  <c r="V32" i="30"/>
  <c r="V12" i="30" s="1"/>
  <c r="T32" i="30"/>
  <c r="T12" i="30" s="1"/>
  <c r="AL33" i="30"/>
  <c r="M33" i="30"/>
  <c r="U32" i="30"/>
  <c r="U12" i="30" s="1"/>
  <c r="Y32" i="30"/>
  <c r="Y12" i="30" s="1"/>
  <c r="Z32" i="30"/>
  <c r="Z12" i="30" s="1"/>
  <c r="AB32" i="30"/>
  <c r="AB12" i="30" s="1"/>
  <c r="AP14" i="30"/>
  <c r="AQ12" i="30" s="1"/>
  <c r="T13" i="30"/>
  <c r="R12" i="30"/>
  <c r="R14" i="30" s="1"/>
  <c r="R15" i="30" s="1"/>
  <c r="S13" i="30"/>
  <c r="G60" i="12"/>
  <c r="F65" i="12" s="1"/>
  <c r="AI32" i="6"/>
  <c r="AG32" i="6"/>
  <c r="AE32" i="6"/>
  <c r="AC32" i="6"/>
  <c r="AA32" i="6"/>
  <c r="AJ32" i="6"/>
  <c r="AH32" i="6"/>
  <c r="AF32" i="6"/>
  <c r="AD32" i="6"/>
  <c r="AB32" i="6"/>
  <c r="Z30" i="6"/>
  <c r="X30" i="6"/>
  <c r="X8" i="6" s="1"/>
  <c r="V23" i="6"/>
  <c r="AZ10" i="6"/>
  <c r="BA8" i="6" s="1"/>
  <c r="E94" i="37" l="1"/>
  <c r="D94" i="37"/>
  <c r="T14" i="30"/>
  <c r="T15" i="30" s="1"/>
  <c r="T17" i="30" s="1"/>
  <c r="F38" i="18"/>
  <c r="F39" i="18" s="1"/>
  <c r="F40" i="18" s="1"/>
  <c r="E15" i="8"/>
  <c r="S14" i="30"/>
  <c r="S15" i="30" s="1"/>
  <c r="AL32" i="30"/>
  <c r="Q37" i="30"/>
  <c r="R17" i="30"/>
  <c r="R18" i="30" s="1"/>
  <c r="R34" i="30"/>
  <c r="R44" i="30"/>
  <c r="R45" i="30" s="1"/>
  <c r="AQ13" i="30"/>
  <c r="AK30" i="6"/>
  <c r="AK8" i="6" s="1"/>
  <c r="AA30" i="6"/>
  <c r="V32" i="6"/>
  <c r="X67" i="6"/>
  <c r="Y8" i="6"/>
  <c r="AB30" i="6"/>
  <c r="AT30" i="6"/>
  <c r="AT8" i="6" s="1"/>
  <c r="AN30" i="6"/>
  <c r="AN8" i="6" s="1"/>
  <c r="AP30" i="6"/>
  <c r="AP8" i="6" s="1"/>
  <c r="AE30" i="6"/>
  <c r="AC30" i="6"/>
  <c r="AL30" i="6"/>
  <c r="AL8" i="6" s="1"/>
  <c r="AQ30" i="6"/>
  <c r="AQ8" i="6" s="1"/>
  <c r="BA9" i="6"/>
  <c r="Z9" i="6" s="1"/>
  <c r="Z8" i="6"/>
  <c r="AD30" i="6"/>
  <c r="AM30" i="6"/>
  <c r="AM8" i="6" s="1"/>
  <c r="AR30" i="6"/>
  <c r="AR8" i="6" s="1"/>
  <c r="AO30" i="6"/>
  <c r="AO8" i="6" s="1"/>
  <c r="AJ30" i="6"/>
  <c r="AS30" i="6"/>
  <c r="AS8" i="6" s="1"/>
  <c r="AF30" i="6"/>
  <c r="AI30" i="6"/>
  <c r="AH30" i="6"/>
  <c r="AG30" i="6"/>
  <c r="F94" i="37" l="1"/>
  <c r="E17" i="8"/>
  <c r="D14" i="6"/>
  <c r="U13" i="30"/>
  <c r="R52" i="30"/>
  <c r="R51" i="30"/>
  <c r="S44" i="30"/>
  <c r="S45" i="30" s="1"/>
  <c r="S34" i="30"/>
  <c r="S35" i="30" s="1"/>
  <c r="S36" i="30" s="1"/>
  <c r="R35" i="30"/>
  <c r="T34" i="30"/>
  <c r="T35" i="30" s="1"/>
  <c r="T36" i="30" s="1"/>
  <c r="T44" i="30"/>
  <c r="T45" i="30" s="1"/>
  <c r="AQ14" i="30"/>
  <c r="AR12" i="30" s="1"/>
  <c r="S17" i="30"/>
  <c r="S18" i="30" s="1"/>
  <c r="T18" i="30" s="1"/>
  <c r="BA10" i="6"/>
  <c r="BB8" i="6" s="1"/>
  <c r="BB9" i="6" s="1"/>
  <c r="AA9" i="6" s="1"/>
  <c r="AG8" i="6"/>
  <c r="AG67" i="6" s="1"/>
  <c r="AH8" i="6"/>
  <c r="AH67" i="6" s="1"/>
  <c r="AF8" i="6"/>
  <c r="AF67" i="6" s="1"/>
  <c r="AJ8" i="6"/>
  <c r="AD8" i="6"/>
  <c r="AD67" i="6" s="1"/>
  <c r="Z67" i="6"/>
  <c r="AE8" i="6"/>
  <c r="AE67" i="6" s="1"/>
  <c r="AB8" i="6"/>
  <c r="AB67" i="6" s="1"/>
  <c r="Y67" i="6"/>
  <c r="AA8" i="6"/>
  <c r="AA67" i="6" s="1"/>
  <c r="AI8" i="6"/>
  <c r="AC8" i="6"/>
  <c r="AC67" i="6" s="1"/>
  <c r="F47" i="6" l="1"/>
  <c r="G47" i="6" s="1"/>
  <c r="Y7" i="6"/>
  <c r="AR7" i="6"/>
  <c r="AR20" i="6" s="1"/>
  <c r="AE7" i="6"/>
  <c r="AQ7" i="6"/>
  <c r="AQ20" i="6" s="1"/>
  <c r="AK7" i="6"/>
  <c r="AK20" i="6" s="1"/>
  <c r="AL7" i="6"/>
  <c r="AL20" i="6" s="1"/>
  <c r="Z7" i="6"/>
  <c r="AI7" i="6"/>
  <c r="AA7" i="6"/>
  <c r="AH7" i="6"/>
  <c r="AO7" i="6"/>
  <c r="AO20" i="6" s="1"/>
  <c r="F48" i="6"/>
  <c r="G48" i="6" s="1"/>
  <c r="AP7" i="6"/>
  <c r="AP20" i="6" s="1"/>
  <c r="AB7" i="6"/>
  <c r="F27" i="6"/>
  <c r="G27" i="6" s="1"/>
  <c r="AF7" i="6"/>
  <c r="AN7" i="6"/>
  <c r="AN20" i="6" s="1"/>
  <c r="AC7" i="6"/>
  <c r="AG7" i="6"/>
  <c r="AT7" i="6"/>
  <c r="AM7" i="6"/>
  <c r="AM20" i="6" s="1"/>
  <c r="AJ7" i="6"/>
  <c r="AS7" i="6"/>
  <c r="X7" i="6"/>
  <c r="AD7" i="6"/>
  <c r="S51" i="30"/>
  <c r="S52" i="30"/>
  <c r="AR13" i="30"/>
  <c r="AR14" i="30" s="1"/>
  <c r="AS12" i="30" s="1"/>
  <c r="R36" i="30"/>
  <c r="U14" i="30"/>
  <c r="U15" i="30" s="1"/>
  <c r="T51" i="30"/>
  <c r="T52" i="30"/>
  <c r="AA10" i="6"/>
  <c r="AA11" i="6" s="1"/>
  <c r="H29" i="6" s="1"/>
  <c r="BB10" i="6"/>
  <c r="BC8" i="6" s="1"/>
  <c r="AG74" i="6" l="1"/>
  <c r="AG66" i="6"/>
  <c r="AG20" i="6"/>
  <c r="Z74" i="6"/>
  <c r="Z66" i="6"/>
  <c r="Z20" i="6"/>
  <c r="Z10" i="6"/>
  <c r="Z11" i="6" s="1"/>
  <c r="Z13" i="6" s="1"/>
  <c r="F28" i="6"/>
  <c r="G28" i="6" s="1"/>
  <c r="AJ20" i="6"/>
  <c r="AJ74" i="6"/>
  <c r="AC66" i="6"/>
  <c r="AC74" i="6"/>
  <c r="AC20" i="6"/>
  <c r="AB66" i="6"/>
  <c r="AB74" i="6"/>
  <c r="AB20" i="6"/>
  <c r="AH66" i="6"/>
  <c r="AH20" i="6"/>
  <c r="AH74" i="6"/>
  <c r="AL23" i="6"/>
  <c r="AL47" i="6"/>
  <c r="AL51" i="6" s="1"/>
  <c r="AR47" i="6"/>
  <c r="AR51" i="6" s="1"/>
  <c r="AR23" i="6"/>
  <c r="AE66" i="6"/>
  <c r="AE74" i="6"/>
  <c r="AE20" i="6"/>
  <c r="AD20" i="6"/>
  <c r="AD66" i="6"/>
  <c r="AD74" i="6"/>
  <c r="AM23" i="6"/>
  <c r="AM47" i="6"/>
  <c r="AM51" i="6" s="1"/>
  <c r="AN47" i="6"/>
  <c r="AN51" i="6" s="1"/>
  <c r="AN23" i="6"/>
  <c r="AP47" i="6"/>
  <c r="AP51" i="6" s="1"/>
  <c r="AP23" i="6"/>
  <c r="F44" i="6"/>
  <c r="G44" i="6" s="1"/>
  <c r="F45" i="6"/>
  <c r="G45" i="6" s="1"/>
  <c r="F29" i="6"/>
  <c r="G29" i="6" s="1"/>
  <c r="I29" i="6" s="1"/>
  <c r="F38" i="6"/>
  <c r="G38" i="6" s="1"/>
  <c r="F39" i="6"/>
  <c r="G39" i="6" s="1"/>
  <c r="F33" i="6"/>
  <c r="G33" i="6" s="1"/>
  <c r="F43" i="6"/>
  <c r="G43" i="6" s="1"/>
  <c r="AA74" i="6"/>
  <c r="F40" i="6"/>
  <c r="G40" i="6" s="1"/>
  <c r="F41" i="6"/>
  <c r="G41" i="6" s="1"/>
  <c r="AA20" i="6"/>
  <c r="F34" i="6"/>
  <c r="G34" i="6" s="1"/>
  <c r="F35" i="6"/>
  <c r="G35" i="6" s="1"/>
  <c r="F36" i="6"/>
  <c r="G36" i="6" s="1"/>
  <c r="F37" i="6"/>
  <c r="G37" i="6" s="1"/>
  <c r="F46" i="6"/>
  <c r="G46" i="6" s="1"/>
  <c r="F30" i="6"/>
  <c r="G30" i="6" s="1"/>
  <c r="F31" i="6"/>
  <c r="G31" i="6" s="1"/>
  <c r="F32" i="6"/>
  <c r="G32" i="6" s="1"/>
  <c r="F42" i="6"/>
  <c r="G42" i="6" s="1"/>
  <c r="AA66" i="6"/>
  <c r="AK47" i="6"/>
  <c r="AK51" i="6" s="1"/>
  <c r="AK23" i="6"/>
  <c r="Y66" i="6"/>
  <c r="Y20" i="6"/>
  <c r="Y10" i="6"/>
  <c r="Y77" i="6"/>
  <c r="AS20" i="6"/>
  <c r="AS10" i="6"/>
  <c r="AO23" i="6"/>
  <c r="AO47" i="6"/>
  <c r="AO51" i="6" s="1"/>
  <c r="X10" i="6"/>
  <c r="X20" i="6"/>
  <c r="X66" i="6"/>
  <c r="AT20" i="6"/>
  <c r="AT10" i="6"/>
  <c r="AF66" i="6"/>
  <c r="AF20" i="6"/>
  <c r="AF74" i="6"/>
  <c r="AI20" i="6"/>
  <c r="AI74" i="6"/>
  <c r="AQ23" i="6"/>
  <c r="AQ47" i="6"/>
  <c r="AQ51" i="6" s="1"/>
  <c r="U17" i="30"/>
  <c r="U18" i="30" s="1"/>
  <c r="U44" i="30"/>
  <c r="U45" i="30" s="1"/>
  <c r="U34" i="30"/>
  <c r="T37" i="30"/>
  <c r="S37" i="30"/>
  <c r="R37" i="30"/>
  <c r="AS13" i="30"/>
  <c r="AS14" i="30" s="1"/>
  <c r="AT12" i="30" s="1"/>
  <c r="V13" i="30"/>
  <c r="AA33" i="6"/>
  <c r="AA34" i="6" s="1"/>
  <c r="AA68" i="6"/>
  <c r="AA45" i="6"/>
  <c r="AA13" i="6"/>
  <c r="BC9" i="6"/>
  <c r="AB9" i="6" s="1"/>
  <c r="AB10" i="6" s="1"/>
  <c r="AB11" i="6" s="1"/>
  <c r="AA69" i="6" l="1"/>
  <c r="Z33" i="6"/>
  <c r="Z34" i="6" s="1"/>
  <c r="AT23" i="6"/>
  <c r="AT47" i="6"/>
  <c r="AT51" i="6" s="1"/>
  <c r="AH23" i="6"/>
  <c r="AH47" i="6"/>
  <c r="AH51" i="6" s="1"/>
  <c r="AF47" i="6"/>
  <c r="AF51" i="6" s="1"/>
  <c r="AF23" i="6"/>
  <c r="Y11" i="6"/>
  <c r="Y13" i="6" s="1"/>
  <c r="Y14" i="6" s="1"/>
  <c r="Z14" i="6" s="1"/>
  <c r="AA14" i="6" s="1"/>
  <c r="AC47" i="6"/>
  <c r="AC51" i="6" s="1"/>
  <c r="AC23" i="6"/>
  <c r="AJ47" i="6"/>
  <c r="AJ51" i="6" s="1"/>
  <c r="AJ23" i="6"/>
  <c r="Z47" i="6"/>
  <c r="Z51" i="6" s="1"/>
  <c r="Z23" i="6"/>
  <c r="AA47" i="6"/>
  <c r="AA51" i="6" s="1"/>
  <c r="AA52" i="6" s="1"/>
  <c r="AA23" i="6"/>
  <c r="AA36" i="6" s="1"/>
  <c r="AG23" i="6"/>
  <c r="AG47" i="6"/>
  <c r="AG51" i="6" s="1"/>
  <c r="X47" i="6"/>
  <c r="X51" i="6" s="1"/>
  <c r="X23" i="6"/>
  <c r="AS11" i="6"/>
  <c r="AS13" i="6" s="1"/>
  <c r="Y47" i="6"/>
  <c r="Y51" i="6" s="1"/>
  <c r="Y23" i="6"/>
  <c r="AB47" i="6"/>
  <c r="AB51" i="6" s="1"/>
  <c r="AB23" i="6"/>
  <c r="AE47" i="6"/>
  <c r="AE51" i="6" s="1"/>
  <c r="AE23" i="6"/>
  <c r="Z45" i="6"/>
  <c r="H28" i="6"/>
  <c r="I28" i="6" s="1"/>
  <c r="Z68" i="6"/>
  <c r="Z69" i="6" s="1"/>
  <c r="AI47" i="6"/>
  <c r="AI51" i="6" s="1"/>
  <c r="AI23" i="6"/>
  <c r="AT11" i="6"/>
  <c r="AT13" i="6" s="1"/>
  <c r="X11" i="6"/>
  <c r="X13" i="6" s="1"/>
  <c r="AS23" i="6"/>
  <c r="AS47" i="6"/>
  <c r="AS51" i="6" s="1"/>
  <c r="AD47" i="6"/>
  <c r="AD51" i="6" s="1"/>
  <c r="AD23" i="6"/>
  <c r="G50" i="6"/>
  <c r="G49" i="6"/>
  <c r="AT13" i="30"/>
  <c r="X13" i="30" s="1"/>
  <c r="U52" i="30"/>
  <c r="U51" i="30"/>
  <c r="V14" i="30"/>
  <c r="W13" i="30"/>
  <c r="W14" i="30" s="1"/>
  <c r="U35" i="30"/>
  <c r="AB13" i="6"/>
  <c r="AB68" i="6"/>
  <c r="AB69" i="6" s="1"/>
  <c r="AB45" i="6"/>
  <c r="AB33" i="6"/>
  <c r="AB34" i="6" s="1"/>
  <c r="H30" i="6"/>
  <c r="I30" i="6" s="1"/>
  <c r="BC10" i="6"/>
  <c r="BD8" i="6" s="1"/>
  <c r="Z36" i="6" l="1"/>
  <c r="AB36" i="6"/>
  <c r="AB52" i="6"/>
  <c r="H48" i="6"/>
  <c r="I48" i="6" s="1"/>
  <c r="AT45" i="6"/>
  <c r="AT52" i="6" s="1"/>
  <c r="AT33" i="6"/>
  <c r="AT34" i="6" s="1"/>
  <c r="AT36" i="6" s="1"/>
  <c r="X57" i="6"/>
  <c r="X54" i="6"/>
  <c r="Z52" i="6"/>
  <c r="H47" i="6"/>
  <c r="I47" i="6" s="1"/>
  <c r="AS45" i="6"/>
  <c r="AS52" i="6" s="1"/>
  <c r="AS33" i="6"/>
  <c r="AS34" i="6" s="1"/>
  <c r="AS36" i="6" s="1"/>
  <c r="Y68" i="6"/>
  <c r="Y69" i="6" s="1"/>
  <c r="H27" i="6"/>
  <c r="I27" i="6" s="1"/>
  <c r="Y33" i="6"/>
  <c r="Y34" i="6" s="1"/>
  <c r="Y36" i="6" s="1"/>
  <c r="Y45" i="6"/>
  <c r="Y52" i="6" s="1"/>
  <c r="X68" i="6"/>
  <c r="X69" i="6" s="1"/>
  <c r="X45" i="6"/>
  <c r="X52" i="6" s="1"/>
  <c r="H26" i="6"/>
  <c r="I26" i="6" s="1"/>
  <c r="X33" i="6"/>
  <c r="X34" i="6" s="1"/>
  <c r="X36" i="6" s="1"/>
  <c r="AT14" i="30"/>
  <c r="AU12" i="30" s="1"/>
  <c r="AU13" i="30" s="1"/>
  <c r="W15" i="30"/>
  <c r="W17" i="30" s="1"/>
  <c r="V15" i="30"/>
  <c r="V17" i="30" s="1"/>
  <c r="V18" i="30" s="1"/>
  <c r="U36" i="30"/>
  <c r="AB14" i="6"/>
  <c r="BD9" i="6"/>
  <c r="AC9" i="6" s="1"/>
  <c r="AC10" i="6" s="1"/>
  <c r="X37" i="6" l="1"/>
  <c r="AA37" i="6"/>
  <c r="Z37" i="6"/>
  <c r="AB37" i="6"/>
  <c r="Y37" i="6"/>
  <c r="X70" i="6"/>
  <c r="Y65" i="6" s="1"/>
  <c r="X71" i="6"/>
  <c r="AU14" i="30"/>
  <c r="AV12" i="30" s="1"/>
  <c r="AV13" i="30" s="1"/>
  <c r="AV14" i="30" s="1"/>
  <c r="AW12" i="30" s="1"/>
  <c r="X14" i="30"/>
  <c r="Y13" i="30"/>
  <c r="V44" i="30"/>
  <c r="V45" i="30" s="1"/>
  <c r="V34" i="30"/>
  <c r="W18" i="30"/>
  <c r="U37" i="30"/>
  <c r="W34" i="30"/>
  <c r="W35" i="30" s="1"/>
  <c r="W36" i="30" s="1"/>
  <c r="W44" i="30"/>
  <c r="W45" i="30" s="1"/>
  <c r="AC11" i="6"/>
  <c r="BD10" i="6"/>
  <c r="BE8" i="6" s="1"/>
  <c r="Y71" i="6" l="1"/>
  <c r="Y70" i="6"/>
  <c r="Z65" i="6" s="1"/>
  <c r="AW13" i="30"/>
  <c r="AW14" i="30" s="1"/>
  <c r="AX12" i="30" s="1"/>
  <c r="V51" i="30"/>
  <c r="V52" i="30"/>
  <c r="W51" i="30"/>
  <c r="W52" i="30"/>
  <c r="Y14" i="30"/>
  <c r="Y15" i="30" s="1"/>
  <c r="Z13" i="30"/>
  <c r="V35" i="30"/>
  <c r="V36" i="30" s="1"/>
  <c r="X15" i="30"/>
  <c r="X17" i="30" s="1"/>
  <c r="X18" i="30" s="1"/>
  <c r="BE9" i="6"/>
  <c r="AD9" i="6" s="1"/>
  <c r="AD10" i="6" s="1"/>
  <c r="AC68" i="6"/>
  <c r="AC69" i="6" s="1"/>
  <c r="AC33" i="6"/>
  <c r="AC34" i="6" s="1"/>
  <c r="AC36" i="6" s="1"/>
  <c r="H31" i="6"/>
  <c r="I31" i="6" s="1"/>
  <c r="AC45" i="6"/>
  <c r="AC52" i="6" s="1"/>
  <c r="AC13" i="6"/>
  <c r="AC14" i="6" s="1"/>
  <c r="Z70" i="6" l="1"/>
  <c r="AA65" i="6" s="1"/>
  <c r="Z71" i="6"/>
  <c r="X34" i="30"/>
  <c r="X44" i="30"/>
  <c r="X45" i="30" s="1"/>
  <c r="Y17" i="30"/>
  <c r="Y18" i="30" s="1"/>
  <c r="Y34" i="30"/>
  <c r="Y35" i="30" s="1"/>
  <c r="Y36" i="30" s="1"/>
  <c r="Y44" i="30"/>
  <c r="Y45" i="30" s="1"/>
  <c r="AX13" i="30"/>
  <c r="AX14" i="30" s="1"/>
  <c r="AY12" i="30" s="1"/>
  <c r="W37" i="30"/>
  <c r="V37" i="30"/>
  <c r="Z14" i="30"/>
  <c r="Z15" i="30" s="1"/>
  <c r="AA13" i="30"/>
  <c r="AD11" i="6"/>
  <c r="AC37" i="6"/>
  <c r="BE10" i="6"/>
  <c r="BF8" i="6" s="1"/>
  <c r="AA71" i="6" l="1"/>
  <c r="AA70" i="6"/>
  <c r="AB65" i="6" s="1"/>
  <c r="AY13" i="30"/>
  <c r="AY14" i="30" s="1"/>
  <c r="AZ12" i="30" s="1"/>
  <c r="AA14" i="30"/>
  <c r="AB13" i="30"/>
  <c r="X51" i="30"/>
  <c r="X52" i="30"/>
  <c r="Z17" i="30"/>
  <c r="Z18" i="30" s="1"/>
  <c r="Z44" i="30"/>
  <c r="Z45" i="30" s="1"/>
  <c r="Z34" i="30"/>
  <c r="Z35" i="30" s="1"/>
  <c r="Z36" i="30" s="1"/>
  <c r="Y52" i="30"/>
  <c r="Y51" i="30"/>
  <c r="X35" i="30"/>
  <c r="X36" i="30" s="1"/>
  <c r="X37" i="30" s="1"/>
  <c r="AD68" i="6"/>
  <c r="AD69" i="6" s="1"/>
  <c r="AD33" i="6"/>
  <c r="AD34" i="6" s="1"/>
  <c r="AD36" i="6" s="1"/>
  <c r="H32" i="6"/>
  <c r="I32" i="6" s="1"/>
  <c r="AD45" i="6"/>
  <c r="AD52" i="6" s="1"/>
  <c r="BF9" i="6"/>
  <c r="AE9" i="6" s="1"/>
  <c r="AE10" i="6" s="1"/>
  <c r="AE11" i="6" s="1"/>
  <c r="AD13" i="6"/>
  <c r="AD14" i="6" s="1"/>
  <c r="AB71" i="6" l="1"/>
  <c r="AB70" i="6"/>
  <c r="AC65" i="6" s="1"/>
  <c r="Z37" i="30"/>
  <c r="AZ13" i="30"/>
  <c r="AZ14" i="30" s="1"/>
  <c r="BA12" i="30" s="1"/>
  <c r="AB14" i="30"/>
  <c r="AB15" i="30" s="1"/>
  <c r="AC13" i="30"/>
  <c r="AA15" i="30"/>
  <c r="AA17" i="30" s="1"/>
  <c r="AA18" i="30" s="1"/>
  <c r="Z52" i="30"/>
  <c r="Z51" i="30"/>
  <c r="Y37" i="30"/>
  <c r="AE13" i="6"/>
  <c r="AE14" i="6" s="1"/>
  <c r="AE45" i="6"/>
  <c r="AE52" i="6" s="1"/>
  <c r="AE33" i="6"/>
  <c r="AE34" i="6" s="1"/>
  <c r="AE36" i="6" s="1"/>
  <c r="AE68" i="6"/>
  <c r="AE69" i="6" s="1"/>
  <c r="H33" i="6"/>
  <c r="I33" i="6" s="1"/>
  <c r="AD37" i="6"/>
  <c r="BF10" i="6"/>
  <c r="BG8" i="6" s="1"/>
  <c r="AC70" i="6" l="1"/>
  <c r="AD65" i="6" s="1"/>
  <c r="AC71" i="6"/>
  <c r="AB17" i="30"/>
  <c r="AB18" i="30" s="1"/>
  <c r="AB44" i="30"/>
  <c r="AB45" i="30" s="1"/>
  <c r="AB34" i="30"/>
  <c r="AB35" i="30" s="1"/>
  <c r="AB36" i="30" s="1"/>
  <c r="BA13" i="30"/>
  <c r="AA44" i="30"/>
  <c r="AA45" i="30" s="1"/>
  <c r="AA34" i="30"/>
  <c r="AA35" i="30" s="1"/>
  <c r="AA36" i="30" s="1"/>
  <c r="AA37" i="30" s="1"/>
  <c r="AC14" i="30"/>
  <c r="AC15" i="30" s="1"/>
  <c r="AD13" i="30"/>
  <c r="BG9" i="6"/>
  <c r="AF9" i="6" s="1"/>
  <c r="AF10" i="6" s="1"/>
  <c r="AE37" i="6"/>
  <c r="AD70" i="6" l="1"/>
  <c r="AE65" i="6" s="1"/>
  <c r="AD71" i="6"/>
  <c r="AB37" i="30"/>
  <c r="AA52" i="30"/>
  <c r="AA51" i="30"/>
  <c r="AB51" i="30"/>
  <c r="AB52" i="30"/>
  <c r="AC17" i="30"/>
  <c r="AC18" i="30" s="1"/>
  <c r="AC44" i="30"/>
  <c r="AC45" i="30" s="1"/>
  <c r="AC34" i="30"/>
  <c r="AC35" i="30" s="1"/>
  <c r="AC36" i="30" s="1"/>
  <c r="AC37" i="30" s="1"/>
  <c r="AD14" i="30"/>
  <c r="AD15" i="30" s="1"/>
  <c r="AE13" i="30"/>
  <c r="BA14" i="30"/>
  <c r="BB12" i="30" s="1"/>
  <c r="AF11" i="6"/>
  <c r="BG10" i="6"/>
  <c r="BH8" i="6" s="1"/>
  <c r="AE71" i="6" l="1"/>
  <c r="AE70" i="6"/>
  <c r="AF65" i="6" s="1"/>
  <c r="AD17" i="30"/>
  <c r="AD18" i="30" s="1"/>
  <c r="AD44" i="30"/>
  <c r="AD45" i="30" s="1"/>
  <c r="AD34" i="30"/>
  <c r="AD35" i="30" s="1"/>
  <c r="AD36" i="30" s="1"/>
  <c r="AD37" i="30" s="1"/>
  <c r="BB13" i="30"/>
  <c r="BB14" i="30" s="1"/>
  <c r="BC12" i="30" s="1"/>
  <c r="AC52" i="30"/>
  <c r="AC51" i="30"/>
  <c r="BH9" i="6"/>
  <c r="AG9" i="6" s="1"/>
  <c r="AG10" i="6" s="1"/>
  <c r="AG11" i="6" s="1"/>
  <c r="AG68" i="6" s="1"/>
  <c r="AG69" i="6" s="1"/>
  <c r="AF45" i="6"/>
  <c r="AF52" i="6" s="1"/>
  <c r="AF33" i="6"/>
  <c r="AF34" i="6" s="1"/>
  <c r="AF36" i="6" s="1"/>
  <c r="H34" i="6"/>
  <c r="I34" i="6" s="1"/>
  <c r="AF68" i="6"/>
  <c r="AF69" i="6" s="1"/>
  <c r="AF13" i="6"/>
  <c r="AF14" i="6" s="1"/>
  <c r="BC13" i="30" l="1"/>
  <c r="BC14" i="30" s="1"/>
  <c r="BD12" i="30" s="1"/>
  <c r="AE14" i="30"/>
  <c r="AF13" i="30"/>
  <c r="AD52" i="30"/>
  <c r="AD51" i="30"/>
  <c r="AG13" i="6"/>
  <c r="AG14" i="6" s="1"/>
  <c r="AG45" i="6"/>
  <c r="AG52" i="6" s="1"/>
  <c r="H35" i="6"/>
  <c r="I35" i="6" s="1"/>
  <c r="AG33" i="6"/>
  <c r="AG34" i="6" s="1"/>
  <c r="AG36" i="6" s="1"/>
  <c r="AG37" i="6" s="1"/>
  <c r="AF71" i="6"/>
  <c r="AF70" i="6"/>
  <c r="AG65" i="6" s="1"/>
  <c r="AF37" i="6"/>
  <c r="BH10" i="6"/>
  <c r="BI8" i="6" s="1"/>
  <c r="AE15" i="30" l="1"/>
  <c r="AE17" i="30" s="1"/>
  <c r="AE18" i="30" s="1"/>
  <c r="BD13" i="30"/>
  <c r="AF14" i="30"/>
  <c r="AG13" i="30"/>
  <c r="AG70" i="6"/>
  <c r="AH65" i="6" s="1"/>
  <c r="AG71" i="6"/>
  <c r="X72" i="6" s="1"/>
  <c r="BI9" i="6"/>
  <c r="AR10" i="6"/>
  <c r="AG14" i="30" l="1"/>
  <c r="AH13" i="30"/>
  <c r="AH14" i="30" s="1"/>
  <c r="BD14" i="30"/>
  <c r="BE12" i="30" s="1"/>
  <c r="AF15" i="30"/>
  <c r="AE44" i="30"/>
  <c r="AE45" i="30" s="1"/>
  <c r="AE34" i="30"/>
  <c r="AE35" i="30" s="1"/>
  <c r="AE36" i="30" s="1"/>
  <c r="AE37" i="30" s="1"/>
  <c r="AH9" i="6"/>
  <c r="BI10" i="6"/>
  <c r="BJ8" i="6" s="1"/>
  <c r="AR11" i="6"/>
  <c r="AF44" i="30" l="1"/>
  <c r="AF45" i="30" s="1"/>
  <c r="AF34" i="30"/>
  <c r="AF35" i="30" s="1"/>
  <c r="AF36" i="30" s="1"/>
  <c r="AF37" i="30" s="1"/>
  <c r="BE13" i="30"/>
  <c r="BE14" i="30" s="1"/>
  <c r="BF12" i="30" s="1"/>
  <c r="AE51" i="30"/>
  <c r="AE52" i="30"/>
  <c r="AH15" i="30"/>
  <c r="AH17" i="30" s="1"/>
  <c r="AF17" i="30"/>
  <c r="AF18" i="30" s="1"/>
  <c r="AG15" i="30"/>
  <c r="AG17" i="30" s="1"/>
  <c r="AH10" i="6"/>
  <c r="BJ9" i="6"/>
  <c r="H46" i="6"/>
  <c r="I46" i="6" s="1"/>
  <c r="AR33" i="6"/>
  <c r="AR34" i="6" s="1"/>
  <c r="AR36" i="6" s="1"/>
  <c r="AR45" i="6"/>
  <c r="AR13" i="6"/>
  <c r="AG18" i="30" l="1"/>
  <c r="AH18" i="30" s="1"/>
  <c r="AH34" i="30"/>
  <c r="AH35" i="30" s="1"/>
  <c r="AH36" i="30" s="1"/>
  <c r="AH44" i="30"/>
  <c r="AH45" i="30" s="1"/>
  <c r="AI13" i="30"/>
  <c r="AI14" i="30" s="1"/>
  <c r="AI15" i="30" s="1"/>
  <c r="BF13" i="30"/>
  <c r="AG44" i="30"/>
  <c r="AG45" i="30" s="1"/>
  <c r="AG34" i="30"/>
  <c r="AG35" i="30" s="1"/>
  <c r="AG36" i="30" s="1"/>
  <c r="AG37" i="30" s="1"/>
  <c r="AF51" i="30"/>
  <c r="AF52" i="30"/>
  <c r="AI9" i="6"/>
  <c r="AH11" i="6"/>
  <c r="BJ10" i="6"/>
  <c r="BK8" i="6" s="1"/>
  <c r="AR52" i="6"/>
  <c r="AI17" i="30" l="1"/>
  <c r="AI18" i="30" s="1"/>
  <c r="AI34" i="30"/>
  <c r="AI35" i="30" s="1"/>
  <c r="AI36" i="30" s="1"/>
  <c r="AI37" i="30" s="1"/>
  <c r="AI44" i="30"/>
  <c r="AI45" i="30" s="1"/>
  <c r="AG51" i="30"/>
  <c r="AG52" i="30"/>
  <c r="AH52" i="30"/>
  <c r="AH51" i="30"/>
  <c r="AH37" i="30"/>
  <c r="AJ13" i="30"/>
  <c r="BG13" i="30"/>
  <c r="BK13" i="30" s="1"/>
  <c r="BF14" i="30"/>
  <c r="BG12" i="30" s="1"/>
  <c r="AH13" i="6"/>
  <c r="AH14" i="6" s="1"/>
  <c r="AH68" i="6"/>
  <c r="AH69" i="6" s="1"/>
  <c r="BK9" i="6"/>
  <c r="AI10" i="6"/>
  <c r="H36" i="6"/>
  <c r="I36" i="6" s="1"/>
  <c r="AH45" i="6"/>
  <c r="AH33" i="6"/>
  <c r="AH34" i="6" s="1"/>
  <c r="AH36" i="6" s="1"/>
  <c r="AJ14" i="30" l="1"/>
  <c r="AL13" i="30"/>
  <c r="BG14" i="30"/>
  <c r="BH12" i="30" s="1"/>
  <c r="BH14" i="30" s="1"/>
  <c r="BI12" i="30" s="1"/>
  <c r="BI14" i="30" s="1"/>
  <c r="BJ12" i="30" s="1"/>
  <c r="BJ14" i="30" s="1"/>
  <c r="AI51" i="30"/>
  <c r="AI52" i="30"/>
  <c r="AH71" i="6"/>
  <c r="AH70" i="6"/>
  <c r="AI11" i="6"/>
  <c r="AJ9" i="6"/>
  <c r="AH37" i="6"/>
  <c r="AH52" i="6"/>
  <c r="BK10" i="6"/>
  <c r="BL8" i="6" s="1"/>
  <c r="AJ15" i="30" l="1"/>
  <c r="BL9" i="6"/>
  <c r="AJ10" i="6"/>
  <c r="AJ11" i="6" s="1"/>
  <c r="AI45" i="6"/>
  <c r="AI33" i="6"/>
  <c r="AI34" i="6" s="1"/>
  <c r="AI36" i="6" s="1"/>
  <c r="H37" i="6"/>
  <c r="I37" i="6" s="1"/>
  <c r="AI13" i="6"/>
  <c r="AI14" i="6" s="1"/>
  <c r="AJ44" i="30" l="1"/>
  <c r="AJ45" i="30" s="1"/>
  <c r="AJ34" i="30"/>
  <c r="AJ17" i="30"/>
  <c r="AJ18" i="30" s="1"/>
  <c r="AK18" i="30" s="1"/>
  <c r="AJ13" i="6"/>
  <c r="AJ14" i="6" s="1"/>
  <c r="AJ33" i="6"/>
  <c r="AJ34" i="6" s="1"/>
  <c r="AJ36" i="6" s="1"/>
  <c r="AJ37" i="6" s="1"/>
  <c r="H38" i="6"/>
  <c r="I38" i="6" s="1"/>
  <c r="AJ45" i="6"/>
  <c r="AJ52" i="6" s="1"/>
  <c r="AK9" i="6"/>
  <c r="AI52" i="6"/>
  <c r="AI37" i="6"/>
  <c r="BL10" i="6"/>
  <c r="BM8" i="6" s="1"/>
  <c r="AJ51" i="30" l="1"/>
  <c r="AJ52" i="30"/>
  <c r="AJ35" i="30"/>
  <c r="AL34" i="30"/>
  <c r="AK10" i="6"/>
  <c r="AK11" i="6" s="1"/>
  <c r="BM9" i="6"/>
  <c r="AJ36" i="30" l="1"/>
  <c r="AL35" i="30"/>
  <c r="O55" i="30"/>
  <c r="E15" i="31" s="1"/>
  <c r="O58" i="30"/>
  <c r="E17" i="31" s="1"/>
  <c r="O57" i="30"/>
  <c r="O54" i="30"/>
  <c r="AL9" i="6"/>
  <c r="AK13" i="6"/>
  <c r="AK14" i="6" s="1"/>
  <c r="AK45" i="6"/>
  <c r="H39" i="6"/>
  <c r="I39" i="6" s="1"/>
  <c r="AK33" i="6"/>
  <c r="AK34" i="6" s="1"/>
  <c r="AK36" i="6" s="1"/>
  <c r="BM10" i="6"/>
  <c r="BN8" i="6" s="1"/>
  <c r="AL36" i="30" l="1"/>
  <c r="AJ37" i="30"/>
  <c r="AK37" i="30"/>
  <c r="AL10" i="6"/>
  <c r="AK37" i="6"/>
  <c r="AK52" i="6"/>
  <c r="BN9" i="6"/>
  <c r="AM9" i="6" s="1"/>
  <c r="AM10" i="6" s="1"/>
  <c r="AM11" i="6" s="1"/>
  <c r="BN10" i="6" l="1"/>
  <c r="BO8" i="6" s="1"/>
  <c r="BO9" i="6" s="1"/>
  <c r="AN9" i="6" s="1"/>
  <c r="AN10" i="6" s="1"/>
  <c r="AL11" i="6"/>
  <c r="AM13" i="6"/>
  <c r="H41" i="6"/>
  <c r="I41" i="6" s="1"/>
  <c r="AM33" i="6"/>
  <c r="AM34" i="6" s="1"/>
  <c r="AM36" i="6" s="1"/>
  <c r="AM45" i="6"/>
  <c r="AM52" i="6" s="1"/>
  <c r="AL33" i="6" l="1"/>
  <c r="AL34" i="6" s="1"/>
  <c r="AL36" i="6" s="1"/>
  <c r="AM37" i="6" s="1"/>
  <c r="H40" i="6"/>
  <c r="I40" i="6" s="1"/>
  <c r="AL45" i="6"/>
  <c r="AN11" i="6"/>
  <c r="BO10" i="6"/>
  <c r="BP8" i="6" s="1"/>
  <c r="AL13" i="6"/>
  <c r="AL14" i="6" s="1"/>
  <c r="AM14" i="6" s="1"/>
  <c r="AL37" i="6" l="1"/>
  <c r="AN33" i="6"/>
  <c r="AN34" i="6" s="1"/>
  <c r="AN36" i="6" s="1"/>
  <c r="AN37" i="6" s="1"/>
  <c r="AN45" i="6"/>
  <c r="AN52" i="6" s="1"/>
  <c r="H42" i="6"/>
  <c r="I42" i="6" s="1"/>
  <c r="AL52" i="6"/>
  <c r="BP9" i="6"/>
  <c r="AO9" i="6" s="1"/>
  <c r="AO10" i="6" s="1"/>
  <c r="AO11" i="6" s="1"/>
  <c r="AN13" i="6"/>
  <c r="AN14" i="6" s="1"/>
  <c r="BP10" i="6" l="1"/>
  <c r="BQ8" i="6" s="1"/>
  <c r="BQ9" i="6" s="1"/>
  <c r="AO13" i="6"/>
  <c r="AO14" i="6" s="1"/>
  <c r="H43" i="6"/>
  <c r="I43" i="6" s="1"/>
  <c r="AO45" i="6"/>
  <c r="AO33" i="6"/>
  <c r="AO34" i="6" s="1"/>
  <c r="AO36" i="6" s="1"/>
  <c r="AO37" i="6" s="1"/>
  <c r="AO52" i="6" l="1"/>
  <c r="AP9" i="6"/>
  <c r="AP10" i="6" s="1"/>
  <c r="AP11" i="6" s="1"/>
  <c r="BR9" i="6"/>
  <c r="BQ10" i="6"/>
  <c r="BR8" i="6" s="1"/>
  <c r="AP13" i="6" l="1"/>
  <c r="AP14" i="6" s="1"/>
  <c r="AP45" i="6"/>
  <c r="AP52" i="6" s="1"/>
  <c r="AP33" i="6"/>
  <c r="AP34" i="6" s="1"/>
  <c r="AP36" i="6" s="1"/>
  <c r="AP37" i="6" s="1"/>
  <c r="H44" i="6"/>
  <c r="I44" i="6" s="1"/>
  <c r="BR10" i="6"/>
  <c r="BS8" i="6" s="1"/>
  <c r="BS10" i="6" s="1"/>
  <c r="AQ9" i="6"/>
  <c r="BF12" i="6"/>
  <c r="AQ10" i="6" l="1"/>
  <c r="AQ11" i="6" s="1"/>
  <c r="AU9" i="6"/>
  <c r="AQ13" i="6" l="1"/>
  <c r="AQ14" i="6" s="1"/>
  <c r="AR14" i="6" s="1"/>
  <c r="AS14" i="6" s="1"/>
  <c r="AT14" i="6" s="1"/>
  <c r="H45" i="6"/>
  <c r="I45" i="6" s="1"/>
  <c r="AQ45" i="6"/>
  <c r="AQ33" i="6"/>
  <c r="AQ34" i="6" s="1"/>
  <c r="AQ36" i="6" s="1"/>
  <c r="I49" i="6" l="1"/>
  <c r="I50" i="6"/>
  <c r="AQ52" i="6"/>
  <c r="X61" i="6"/>
  <c r="AQ37" i="6"/>
  <c r="AT37" i="6"/>
  <c r="AS37" i="6"/>
  <c r="AR37" i="6"/>
  <c r="X55" i="6" l="1"/>
  <c r="E19" i="8" s="1"/>
  <c r="X58" i="6"/>
  <c r="E21" i="8" s="1"/>
  <c r="D37" i="8" l="1"/>
  <c r="D33" i="8"/>
  <c r="BM16" i="1"/>
  <c r="G139" i="1" s="1"/>
</calcChain>
</file>

<file path=xl/sharedStrings.xml><?xml version="1.0" encoding="utf-8"?>
<sst xmlns="http://schemas.openxmlformats.org/spreadsheetml/2006/main" count="4278" uniqueCount="1413">
  <si>
    <t xml:space="preserve"> </t>
  </si>
  <si>
    <t>S T E E L   A U T H O R I T Y   OF   I N D I A    L I M I T E D</t>
  </si>
  <si>
    <t>`</t>
  </si>
  <si>
    <t>RATES &amp; DUTIES</t>
  </si>
  <si>
    <t>-</t>
  </si>
  <si>
    <t>FE PARITY:</t>
  </si>
  <si>
    <t>** DETAILED CAPITAL COST ESTIMATE**</t>
  </si>
  <si>
    <t>1 US $=</t>
  </si>
  <si>
    <t>Item</t>
  </si>
  <si>
    <t>Total</t>
  </si>
  <si>
    <t>1 DM=</t>
  </si>
  <si>
    <t>ADOPTED</t>
  </si>
  <si>
    <t>1 UK POUND=</t>
  </si>
  <si>
    <t>1 JAP Y=</t>
  </si>
  <si>
    <t>1 BF=</t>
  </si>
  <si>
    <t>NORMS:</t>
  </si>
  <si>
    <t>SPARES ON FC HW</t>
  </si>
  <si>
    <t>SPARES ON LC HW</t>
  </si>
  <si>
    <t>IDC</t>
  </si>
  <si>
    <t>**ERECTION COST**:</t>
  </si>
  <si>
    <t>Indg.</t>
  </si>
  <si>
    <t>Imp.</t>
  </si>
  <si>
    <t>EQUIPMENT-HW (IMP+IND)-IN LC</t>
  </si>
  <si>
    <t xml:space="preserve">STRUCTURES-HW (IMP+IND)-IN </t>
  </si>
  <si>
    <t>Years</t>
  </si>
  <si>
    <t>Plant</t>
  </si>
  <si>
    <t>Total fund</t>
  </si>
  <si>
    <t>LC FOR TECH,B/O &amp; SITE FAB</t>
  </si>
  <si>
    <t>cost</t>
  </si>
  <si>
    <t>Loan</t>
  </si>
  <si>
    <t>incl.IDC</t>
  </si>
  <si>
    <t>REFRACTORIES-HW(IMP+IND)-IN</t>
  </si>
  <si>
    <t>LC</t>
  </si>
  <si>
    <t>DISMANTLING</t>
  </si>
  <si>
    <t>1st.</t>
  </si>
  <si>
    <t>**ENGG. &amp; CONSTRUCTION**</t>
  </si>
  <si>
    <t>OWNER'S--IN FC</t>
  </si>
  <si>
    <t>FC</t>
  </si>
  <si>
    <t>Post Comm.</t>
  </si>
  <si>
    <t>EQUIPMENT</t>
  </si>
  <si>
    <t>CONTRACTORS' IN FC</t>
  </si>
  <si>
    <t>t</t>
  </si>
  <si>
    <t>CONTRACTORS' IN LC</t>
  </si>
  <si>
    <t>**FREIGHT &amp; INSURANCE**</t>
  </si>
  <si>
    <t xml:space="preserve">OCEAN FR &amp; INSURANCE- </t>
  </si>
  <si>
    <t xml:space="preserve">  ON HW FC</t>
  </si>
  <si>
    <t>INLAND FR &amp; INS.-ON IMP HW EQ &amp;</t>
  </si>
  <si>
    <t>SPARES-IN LC</t>
  </si>
  <si>
    <t>INLAND FR &amp; INS.-ON IMP HW STRS &amp;</t>
  </si>
  <si>
    <t>REFRACTORIES-IN LC</t>
  </si>
  <si>
    <t>INLAND FR &amp; INS - ON IND HW EQ</t>
  </si>
  <si>
    <t>&amp; SPARES</t>
  </si>
  <si>
    <t>INLAND FR &amp; INS - ON IND HW STRS</t>
  </si>
  <si>
    <t>&amp; REFRACTORIES</t>
  </si>
  <si>
    <t>**TAXES &amp; DUTIES**</t>
  </si>
  <si>
    <t>Equipment</t>
  </si>
  <si>
    <t>IMPORT DUTY(PROJECT ID)</t>
  </si>
  <si>
    <t>INCOME TAX RATE</t>
  </si>
  <si>
    <t>CONTINGENCIES</t>
  </si>
  <si>
    <t>m</t>
  </si>
  <si>
    <t>TOTAL</t>
  </si>
  <si>
    <t>b</t>
  </si>
  <si>
    <t>c</t>
  </si>
  <si>
    <t>d</t>
  </si>
  <si>
    <t>e</t>
  </si>
  <si>
    <t>f</t>
  </si>
  <si>
    <t>g</t>
  </si>
  <si>
    <t>h</t>
  </si>
  <si>
    <t>j</t>
  </si>
  <si>
    <t>k</t>
  </si>
  <si>
    <t>l</t>
  </si>
  <si>
    <t>n</t>
  </si>
  <si>
    <t>o</t>
  </si>
  <si>
    <t>p</t>
  </si>
  <si>
    <t>q</t>
  </si>
  <si>
    <t>r</t>
  </si>
  <si>
    <t>s</t>
  </si>
  <si>
    <t>u</t>
  </si>
  <si>
    <t>v</t>
  </si>
  <si>
    <t>w</t>
  </si>
  <si>
    <t>x</t>
  </si>
  <si>
    <t>y</t>
  </si>
  <si>
    <t>z</t>
  </si>
  <si>
    <t>CAPITAL COST</t>
  </si>
  <si>
    <t>Spares</t>
  </si>
  <si>
    <t>Structures</t>
  </si>
  <si>
    <t>Refractories</t>
  </si>
  <si>
    <t>Civil Works</t>
  </si>
  <si>
    <t>Taxes &amp; Duties</t>
  </si>
  <si>
    <t>Contingencies</t>
  </si>
  <si>
    <t>Total Plant Cost</t>
  </si>
  <si>
    <t xml:space="preserve">IDC </t>
  </si>
  <si>
    <t>Sl.No</t>
  </si>
  <si>
    <t>A</t>
  </si>
  <si>
    <t>B</t>
  </si>
  <si>
    <t>C</t>
  </si>
  <si>
    <t>SHOP/FACILITY/PACKAGE</t>
  </si>
  <si>
    <t>SPARES</t>
  </si>
  <si>
    <t>TECHNOLOGICAL STRS.</t>
  </si>
  <si>
    <t xml:space="preserve"> BUILDING STRUCTURES</t>
  </si>
  <si>
    <t>REFRACTORIES</t>
  </si>
  <si>
    <t>CIVIL</t>
  </si>
  <si>
    <t>ERECTION</t>
  </si>
  <si>
    <t>ENGG. &amp; CONSTRN.</t>
  </si>
  <si>
    <t>FRT. &amp; INS.</t>
  </si>
  <si>
    <t xml:space="preserve">IMPORT DUTIES, IT &amp;  CESS              </t>
  </si>
  <si>
    <t>KNOW-HOW</t>
  </si>
  <si>
    <t>TRAINING</t>
  </si>
  <si>
    <t>OTHERS</t>
  </si>
  <si>
    <t>CONTINGENCY</t>
  </si>
  <si>
    <t xml:space="preserve">TOTAL CAPITAL COST </t>
  </si>
  <si>
    <t>Imported</t>
  </si>
  <si>
    <t>Indigenous</t>
  </si>
  <si>
    <t>BOUGHT OUT</t>
  </si>
  <si>
    <t>SITE FAB. .</t>
  </si>
  <si>
    <t>Structure</t>
  </si>
  <si>
    <t>Dismantling</t>
  </si>
  <si>
    <t>Contractor's</t>
  </si>
  <si>
    <t>Owner's</t>
  </si>
  <si>
    <t>Ocean</t>
  </si>
  <si>
    <t>Inland</t>
  </si>
  <si>
    <t>ITax on</t>
  </si>
  <si>
    <t>Others</t>
  </si>
  <si>
    <t>HW</t>
  </si>
  <si>
    <t>SW</t>
  </si>
  <si>
    <t>Ind.</t>
  </si>
  <si>
    <t>FS</t>
  </si>
  <si>
    <t>aa</t>
  </si>
  <si>
    <t>ab</t>
  </si>
  <si>
    <t>ac</t>
  </si>
  <si>
    <t>ad</t>
  </si>
  <si>
    <t>af</t>
  </si>
  <si>
    <t>ag</t>
  </si>
  <si>
    <t>ah</t>
  </si>
  <si>
    <t>ai</t>
  </si>
  <si>
    <t>am</t>
  </si>
  <si>
    <t>ao</t>
  </si>
  <si>
    <t>ap</t>
  </si>
  <si>
    <t>aq</t>
  </si>
  <si>
    <t>ar</t>
  </si>
  <si>
    <t>as</t>
  </si>
  <si>
    <t>at</t>
  </si>
  <si>
    <t>au</t>
  </si>
  <si>
    <t>av</t>
  </si>
  <si>
    <t>aw</t>
  </si>
  <si>
    <t>Page-1/3</t>
  </si>
  <si>
    <t>Page-2/3</t>
  </si>
  <si>
    <t>Page-3/3</t>
  </si>
  <si>
    <t>Contingn</t>
  </si>
  <si>
    <t>EXTRA</t>
  </si>
  <si>
    <t>Imp duty</t>
  </si>
  <si>
    <t>(not to be printed)</t>
  </si>
  <si>
    <t>STRUCTURALS</t>
  </si>
  <si>
    <t>ENGG &amp; CONSTN</t>
  </si>
  <si>
    <t>FRT. &amp; INSURANCE</t>
  </si>
  <si>
    <t>DUTIES &amp; TAXES</t>
  </si>
  <si>
    <t>Incl.</t>
  </si>
  <si>
    <t>Cost</t>
  </si>
  <si>
    <t>I</t>
  </si>
  <si>
    <t>PI</t>
  </si>
  <si>
    <t>IRR</t>
  </si>
  <si>
    <t>Miscellaneous</t>
  </si>
  <si>
    <t>E&amp;C</t>
  </si>
  <si>
    <t>%</t>
  </si>
  <si>
    <t>1 EURO=</t>
  </si>
  <si>
    <t>GROSS MARGIN CALCULATION</t>
  </si>
  <si>
    <t>BENEFITS</t>
  </si>
  <si>
    <t>SL. NO.</t>
  </si>
  <si>
    <t>DESCRIPTION</t>
  </si>
  <si>
    <t>AMOUNT</t>
  </si>
  <si>
    <t>EXPENDITURE</t>
  </si>
  <si>
    <t>Total Expenditure</t>
  </si>
  <si>
    <t>UNIT</t>
  </si>
  <si>
    <t>kwh</t>
  </si>
  <si>
    <t>Energy Consumption/Annum</t>
  </si>
  <si>
    <t>Energy Cost/Annum</t>
  </si>
  <si>
    <t>Rs Lakh</t>
  </si>
  <si>
    <t>NPV</t>
  </si>
  <si>
    <t>I R R</t>
  </si>
  <si>
    <t>P.I.</t>
  </si>
  <si>
    <t>Ratio</t>
  </si>
  <si>
    <t>(14No. Of Head, @Rs.1.4 Lakh/Annum)</t>
  </si>
  <si>
    <t>GROSS MARGIN</t>
  </si>
  <si>
    <t>GROSS MARGIN(A2-B) for 2nd Year</t>
  </si>
  <si>
    <t>GROSS MARGIN(A3-B) for 3rd Year</t>
  </si>
  <si>
    <t>GROSS MARGIN(A4-B) for 4th Year</t>
  </si>
  <si>
    <t>Benefit due to Reduction in manpower</t>
  </si>
  <si>
    <t>GROSS MARGIN(A-B)</t>
  </si>
  <si>
    <t>GROSS MARGIN(A5-B) for 5th Year</t>
  </si>
  <si>
    <t>2006-07</t>
  </si>
  <si>
    <t>2007-08</t>
  </si>
  <si>
    <t>GROSS MARGIN(A1-B) for 1st Year(3m)</t>
  </si>
  <si>
    <t>GROSS MARGIN(A6-B) for 6th Year &amp;</t>
  </si>
  <si>
    <t>subsequently for rest years of project life</t>
  </si>
  <si>
    <t>Plant cost</t>
  </si>
  <si>
    <t>1 Canadian $</t>
  </si>
  <si>
    <t xml:space="preserve">CAPITAL COST </t>
  </si>
  <si>
    <t>a</t>
  </si>
  <si>
    <t>Unit</t>
  </si>
  <si>
    <t>Equity</t>
  </si>
  <si>
    <t>1 year</t>
  </si>
  <si>
    <t>Engg. &amp; Constn</t>
  </si>
  <si>
    <t>Freight &amp; Insurance</t>
  </si>
  <si>
    <t>Erection &amp; Commissioning</t>
  </si>
  <si>
    <t>**CAPITAL COST ESTIMATE**SUMMARY</t>
  </si>
  <si>
    <t>Capital Cost</t>
  </si>
  <si>
    <t>Annexure-1</t>
  </si>
  <si>
    <t>Annexure-3</t>
  </si>
  <si>
    <t>Rs in crore</t>
  </si>
  <si>
    <t>Rs. in Crore</t>
  </si>
  <si>
    <t>CD</t>
  </si>
  <si>
    <t>Internal</t>
  </si>
  <si>
    <t>External</t>
  </si>
  <si>
    <t>Total fund incl. IDC</t>
  </si>
  <si>
    <t>Resources</t>
  </si>
  <si>
    <t>Borrowing</t>
  </si>
  <si>
    <t>MM</t>
  </si>
  <si>
    <t>Loan+MM</t>
  </si>
  <si>
    <t xml:space="preserve">Start of prod. </t>
  </si>
  <si>
    <t>Profitability Projections</t>
  </si>
  <si>
    <t>Item/Year</t>
  </si>
  <si>
    <t>Yr 1</t>
  </si>
  <si>
    <t>Yr 2</t>
  </si>
  <si>
    <t>Yr 3</t>
  </si>
  <si>
    <t>Yr 4</t>
  </si>
  <si>
    <t>Yr 5</t>
  </si>
  <si>
    <t>Yr 6</t>
  </si>
  <si>
    <t>Yr 7</t>
  </si>
  <si>
    <t>Yr 8</t>
  </si>
  <si>
    <t>Yr 9</t>
  </si>
  <si>
    <t>Yr 10</t>
  </si>
  <si>
    <t>Yr 11</t>
  </si>
  <si>
    <t>Yr 12</t>
  </si>
  <si>
    <t>Yr 13</t>
  </si>
  <si>
    <t>Yr 14</t>
  </si>
  <si>
    <t>Yr 15</t>
  </si>
  <si>
    <t>Yr 16</t>
  </si>
  <si>
    <t>Yr 17</t>
  </si>
  <si>
    <t>Yr 18</t>
  </si>
  <si>
    <t>Yr 19</t>
  </si>
  <si>
    <t>Yr 20</t>
  </si>
  <si>
    <t>Yr 21</t>
  </si>
  <si>
    <t>Yr 22</t>
  </si>
  <si>
    <t>Calculation of depreciation</t>
  </si>
  <si>
    <t>Capacity Utilisation</t>
  </si>
  <si>
    <t>Rate of depreciation</t>
  </si>
  <si>
    <t>Gross Margin  from operation</t>
  </si>
  <si>
    <t>Year of production</t>
  </si>
  <si>
    <t>PC</t>
  </si>
  <si>
    <t>Check</t>
  </si>
  <si>
    <t>Profit Before Tax (PBT)</t>
  </si>
  <si>
    <t>Profit After Tax (PAT)</t>
  </si>
  <si>
    <t>Cumulative PAT</t>
  </si>
  <si>
    <t>Working Capital</t>
  </si>
  <si>
    <t>Start of prod.</t>
  </si>
  <si>
    <t>Cash flow statement</t>
  </si>
  <si>
    <t>Cash-Inflows :</t>
  </si>
  <si>
    <t>A. Cash from operations</t>
  </si>
  <si>
    <t>B. Equity/ Internal accruals</t>
  </si>
  <si>
    <t>(B) Cash out-flow :</t>
  </si>
  <si>
    <t>Capital expenditure</t>
  </si>
  <si>
    <t xml:space="preserve">        Equity/ Internal accruals</t>
  </si>
  <si>
    <t xml:space="preserve">        Loan</t>
  </si>
  <si>
    <t>Interest payment</t>
  </si>
  <si>
    <t>Term loan</t>
  </si>
  <si>
    <t>WC loan</t>
  </si>
  <si>
    <t>Principal repayment</t>
  </si>
  <si>
    <t>Corporate Income Tax</t>
  </si>
  <si>
    <t xml:space="preserve">Cash surplus </t>
  </si>
  <si>
    <t>Cash surplus (Cummulative)</t>
  </si>
  <si>
    <t>Sensitivity factor</t>
  </si>
  <si>
    <t>NPV &amp; IRR CALCULATIONS:</t>
  </si>
  <si>
    <t>Cap . Cost</t>
  </si>
  <si>
    <t>GM</t>
  </si>
  <si>
    <t>Outflow</t>
  </si>
  <si>
    <t>Capital Cost (excl. IDC)</t>
  </si>
  <si>
    <t>Inflow</t>
  </si>
  <si>
    <t>Gross margin</t>
  </si>
  <si>
    <t>Net flow</t>
  </si>
  <si>
    <t>Pre-tax</t>
  </si>
  <si>
    <t>Post Tax</t>
  </si>
  <si>
    <t>D</t>
  </si>
  <si>
    <t>Post-tax</t>
  </si>
  <si>
    <t>E</t>
  </si>
  <si>
    <t>Capital cost</t>
  </si>
  <si>
    <t>Rs crore</t>
  </si>
  <si>
    <t>Rs.crore</t>
  </si>
  <si>
    <t>IRR (Post-Tax)</t>
  </si>
  <si>
    <t>SENSITIVITY  ANALYSIS</t>
  </si>
  <si>
    <t>Parameter</t>
  </si>
  <si>
    <t>(Post-tax)</t>
  </si>
  <si>
    <t>Gross margin less by 10%</t>
  </si>
  <si>
    <t>Combined effect of above two factors</t>
  </si>
  <si>
    <t xml:space="preserve">Depreciation </t>
  </si>
  <si>
    <t>Description</t>
  </si>
  <si>
    <t>Gross Margin</t>
  </si>
  <si>
    <t>Rs cr</t>
  </si>
  <si>
    <t xml:space="preserve">FINANCIAL ANALYSIS </t>
  </si>
  <si>
    <t>i</t>
  </si>
  <si>
    <t>Annexure-6.1.1-2</t>
  </si>
  <si>
    <t>Gross Block</t>
  </si>
  <si>
    <t>Depreciation</t>
  </si>
  <si>
    <t>Net Block</t>
  </si>
  <si>
    <t>95% 0f CC</t>
  </si>
  <si>
    <t>2nd</t>
  </si>
  <si>
    <t>Rs. in crore</t>
  </si>
  <si>
    <t xml:space="preserve">Loan </t>
  </si>
  <si>
    <t xml:space="preserve">Long term loan </t>
  </si>
  <si>
    <t>Foreign Sup.</t>
  </si>
  <si>
    <t>Design Engg.</t>
  </si>
  <si>
    <t>Foreign Supervision</t>
  </si>
  <si>
    <t xml:space="preserve">Inland freight for IMPORTED EQUIPMENT </t>
  </si>
  <si>
    <t>ax</t>
  </si>
  <si>
    <t>Qty.</t>
  </si>
  <si>
    <t>ANNEXURE  6.1.1-1</t>
  </si>
  <si>
    <t>Annexure-6.6.2-1</t>
  </si>
  <si>
    <t>Figures in Rs. Crore</t>
  </si>
  <si>
    <t>IT</t>
  </si>
  <si>
    <t>Sl. No.</t>
  </si>
  <si>
    <t>Value</t>
  </si>
  <si>
    <t>AUD</t>
  </si>
  <si>
    <t xml:space="preserve">Phasing of expenditure-Beneficiation Plant </t>
  </si>
  <si>
    <t>(For Presentation Purpose Only)</t>
  </si>
  <si>
    <t>PTC</t>
  </si>
  <si>
    <t>Cut off.</t>
  </si>
  <si>
    <t xml:space="preserve">Capital cost up by 10% </t>
  </si>
  <si>
    <t>Base Case</t>
  </si>
  <si>
    <t>FE Parity +7.5%</t>
  </si>
  <si>
    <t>FE Parity</t>
  </si>
  <si>
    <t>Cap Cost</t>
  </si>
  <si>
    <t>Production loss during addl. s/d period</t>
  </si>
  <si>
    <t xml:space="preserve">Corporate Income Tax </t>
  </si>
  <si>
    <t xml:space="preserve">Interest </t>
  </si>
  <si>
    <t>Structural</t>
  </si>
  <si>
    <t>Remarks</t>
  </si>
  <si>
    <t>Rs. Cr.</t>
  </si>
  <si>
    <t>3rd</t>
  </si>
  <si>
    <t>Yr 23</t>
  </si>
  <si>
    <t xml:space="preserve">Record notes of meeting of the Cost Review Committee </t>
  </si>
  <si>
    <t>1. Name of the Project</t>
  </si>
  <si>
    <t xml:space="preserve">2. Subject </t>
  </si>
  <si>
    <t>3. Assignment No.</t>
  </si>
  <si>
    <t>4. Date of cost review</t>
  </si>
  <si>
    <t>Name</t>
  </si>
  <si>
    <t>Designation</t>
  </si>
  <si>
    <t>Signature</t>
  </si>
  <si>
    <t>ii</t>
  </si>
  <si>
    <t>iii</t>
  </si>
  <si>
    <t>iv</t>
  </si>
  <si>
    <t>vi</t>
  </si>
  <si>
    <t>vii</t>
  </si>
  <si>
    <t>Name of the Supplier/Contractor</t>
  </si>
  <si>
    <t>Scope of supply</t>
  </si>
  <si>
    <t>Imported Supply</t>
  </si>
  <si>
    <t>Indigenous Supply</t>
  </si>
  <si>
    <t xml:space="preserve">Total cost </t>
  </si>
  <si>
    <t>Quoted Price</t>
  </si>
  <si>
    <t>Normalised value (Adjusted for Cap., Escl. and excl. D&amp;E, erection, supv. etc. if any )</t>
  </si>
  <si>
    <t>Factor for location</t>
  </si>
  <si>
    <t>Price trend considered (Knocked off by)</t>
  </si>
  <si>
    <t>Normalised value (Adjusted for Cap., Escal. and excl. any scope like D&amp;E, erection, Civil, Strl. etc. if any)</t>
  </si>
  <si>
    <t>FC (in FE)</t>
  </si>
  <si>
    <t>FC (Equivalent Rs. In Crore)</t>
  </si>
  <si>
    <t>LC (Rs. in Crore)</t>
  </si>
  <si>
    <t>2) Details of earlier POs considered</t>
  </si>
  <si>
    <t>(Rs. in Crore.)</t>
  </si>
  <si>
    <t xml:space="preserve">     ii) </t>
  </si>
  <si>
    <t xml:space="preserve">     iii)</t>
  </si>
  <si>
    <t>Reasons for selecting above cost:</t>
  </si>
  <si>
    <t xml:space="preserve">     iv)</t>
  </si>
  <si>
    <t xml:space="preserve">Basic Cost </t>
  </si>
  <si>
    <t>Factor for location/ Area of difficulty</t>
  </si>
  <si>
    <t>FC (Eq Rs. in Crore)</t>
  </si>
  <si>
    <t>LC (Rs. In crore)</t>
  </si>
  <si>
    <t>Civil</t>
  </si>
  <si>
    <t>Refarctories</t>
  </si>
  <si>
    <t>Erection and Commissioning</t>
  </si>
  <si>
    <t>Foreign Training</t>
  </si>
  <si>
    <t>The committee deliberated on the above issues and found the same in order.</t>
  </si>
  <si>
    <t>OWNER'S--IN LC incl. consultancy charge</t>
  </si>
  <si>
    <t>NPV (@ 10%), Rs Cr</t>
  </si>
  <si>
    <t>NPV @ 10% discount rate (Post-tax)</t>
  </si>
  <si>
    <t>@10%</t>
  </si>
  <si>
    <t>(@10%)</t>
  </si>
  <si>
    <r>
      <t xml:space="preserve">i.        </t>
    </r>
    <r>
      <rPr>
        <b/>
        <u/>
        <sz val="16"/>
        <color indexed="8"/>
        <rFont val="Times New Roman"/>
        <family val="1"/>
      </rPr>
      <t>Basis for equipment only</t>
    </r>
  </si>
  <si>
    <t>Engineering estimate for additional scope of supply other than BQ/ PO</t>
  </si>
  <si>
    <t>FC         (Equivalent Rs. Crore)</t>
  </si>
  <si>
    <t>LC (Rs. Crore)</t>
  </si>
  <si>
    <t>FC            (Equivt Rs. Cr)</t>
  </si>
  <si>
    <t>Sub total</t>
  </si>
  <si>
    <t>NA</t>
  </si>
  <si>
    <t>Engineering &amp; Construction</t>
  </si>
  <si>
    <t>Taxes &amp; Duties incl. Frt</t>
  </si>
  <si>
    <t>Other (IDC)</t>
  </si>
  <si>
    <t>@5%</t>
  </si>
  <si>
    <t>CAPITAL COST ESTIMATE (SUMMARY)</t>
  </si>
  <si>
    <t>STEEL AUTHORITY OF INDIA  LIMITED</t>
  </si>
  <si>
    <t>EUR/USD</t>
  </si>
  <si>
    <t>Net</t>
  </si>
  <si>
    <t>Cor. Tax</t>
  </si>
  <si>
    <t>Pay-back period:</t>
  </si>
  <si>
    <t>Operating year -----&gt;</t>
  </si>
  <si>
    <t>Yr1</t>
  </si>
  <si>
    <t>Yr2</t>
  </si>
  <si>
    <t>Yr3</t>
  </si>
  <si>
    <t>Yr4</t>
  </si>
  <si>
    <t>Yr5</t>
  </si>
  <si>
    <t>Yr6</t>
  </si>
  <si>
    <t>Yr7</t>
  </si>
  <si>
    <t>Yr8</t>
  </si>
  <si>
    <t>Capital cost net of cenvat, Rs Cr</t>
  </si>
  <si>
    <t>Gross margin, Rs Cr</t>
  </si>
  <si>
    <t>Interest on loan, Rs Cr</t>
  </si>
  <si>
    <t>Corporate tax, Rs Cr</t>
  </si>
  <si>
    <t>Profit after int. &amp; tax, Rs Cr</t>
  </si>
  <si>
    <t>Balance loan, Rs Cr</t>
  </si>
  <si>
    <t>Payback period, Yrs</t>
  </si>
  <si>
    <t>DSCR, Year-wise</t>
  </si>
  <si>
    <t>Minimum DSCR</t>
  </si>
  <si>
    <t>Maximum DSCR</t>
  </si>
  <si>
    <t>Avg. DSCR</t>
  </si>
  <si>
    <t>GST (Supply)</t>
  </si>
  <si>
    <t>GST</t>
  </si>
  <si>
    <t>Ind. Services</t>
  </si>
  <si>
    <t>Capital Cost net of ITC</t>
  </si>
  <si>
    <t>Imp Suppy</t>
  </si>
  <si>
    <t>Imp Services</t>
  </si>
  <si>
    <t>GST (Imp Supply)</t>
  </si>
  <si>
    <t>GST (Imp Services)</t>
  </si>
  <si>
    <t>Ing. Supply</t>
  </si>
  <si>
    <t>GST (Indg. Supply)</t>
  </si>
  <si>
    <t>Eqpt. Foundn</t>
  </si>
  <si>
    <t>GST (Indg. Sercvices)</t>
  </si>
  <si>
    <t>GST (Indg. Freight))</t>
  </si>
  <si>
    <t>GST (Services)</t>
  </si>
  <si>
    <t>Input Tax Credit (ITC)</t>
  </si>
  <si>
    <t xml:space="preserve">Capital Cost (Net of ITC) </t>
  </si>
  <si>
    <t>CC net of ITC</t>
  </si>
  <si>
    <t>ITC</t>
  </si>
  <si>
    <t>Total net of ITC</t>
  </si>
  <si>
    <t>5. Proceedings of meeting:</t>
  </si>
  <si>
    <t>1EURO=</t>
  </si>
  <si>
    <t>(Forward Premium Rates)</t>
  </si>
  <si>
    <t>Total cost considered (Rs in Crore): Engg. Est.</t>
  </si>
  <si>
    <t xml:space="preserve">1) Details of BQs &amp; POs considered </t>
  </si>
  <si>
    <t>Complete scope:</t>
  </si>
  <si>
    <t>brought from the above</t>
  </si>
  <si>
    <t>6. Following officials were present:</t>
  </si>
  <si>
    <t>Contingency</t>
  </si>
  <si>
    <t>1 USD (Forward Premium rate)=</t>
  </si>
  <si>
    <t>1 JPY (Forward Premium rate)=</t>
  </si>
  <si>
    <t>JPY /USD</t>
  </si>
  <si>
    <t>Based on the above considerations, capital cost estimate net of ITC for the subject project =</t>
  </si>
  <si>
    <t>1 EURO (Forward Premium rate)=</t>
  </si>
  <si>
    <t>Annexure 6.6.2-1</t>
  </si>
  <si>
    <t>Cess on I.Tax / Corp tax</t>
  </si>
  <si>
    <t>Social Welfare</t>
  </si>
  <si>
    <t>Surcharge</t>
  </si>
  <si>
    <t>Social Welfare Surcharge</t>
  </si>
  <si>
    <t>CONFIDENTIAL</t>
  </si>
  <si>
    <t xml:space="preserve">Ref. No.: CET-17(4)/4004/  31       </t>
  </si>
  <si>
    <t>Date: 04.02.2015</t>
  </si>
  <si>
    <t>STEEL AUTHORITY OF INDIA LIMITED</t>
  </si>
  <si>
    <t>Augmentation of facilities to supply rails for Iran export order</t>
  </si>
  <si>
    <t>PACKAGE COST ESTIMATE</t>
  </si>
  <si>
    <t>TS NO.: CET/01/BH/4004/TS/ME/01/R=1</t>
  </si>
  <si>
    <t>1 EURO=Rs.</t>
  </si>
  <si>
    <t>Rs. Crore</t>
  </si>
  <si>
    <t>1 USD=Rs.</t>
  </si>
  <si>
    <t>Sl.No.</t>
  </si>
  <si>
    <t>Description of Item</t>
  </si>
  <si>
    <t xml:space="preserve">Design &amp; Engineering incl. drgs. &amp; doc. </t>
  </si>
  <si>
    <t>Supply of Plant &amp; Equipment Incl. Technological Structures</t>
  </si>
  <si>
    <t xml:space="preserve">Supply of Building steel structures including sheeting and glazing </t>
  </si>
  <si>
    <t>Supply of Refractories</t>
  </si>
  <si>
    <t>Civil Engineering Work including all related supplies- for equipment foundation</t>
  </si>
  <si>
    <t>Civil Engineering Work including all related supplies- Others including dismantling</t>
  </si>
  <si>
    <t xml:space="preserve">Storage, handling, Erection of Plant &amp; eqpt, Bldg. steel structure &amp; Refractories incl. Comm. &amp; PG tests of the facilities </t>
  </si>
  <si>
    <t>Foreign supervision charges in India during erection, startup, commissioning &amp; PG test for _____mandays</t>
  </si>
  <si>
    <t>Foreign Training charges for _____mandays</t>
  </si>
  <si>
    <t>Ocean Freight, Custom, port clearance &amp; inland transport for imported items</t>
  </si>
  <si>
    <t>Comprehensive Marine / transit &amp; Storage-cum-erection insurance</t>
  </si>
  <si>
    <t xml:space="preserve">Included above </t>
  </si>
  <si>
    <t>Sub-total (1 to 11)</t>
  </si>
  <si>
    <t>Purchaser's Scope:</t>
  </si>
  <si>
    <t>BCD @7.5%  on CIF</t>
  </si>
  <si>
    <t xml:space="preserve">Social welfare surcharge @ 10% on BCD </t>
  </si>
  <si>
    <t xml:space="preserve">GST @ 18 % on imported supply </t>
  </si>
  <si>
    <t>Income Tax  @ 10 % grossed-up on imported services</t>
  </si>
  <si>
    <t>GST @ 18 % on imported Services &amp; IT</t>
  </si>
  <si>
    <t>Sub-total (13)</t>
  </si>
  <si>
    <t xml:space="preserve">Total Package Cost </t>
  </si>
  <si>
    <t>Input tax credit (ITC) on GST</t>
  </si>
  <si>
    <t>Package cost net of ITC on GST</t>
  </si>
  <si>
    <t>SAIL/CET</t>
  </si>
  <si>
    <t>13.05.2016</t>
  </si>
  <si>
    <t>-do</t>
  </si>
  <si>
    <t>Erection for imported supply</t>
  </si>
  <si>
    <t>Erection for plant &amp; equipt</t>
  </si>
  <si>
    <t xml:space="preserve">Erection for structure </t>
  </si>
  <si>
    <t xml:space="preserve">Erection for refractory </t>
  </si>
  <si>
    <t>Basic cost</t>
  </si>
  <si>
    <t xml:space="preserve">                  Indigenous supplies &amp; services</t>
  </si>
  <si>
    <t>Imp. Items</t>
  </si>
  <si>
    <t>Indg. Items</t>
  </si>
  <si>
    <t>GST Ind. supply</t>
  </si>
  <si>
    <t>GST Ind. services</t>
  </si>
  <si>
    <t xml:space="preserve">Inland Frt &amp; Ins </t>
  </si>
  <si>
    <t>Purchaser's scope</t>
  </si>
  <si>
    <t>Design &amp; Engineering</t>
  </si>
  <si>
    <t xml:space="preserve">Supply of Plant &amp; eqpt  </t>
  </si>
  <si>
    <t>Supply of  SW</t>
  </si>
  <si>
    <t xml:space="preserve">Supply of  Tech Strs </t>
  </si>
  <si>
    <t>Building structures</t>
  </si>
  <si>
    <t>Civil work incl. all related supplies -Others</t>
  </si>
  <si>
    <t>Civil work incl. all related supplies - Equipment foundation</t>
  </si>
  <si>
    <t xml:space="preserve">Erection of Plant &amp; eqpt </t>
  </si>
  <si>
    <t xml:space="preserve">Erection of Tech Strs, </t>
  </si>
  <si>
    <t xml:space="preserve">Erection of  build. strs </t>
  </si>
  <si>
    <t>Erection of  Refractories</t>
  </si>
  <si>
    <t>Training</t>
  </si>
  <si>
    <t>a) Ocean Freight</t>
  </si>
  <si>
    <t>b) Custom, port clearance &amp; inland trasport</t>
  </si>
  <si>
    <t>(P. K. Mishra)</t>
  </si>
  <si>
    <t>AGM (Projects-CTEB)</t>
  </si>
  <si>
    <t>Equipment (FC)</t>
  </si>
  <si>
    <t>Equipment (LC)</t>
  </si>
  <si>
    <t>Spares (FC)</t>
  </si>
  <si>
    <t>Spares (LC)</t>
  </si>
  <si>
    <t>Tech, Str(FC)</t>
  </si>
  <si>
    <t>Tech, Str(LC)</t>
  </si>
  <si>
    <t>Bldg Str</t>
  </si>
  <si>
    <t>Site Fabricated Str</t>
  </si>
  <si>
    <t>Ref (FC)</t>
  </si>
  <si>
    <t>Ref (LC)</t>
  </si>
  <si>
    <t>Civil (Others)</t>
  </si>
  <si>
    <t>Civil Eqpt Fdn</t>
  </si>
  <si>
    <t>Consultancy Charge</t>
  </si>
  <si>
    <t>Erection</t>
  </si>
  <si>
    <t>D&amp;E (FC)</t>
  </si>
  <si>
    <t>D&amp;E (LC)</t>
  </si>
  <si>
    <t>D&amp;E (Owner)</t>
  </si>
  <si>
    <t>Basic</t>
  </si>
  <si>
    <t>Ocean Frt</t>
  </si>
  <si>
    <t>Inland Frt FC</t>
  </si>
  <si>
    <t>Inland Frt LC</t>
  </si>
  <si>
    <t>Know How (FC)</t>
  </si>
  <si>
    <t>Know How (LC)</t>
  </si>
  <si>
    <t>Others (FC)</t>
  </si>
  <si>
    <t>Others (LC)</t>
  </si>
  <si>
    <t>Free Issue (Steel)</t>
  </si>
  <si>
    <t>IT (Serv)</t>
  </si>
  <si>
    <t>ae</t>
  </si>
  <si>
    <t>aj</t>
  </si>
  <si>
    <t>ak</t>
  </si>
  <si>
    <t>al</t>
  </si>
  <si>
    <t>an</t>
  </si>
  <si>
    <t>GST (Imp. Services)</t>
  </si>
  <si>
    <t>GST (Ind. Services)</t>
  </si>
  <si>
    <t>Cont. (FC)</t>
  </si>
  <si>
    <t>Cont. (LC)</t>
  </si>
  <si>
    <t>GBP/USD</t>
  </si>
  <si>
    <t>All other items except above</t>
  </si>
  <si>
    <r>
      <rPr>
        <b/>
        <sz val="16"/>
        <rFont val="Times New Roman"/>
        <family val="1"/>
      </rPr>
      <t>v. </t>
    </r>
    <r>
      <rPr>
        <sz val="16"/>
        <rFont val="Times New Roman"/>
        <family val="1"/>
      </rPr>
      <t xml:space="preserve">       TFL confirmed that the BOQ considered for preparing capital cost is for the total scope of work for the subject project. </t>
    </r>
  </si>
  <si>
    <t>Lot</t>
  </si>
  <si>
    <t>Estimate considered for the Equipment of the Project=</t>
  </si>
  <si>
    <t>Factor</t>
  </si>
  <si>
    <t>Mr. Manoj Mishra</t>
  </si>
  <si>
    <t>Refractory</t>
  </si>
  <si>
    <t>Price trend considered (BQ is already Knocked off by 10%)</t>
  </si>
  <si>
    <t>viii</t>
  </si>
  <si>
    <t>1 UKP (Forward Premium rate)=</t>
  </si>
  <si>
    <t xml:space="preserve">Gross Margin </t>
  </si>
  <si>
    <t>USD 2 Y Ask</t>
  </si>
  <si>
    <t>1 USD=</t>
  </si>
  <si>
    <t>days</t>
  </si>
  <si>
    <t>tpd</t>
  </si>
  <si>
    <t>tpa</t>
  </si>
  <si>
    <t xml:space="preserve">Equivalent Pig Production </t>
  </si>
  <si>
    <t>kg/tHM</t>
  </si>
  <si>
    <t>Proposed</t>
  </si>
  <si>
    <t>2019-20</t>
  </si>
  <si>
    <t>2018-19</t>
  </si>
  <si>
    <t>Average</t>
  </si>
  <si>
    <t>Productivity</t>
  </si>
  <si>
    <t>Loss of contribution during addl. s/d period of 120 days</t>
  </si>
  <si>
    <t>HM prodn.in Base Case</t>
  </si>
  <si>
    <t>Duration of BF shutdown envisaged</t>
  </si>
  <si>
    <t xml:space="preserve">Addl. shutdown period reqd </t>
  </si>
  <si>
    <t>HM production loss during addl S/D</t>
  </si>
  <si>
    <t>tonnes</t>
  </si>
  <si>
    <t>Contribuion loss from hot metal</t>
  </si>
  <si>
    <t>Rs Cr.</t>
  </si>
  <si>
    <t>Base case</t>
  </si>
  <si>
    <t>Incr/ Decr</t>
  </si>
  <si>
    <t>Production</t>
  </si>
  <si>
    <t>Base Data</t>
  </si>
  <si>
    <t>2020-21</t>
  </si>
  <si>
    <t>Avg. 3 years</t>
  </si>
  <si>
    <t>HM production, tpd</t>
  </si>
  <si>
    <t>Coke Rate, kg/thm</t>
  </si>
  <si>
    <t>Kg/tHM</t>
  </si>
  <si>
    <t>NSR for PIG Iron (Rs./t)</t>
  </si>
  <si>
    <t>Rs./t</t>
  </si>
  <si>
    <t>t/m3/d (WV)</t>
  </si>
  <si>
    <t>In Proposed Case:</t>
  </si>
  <si>
    <t>Additional power consumption(net) :</t>
  </si>
  <si>
    <t>kW</t>
  </si>
  <si>
    <t>Additional nitrogen consumption:</t>
  </si>
  <si>
    <t>Nm3/h</t>
  </si>
  <si>
    <t>m3/h</t>
  </si>
  <si>
    <t>Mr. S Joardar</t>
  </si>
  <si>
    <t xml:space="preserve">Difficult to Erect so </t>
  </si>
  <si>
    <t>DATA REQUIRED FOR GROSS  MARGIN  CALCULATIONS (Assgn No. 02/DE/4906)</t>
  </si>
  <si>
    <t>Hot Blast Temp.</t>
  </si>
  <si>
    <t xml:space="preserve"> oC</t>
  </si>
  <si>
    <t>Top Pressure, kg/cm2</t>
  </si>
  <si>
    <t>kg/cm2</t>
  </si>
  <si>
    <t>Steam, tph</t>
  </si>
  <si>
    <t>tph</t>
  </si>
  <si>
    <t>BF gas consumption in stoves, Nm3/h</t>
  </si>
  <si>
    <t>CO gas consumption in stoves, Nm3/h</t>
  </si>
  <si>
    <t>--</t>
  </si>
  <si>
    <r>
      <t>DM water in close loop for stoves valves (3 nos.), m</t>
    </r>
    <r>
      <rPr>
        <vertAlign val="superscript"/>
        <sz val="11"/>
        <color indexed="8"/>
        <rFont val="Arial"/>
        <family val="2"/>
      </rPr>
      <t>3</t>
    </r>
    <r>
      <rPr>
        <sz val="11"/>
        <color indexed="8"/>
        <rFont val="Arial"/>
        <family val="2"/>
      </rPr>
      <t>/h (Hot Blast Valve)</t>
    </r>
  </si>
  <si>
    <t>Received from BSL on whatsapp</t>
  </si>
  <si>
    <t>VC for PIG Iron (Rs./t)</t>
  </si>
  <si>
    <t>Actual cost data from BSL</t>
  </si>
  <si>
    <t>Benefits to be considered on account of  HBT rise:</t>
  </si>
  <si>
    <t>2% increase in production for every 100 oC HBT increase</t>
  </si>
  <si>
    <t>Coke Rate</t>
  </si>
  <si>
    <t>3.3% decrease in coke rate for every 100 oC HBT increase</t>
  </si>
  <si>
    <t>HBT</t>
  </si>
  <si>
    <t>Deg C</t>
  </si>
  <si>
    <t>Increase in HBT due to upgradation of stoves by globally reputed design</t>
  </si>
  <si>
    <t>Effect of top pressure</t>
  </si>
  <si>
    <t>Top Pressure (Base Case)</t>
  </si>
  <si>
    <t>Kg/cm2g</t>
  </si>
  <si>
    <t>Top Pressure (Proposed case)</t>
  </si>
  <si>
    <t>kg/cm2g</t>
  </si>
  <si>
    <t>Increase in productivity due to top pressure change</t>
  </si>
  <si>
    <t>1.1% increase in production for every 0.1 kg/cm2 increase in top pressure</t>
  </si>
  <si>
    <t>Decrease in coke rate due to top pressure change</t>
  </si>
  <si>
    <t>0.5% decrease in coke rate for every 0.1 kg/cm2 increase in top pressure</t>
  </si>
  <si>
    <t xml:space="preserve"> Additional secondary industrial water: </t>
  </si>
  <si>
    <t>Total Steam Consumption in proposed case</t>
  </si>
  <si>
    <t>Total BF gas consumption in stoves in proposed case</t>
  </si>
  <si>
    <t>Total CO gas consumption in stoves in proposed case</t>
  </si>
  <si>
    <r>
      <t xml:space="preserve">Total DM water in close loop for stoves valves (3 nos.) </t>
    </r>
    <r>
      <rPr>
        <sz val="11"/>
        <color indexed="8"/>
        <rFont val="Arial"/>
        <family val="2"/>
      </rPr>
      <t xml:space="preserve"> (Hot Blast Valve)</t>
    </r>
  </si>
  <si>
    <t>Year</t>
  </si>
  <si>
    <t>NSR(Rs/t)</t>
  </si>
  <si>
    <t xml:space="preserve">NSR of Pig iron </t>
  </si>
  <si>
    <t>3 years average Received from BSL on whatsapp</t>
  </si>
  <si>
    <t xml:space="preserve">VC of PI </t>
  </si>
  <si>
    <t>Rs/t</t>
  </si>
  <si>
    <t>Budgeted Contribution of PI</t>
  </si>
  <si>
    <t xml:space="preserve">VC of BF Coke </t>
  </si>
  <si>
    <t>Actual cost data from BSL Sept'21</t>
  </si>
  <si>
    <t>BF gas</t>
  </si>
  <si>
    <t>Rs/Gcal</t>
  </si>
  <si>
    <t>CO Gas</t>
  </si>
  <si>
    <t>DM Water (make-up Water)(Rs. 1000 extra to be added over Industrial water)</t>
  </si>
  <si>
    <r>
      <t>ThM</t>
    </r>
    <r>
      <rPr>
        <vertAlign val="superscript"/>
        <sz val="11"/>
        <rFont val="Arial"/>
        <family val="2"/>
      </rPr>
      <t>3</t>
    </r>
  </si>
  <si>
    <t>Power</t>
  </si>
  <si>
    <t>MW</t>
  </si>
  <si>
    <t>Secondary Industrial Water (Water Circ Cost)</t>
  </si>
  <si>
    <t>TC</t>
  </si>
  <si>
    <t>Secondary Industrial Water (Make up)</t>
  </si>
  <si>
    <t>Nitrogen</t>
  </si>
  <si>
    <t>Yield of Pig Iron from HM</t>
  </si>
  <si>
    <t>Actual data from BSL based on 3 years average</t>
  </si>
  <si>
    <t>Steam</t>
  </si>
  <si>
    <t>Sheduled Shutdown</t>
  </si>
  <si>
    <t>Working volume of the Furnace</t>
  </si>
  <si>
    <t>Cum</t>
  </si>
  <si>
    <t>Duration of Furnace operation/ year</t>
  </si>
  <si>
    <t>Note: Production loss due to shutdown will not be considered</t>
  </si>
  <si>
    <r>
      <rPr>
        <sz val="12"/>
        <rFont val="Calibri"/>
        <family val="2"/>
      </rPr>
      <t>°</t>
    </r>
    <r>
      <rPr>
        <sz val="12"/>
        <rFont val="Arial"/>
        <family val="2"/>
      </rPr>
      <t>C</t>
    </r>
  </si>
  <si>
    <t>Hot Blast Temp.(Proposed Case)</t>
  </si>
  <si>
    <t>Increase in Hot Metal production on account of increase in HBT</t>
  </si>
  <si>
    <t>Eqvt. Addl. Pig Iron (93% yield)</t>
  </si>
  <si>
    <t>Redn. in coke rate on account of increase in HBT</t>
  </si>
  <si>
    <t>Annexure -6.5.1-1</t>
  </si>
  <si>
    <t>GROSS  MARGIN  CALCULATIONS</t>
  </si>
  <si>
    <t>Technical Parameters:</t>
  </si>
  <si>
    <t>Days</t>
  </si>
  <si>
    <r>
      <t>Kg/cm</t>
    </r>
    <r>
      <rPr>
        <vertAlign val="superscript"/>
        <sz val="12"/>
        <rFont val="Arial"/>
        <family val="2"/>
      </rPr>
      <t>2</t>
    </r>
    <r>
      <rPr>
        <sz val="12"/>
        <rFont val="Arial"/>
        <family val="2"/>
      </rPr>
      <t>g</t>
    </r>
  </si>
  <si>
    <t>High Top Pressure (Proposed Case)</t>
  </si>
  <si>
    <t>Increase in Hot Metal production on account of increase in HTP</t>
  </si>
  <si>
    <t>Hot Metal Production (Proposed)</t>
  </si>
  <si>
    <t>Addl. Hot Metal prodn</t>
  </si>
  <si>
    <t>Tonne</t>
  </si>
  <si>
    <t>Redn. in coke rate on account of increase in HTP</t>
  </si>
  <si>
    <t>Avg. Coke Rate (Proposed Case)</t>
  </si>
  <si>
    <t>Redn. in Coke Rate</t>
  </si>
  <si>
    <t>Benefits :</t>
  </si>
  <si>
    <t>Quantity (t)</t>
  </si>
  <si>
    <t>Rate (Rs/t)</t>
  </si>
  <si>
    <t>Amount (Rs. Cr)</t>
  </si>
  <si>
    <t>Sub-total (B)</t>
  </si>
  <si>
    <t>Expenditure:</t>
  </si>
  <si>
    <t>Power @ 50kWh</t>
  </si>
  <si>
    <t>Sub-total (C)</t>
  </si>
  <si>
    <t>Gross  Margin (B-C)</t>
  </si>
  <si>
    <t>Basis for benefits considered due to HBT rise:</t>
  </si>
  <si>
    <t>Hot Blast Temp. Increase</t>
  </si>
  <si>
    <t>incr. in BF productivity for every 100 deg rise in HBT</t>
  </si>
  <si>
    <t>decr. in coke rate for every 100 deg rise in HBT</t>
  </si>
  <si>
    <t>Temp. Increase</t>
  </si>
  <si>
    <t>900-1000C</t>
  </si>
  <si>
    <t>1000-1100C</t>
  </si>
  <si>
    <t>My calculation</t>
  </si>
  <si>
    <t>1100-1200C</t>
  </si>
  <si>
    <t>Top Pressure Effect</t>
  </si>
  <si>
    <t>Resultant Value</t>
  </si>
  <si>
    <t>Existing</t>
  </si>
  <si>
    <t xml:space="preserve">Addl. Steam (6 tph) </t>
  </si>
  <si>
    <t>Addl. BF Gas (20000 Nm3/h)</t>
  </si>
  <si>
    <t xml:space="preserve">CO gas </t>
  </si>
  <si>
    <t>1NM3</t>
  </si>
  <si>
    <t>kCal</t>
  </si>
  <si>
    <t>1GCal=</t>
  </si>
  <si>
    <t>4.18*10^6</t>
  </si>
  <si>
    <t>KJ</t>
  </si>
  <si>
    <t>BF Gas</t>
  </si>
  <si>
    <t>Gcal</t>
  </si>
  <si>
    <t>Hot metal production (Base Case: 2020-21)</t>
  </si>
  <si>
    <t>Hot Blast Temp.(Base Case: 2020-21)</t>
  </si>
  <si>
    <t>High Top Pressure (Base Case: 2020-21)</t>
  </si>
  <si>
    <t>Avg. Coke Rate (Base Case: 2020-21)</t>
  </si>
  <si>
    <t>Contribution from Addl. Pig Iron (Avg NSR 2018-21 &amp; VC-H1, 2021-22)</t>
  </si>
  <si>
    <t>Savings in coke consumption (VC- H1, 2021-22)</t>
  </si>
  <si>
    <t>BOKARO STEEL PLANT</t>
  </si>
  <si>
    <t>Installation of 4th Stove and Revamping of existing  3 nos. of Stoves in BF#2</t>
  </si>
  <si>
    <t>NSR of Pig Iron for the period Apr'21 to Sept'21</t>
  </si>
  <si>
    <t>Actual variable cost of pig iron for the period of Apr'21 to Sep'21</t>
  </si>
  <si>
    <t>Data Received from mail dated 12.01.2022 from TFL</t>
  </si>
  <si>
    <t>average actual cost data from BSL  for Apr'21 to Sep'21</t>
  </si>
  <si>
    <t>Also committee decided to discount recent BQs by 5%. In addition to above, committee decided to load 10% of Equipment cost on equipment for Risks, Financial Charges, and Overheads of contractor.</t>
  </si>
  <si>
    <t>CER &amp; Env. Clearance</t>
  </si>
  <si>
    <r>
      <t>DM water make up for stove @ 73 M</t>
    </r>
    <r>
      <rPr>
        <vertAlign val="superscript"/>
        <sz val="12"/>
        <color rgb="FFFF0000"/>
        <rFont val="Arial"/>
        <family val="2"/>
      </rPr>
      <t>3</t>
    </r>
    <r>
      <rPr>
        <sz val="12"/>
        <color rgb="FFFF0000"/>
        <rFont val="Arial"/>
        <family val="2"/>
      </rPr>
      <t>/hr</t>
    </r>
  </si>
  <si>
    <r>
      <t>ThM</t>
    </r>
    <r>
      <rPr>
        <vertAlign val="superscript"/>
        <sz val="12"/>
        <color rgb="FFFF0000"/>
        <rFont val="Arial"/>
        <family val="2"/>
      </rPr>
      <t>3</t>
    </r>
  </si>
  <si>
    <r>
      <t>Secondary Industrial Water Make up @ 5M</t>
    </r>
    <r>
      <rPr>
        <vertAlign val="superscript"/>
        <sz val="12"/>
        <color rgb="FFFF0000"/>
        <rFont val="Arial"/>
        <family val="2"/>
      </rPr>
      <t>3</t>
    </r>
    <r>
      <rPr>
        <sz val="12"/>
        <color rgb="FFFF0000"/>
        <rFont val="Arial"/>
        <family val="2"/>
      </rPr>
      <t>/hr</t>
    </r>
  </si>
  <si>
    <r>
      <t>Nitrogen @ 25 NM</t>
    </r>
    <r>
      <rPr>
        <vertAlign val="superscript"/>
        <sz val="12"/>
        <color rgb="FFFF0000"/>
        <rFont val="Arial"/>
        <family val="2"/>
      </rPr>
      <t>3</t>
    </r>
    <r>
      <rPr>
        <sz val="12"/>
        <color rgb="FFFF0000"/>
        <rFont val="Arial"/>
        <family val="2"/>
      </rPr>
      <t>/hr</t>
    </r>
  </si>
  <si>
    <r>
      <t>ThNM</t>
    </r>
    <r>
      <rPr>
        <vertAlign val="superscript"/>
        <sz val="12"/>
        <color rgb="FFFF0000"/>
        <rFont val="Arial"/>
        <family val="2"/>
      </rPr>
      <t>3</t>
    </r>
  </si>
  <si>
    <t>EUR (22+6) month Ask</t>
  </si>
  <si>
    <t>JPY (22+6) month Ask</t>
  </si>
  <si>
    <t>UKP (22+6 month Ask</t>
  </si>
  <si>
    <t>Mr. Sanjay Kumar</t>
  </si>
  <si>
    <t>Repair &amp; Maint. @ 2.5% of CC net of ITC</t>
  </si>
  <si>
    <t>Quote</t>
  </si>
  <si>
    <t>5.22.6</t>
  </si>
  <si>
    <t>Civil works</t>
  </si>
  <si>
    <t>Monthly Wholesale Price Index</t>
  </si>
  <si>
    <r>
      <t>Name of Commodity :</t>
    </r>
    <r>
      <rPr>
        <sz val="10"/>
        <color rgb="FF000000"/>
        <rFont val="Arial"/>
        <family val="2"/>
      </rPr>
      <t> (R). MANUFACTURE OF MACHINERY AND EQUIPMENT</t>
    </r>
  </si>
  <si>
    <t>Month/Year</t>
  </si>
  <si>
    <t>Jan</t>
  </si>
  <si>
    <t>Feb</t>
  </si>
  <si>
    <t>Mar</t>
  </si>
  <si>
    <t>Apr</t>
  </si>
  <si>
    <t>May</t>
  </si>
  <si>
    <t>Jun</t>
  </si>
  <si>
    <t>Jul</t>
  </si>
  <si>
    <t>Aug</t>
  </si>
  <si>
    <t>Sep</t>
  </si>
  <si>
    <t>Oct</t>
  </si>
  <si>
    <t>Nov</t>
  </si>
  <si>
    <t>Dec</t>
  </si>
  <si>
    <t>Nos</t>
  </si>
  <si>
    <t>Nos.</t>
  </si>
  <si>
    <t>a.</t>
  </si>
  <si>
    <t>b.</t>
  </si>
  <si>
    <t>RM</t>
  </si>
  <si>
    <t>2% and 9%</t>
  </si>
  <si>
    <t xml:space="preserve">2.5% for owner, 5.0% for contractor </t>
  </si>
  <si>
    <t>Mechanical</t>
  </si>
  <si>
    <t>Technological Equipments</t>
  </si>
  <si>
    <t>Utilities</t>
  </si>
  <si>
    <t>Electrical</t>
  </si>
  <si>
    <t>Process Control and Automation</t>
  </si>
  <si>
    <t>C&amp;IT</t>
  </si>
  <si>
    <t>Technological Structure</t>
  </si>
  <si>
    <t>Building Structure</t>
  </si>
  <si>
    <t>Civil Eq Foundation</t>
  </si>
  <si>
    <t>Civil others</t>
  </si>
  <si>
    <t>SIS &amp; UG Survey may come in Civil Equp foundation part</t>
  </si>
  <si>
    <t>Else manday x per diem rate</t>
  </si>
  <si>
    <t>Don't remove Building structure part of Freight &amp; Insurance for ITC calculation purpose. Ref format.</t>
  </si>
  <si>
    <t>2) Details of  POs referred</t>
  </si>
  <si>
    <t>Contract of Acme automation at BSL-T&amp;C(M)/A6171/PP/476 for installation of 33 Electronic WF at Sinter plant dt. 17.01.2020</t>
  </si>
  <si>
    <t>33 electronic weigh feeder of different capacity. Individual cost of BWF of different capacity is not provided in contract.</t>
  </si>
  <si>
    <t>Not considered</t>
  </si>
  <si>
    <t>PO of M/s Schenk for beltweigh scale of 1000 TPH with PO no. 313103061140/0001 dt: 19.04.2014</t>
  </si>
  <si>
    <t>Beltweigh scale of 1000 TPH</t>
  </si>
  <si>
    <t>1 (a)</t>
  </si>
  <si>
    <t>1 (b)</t>
  </si>
  <si>
    <t>1 (c)</t>
  </si>
  <si>
    <t>1 (d)</t>
  </si>
  <si>
    <t xml:space="preserve">Area survey &amp; soil investigation </t>
  </si>
  <si>
    <t>GM &amp; I/c (CTE)-Convenor</t>
  </si>
  <si>
    <t>ix</t>
  </si>
  <si>
    <t>Mr. R. Kashyap</t>
  </si>
  <si>
    <t>Sr. Mgr. (Proj-CTE)</t>
  </si>
  <si>
    <t>1USD=(with forward premium rate)</t>
  </si>
  <si>
    <t>1EURO=(with forward premium rate)</t>
  </si>
  <si>
    <t>Formula and value is not logical</t>
  </si>
  <si>
    <t>INDIGENOUS DUTY &amp; TAXES</t>
  </si>
  <si>
    <r>
      <t>Name of Commodity :</t>
    </r>
    <r>
      <rPr>
        <sz val="10"/>
        <rFont val="Arial"/>
        <family val="2"/>
      </rPr>
      <t> All commodities</t>
    </r>
  </si>
  <si>
    <r>
      <t>Name of Commodity :</t>
    </r>
    <r>
      <rPr>
        <sz val="10"/>
        <color theme="1"/>
        <rFont val="Calibri"/>
        <family val="2"/>
        <scheme val="minor"/>
      </rPr>
      <t> e. Mild Steel - Flat products</t>
    </r>
  </si>
  <si>
    <t>-do-</t>
  </si>
  <si>
    <t>No.</t>
  </si>
  <si>
    <t>Naphthalene Recovery Plant</t>
  </si>
  <si>
    <t>II</t>
  </si>
  <si>
    <t>Tech. Structure</t>
  </si>
  <si>
    <t>III</t>
  </si>
  <si>
    <t>IV</t>
  </si>
  <si>
    <t>m3</t>
  </si>
  <si>
    <t>12.05.2020</t>
  </si>
  <si>
    <t>USD (36+1) month Ask</t>
  </si>
  <si>
    <t xml:space="preserve">3rd year </t>
  </si>
  <si>
    <t>Annexure - 6.5.1-1</t>
  </si>
  <si>
    <t>Gross Margin Calculation</t>
  </si>
  <si>
    <t>Technical Parameters</t>
  </si>
  <si>
    <t>Coke price:</t>
  </si>
  <si>
    <t>BF Coke production envisaged from proposed Battery / year</t>
  </si>
  <si>
    <t>Freight</t>
  </si>
  <si>
    <t>Interest</t>
  </si>
  <si>
    <t>Cost of production of BF coke (Work cost)</t>
  </si>
  <si>
    <t>Corporate tax</t>
  </si>
  <si>
    <t>Rs.cr.</t>
  </si>
  <si>
    <t xml:space="preserve">Cost of purchased BF coke </t>
  </si>
  <si>
    <r>
      <rPr>
        <b/>
        <sz val="12"/>
        <rFont val="Arial"/>
        <family val="2"/>
      </rPr>
      <t>Benefit from proposed Battery</t>
    </r>
    <r>
      <rPr>
        <sz val="12"/>
        <rFont val="Arial"/>
        <family val="2"/>
      </rPr>
      <t xml:space="preserve"> : Avoidance of cost towards purchase of equivalent BF coke from external sources (A)</t>
    </r>
  </si>
  <si>
    <t>Rs Cr</t>
  </si>
  <si>
    <r>
      <rPr>
        <b/>
        <sz val="12"/>
        <rFont val="Arial"/>
        <family val="2"/>
      </rPr>
      <t>Total expenditure</t>
    </r>
    <r>
      <rPr>
        <sz val="12"/>
        <rFont val="Arial"/>
        <family val="2"/>
      </rPr>
      <t xml:space="preserve"> towards own production cost of BF coke (B) </t>
    </r>
  </si>
  <si>
    <t>VC of Tar</t>
  </si>
  <si>
    <t xml:space="preserve"> Std. cost 2011-12, DSP</t>
  </si>
  <si>
    <t>=36000kJ/kg*0.23884kcal/kg*1000/10^6*648</t>
  </si>
  <si>
    <t xml:space="preserve">Credit of CO gas </t>
  </si>
  <si>
    <t>=213814080 Nm3*4200kcal/Nm3/10^6*648</t>
  </si>
  <si>
    <t>Calorific Value of CO gas</t>
  </si>
  <si>
    <t>kcal/Nm3</t>
  </si>
  <si>
    <t>ANNUAL THROUGHPUT</t>
  </si>
  <si>
    <t>COAL THROUGH PUT</t>
  </si>
  <si>
    <t>T/DAY</t>
  </si>
  <si>
    <t>considered 90 pushing per day for TE. Coal charge of 19.5 t per oven considered, BF coke considered as 69 %.</t>
  </si>
  <si>
    <t xml:space="preserve">GROSS COKE </t>
  </si>
  <si>
    <t>BF COKE</t>
  </si>
  <si>
    <t>GAS</t>
  </si>
  <si>
    <t>nm^3/day</t>
  </si>
  <si>
    <t>Nm3</t>
  </si>
  <si>
    <t>As per actual cost sheet 2021-22 (9 month) of  DSP</t>
  </si>
  <si>
    <t>BF Coke purchased price as per steel mint</t>
  </si>
  <si>
    <t>Gross Margin (savings with proposed battery)/ annum) (A-B)</t>
  </si>
  <si>
    <t>Phasing of expenditure</t>
  </si>
  <si>
    <t>CASH  FLOW  STATEMENT</t>
  </si>
  <si>
    <t>Annexure - 6.6.1-1</t>
  </si>
  <si>
    <t>total</t>
  </si>
  <si>
    <t>incl. IDC</t>
  </si>
  <si>
    <t>net of ITC</t>
  </si>
  <si>
    <t xml:space="preserve"> Rs. in crore</t>
  </si>
  <si>
    <t xml:space="preserve">Depreciation based on WDV method @ 15% for 95% of the net of cenvat value </t>
  </si>
  <si>
    <t>Profit before Depr., Int. &amp; Tax</t>
  </si>
  <si>
    <t>Year of comm</t>
  </si>
  <si>
    <t>Cap cost</t>
  </si>
  <si>
    <t>Chk total</t>
  </si>
  <si>
    <t>Post Comm (10%)</t>
  </si>
  <si>
    <t>Dep @15%</t>
  </si>
  <si>
    <t>Net cost</t>
  </si>
  <si>
    <t>C. Loan</t>
  </si>
  <si>
    <t>IRR(Pre-tax)</t>
  </si>
  <si>
    <t>Total outflow</t>
  </si>
  <si>
    <t>Total inflow</t>
  </si>
  <si>
    <t>2nd (35%)</t>
  </si>
  <si>
    <t>3rd  (33%)</t>
  </si>
  <si>
    <t>4th Year (1 month) (4.5%)</t>
  </si>
  <si>
    <t>1 year (10%)</t>
  </si>
  <si>
    <t>ITC on GST + salvage Value</t>
  </si>
  <si>
    <t>SAIL/ DSP</t>
  </si>
  <si>
    <t>Annexure  - 6.6.2-1</t>
  </si>
  <si>
    <t xml:space="preserve">      FINANCIAL ANALYSIS</t>
  </si>
  <si>
    <t>Rs.Cr.</t>
  </si>
  <si>
    <t>NPV @ 10%  (Post tax)</t>
  </si>
  <si>
    <t>I R R (Post Tax)</t>
  </si>
  <si>
    <t>6 months</t>
  </si>
  <si>
    <t>1 yr</t>
  </si>
  <si>
    <t>1.5 Yr</t>
  </si>
  <si>
    <t>2 Yrs</t>
  </si>
  <si>
    <t>Purchase price of BF coke</t>
  </si>
  <si>
    <t>Sensitivity Analysis</t>
  </si>
  <si>
    <t>Combined effect of above</t>
  </si>
  <si>
    <t>Purchase price of BF coke (-) 5 %</t>
  </si>
  <si>
    <t>Purchase price of BF coke (-) 10 %</t>
  </si>
  <si>
    <t>Capital cost (+) 10%</t>
  </si>
  <si>
    <t>GM (-) 10%</t>
  </si>
  <si>
    <t>Landed cost based on Met Coke data (Apr-Dec) 2021 based on steel mint data</t>
  </si>
  <si>
    <t>(A) Cash-Inflow</t>
  </si>
  <si>
    <t>(B) Cash out-flow</t>
  </si>
  <si>
    <t>Interest payment (from 4th year onwards)</t>
  </si>
  <si>
    <t>Principal repayment (from 5th year and for 10 years)</t>
  </si>
  <si>
    <t>assumption:total loan spent for capital expenditure</t>
  </si>
  <si>
    <t>EQUIPMENT + Tech. Structures</t>
  </si>
  <si>
    <t>Equipment + Tech. Structure</t>
  </si>
  <si>
    <t>refrractory</t>
  </si>
  <si>
    <t>Rail</t>
  </si>
  <si>
    <t>Technological Structure Structure</t>
  </si>
  <si>
    <t>HR casting</t>
  </si>
  <si>
    <t>Utility</t>
  </si>
  <si>
    <t>MS Pipe (gas)</t>
  </si>
  <si>
    <t xml:space="preserve">MS Pipe (water) </t>
  </si>
  <si>
    <t>CI Pipe</t>
  </si>
  <si>
    <t>Steam Pipe</t>
  </si>
  <si>
    <t>Structure, support</t>
  </si>
  <si>
    <t>MS compensator, water seal</t>
  </si>
  <si>
    <t>Fabricated MS Item</t>
  </si>
  <si>
    <t>SS Item</t>
  </si>
  <si>
    <t>Heating up &amp; commisioning (3600 mandays)</t>
  </si>
  <si>
    <t>Equipment erection</t>
  </si>
  <si>
    <t>Inspection (1940 mandays) ,</t>
  </si>
  <si>
    <t xml:space="preserve"> Post Commisioning(3600 mandays)</t>
  </si>
  <si>
    <t>Erection/Ton</t>
  </si>
  <si>
    <t>: 18.05.2022</t>
  </si>
  <si>
    <t>: Revised Capital Cost Estimate &amp; Techno-Economics</t>
  </si>
  <si>
    <t>: 04/DE/4747</t>
  </si>
  <si>
    <t>DSR 2021</t>
  </si>
  <si>
    <t>CGM &amp; I/ c (Projects and C&amp; S) -Chairman</t>
  </si>
  <si>
    <t>CGM (PC&amp;A, Elec., C&amp; IT)</t>
  </si>
  <si>
    <t>Mr. Anup Kumar</t>
  </si>
  <si>
    <t>Mr. M. Choudhary</t>
  </si>
  <si>
    <t xml:space="preserve">CGM  (I&amp;S, Steel, Rolling Mills and C.C &amp;C) </t>
  </si>
  <si>
    <t>Mr. Shalabh Sharma</t>
  </si>
  <si>
    <t>CGM (Projects-PFC, BE, CTE, C&amp;C &amp; IPSS)</t>
  </si>
  <si>
    <t>Mr. S. Bhattacharjee</t>
  </si>
  <si>
    <t>GM &amp; I/c (C.C.&amp;C.)</t>
  </si>
  <si>
    <t>Ms. Jyoti Dayal</t>
  </si>
  <si>
    <t>GM (C.C.&amp;C.)</t>
  </si>
  <si>
    <t>AGM (Proj-CTE)</t>
  </si>
  <si>
    <t>Equipment + Tech structure</t>
  </si>
  <si>
    <t xml:space="preserve"> Committee discussed on BOQ along with cost &amp; supporting documents submitted by TFL and concerned TFM members .</t>
  </si>
  <si>
    <t>a)</t>
  </si>
  <si>
    <t>b)</t>
  </si>
  <si>
    <t>c)</t>
  </si>
  <si>
    <t>d)</t>
  </si>
  <si>
    <t>e)</t>
  </si>
  <si>
    <t>Capital cost estimate net of ITC for the subject project during previous issue of capital cost (base date 3rd Quarter 2020) =</t>
  </si>
  <si>
    <t>(Rs. in Crore)</t>
  </si>
  <si>
    <t>Estimate considered during previous issue of capital cost (base date 3rd Quarter 2020)=</t>
  </si>
  <si>
    <t>Electrical exhauster of Howden make</t>
  </si>
  <si>
    <t>Spares for electrical exhauster</t>
  </si>
  <si>
    <t>BQ of M/s paul worth  dated 27.01.2022</t>
  </si>
  <si>
    <t>10% to civil</t>
  </si>
  <si>
    <t>BQ of M/s Hutni Projekt Frydek Mistek (HPFM) and HPIL dtd 18.11.2021</t>
  </si>
  <si>
    <t>BQ of M/s Hutni Projeckt India Ltd.  dtd 15.03.2023</t>
  </si>
  <si>
    <t>BQ of M/s Hutni Projeckt India Ltd.  dtd 15.03.2022</t>
  </si>
  <si>
    <t>12000000 Euro</t>
  </si>
  <si>
    <t>f)</t>
  </si>
  <si>
    <t>g)</t>
  </si>
  <si>
    <t>h)</t>
  </si>
  <si>
    <t>i)</t>
  </si>
  <si>
    <r>
      <rPr>
        <b/>
        <sz val="16"/>
        <rFont val="Times New Roman"/>
        <family val="1"/>
      </rPr>
      <t>vi. </t>
    </r>
    <r>
      <rPr>
        <sz val="16"/>
        <rFont val="Times New Roman"/>
        <family val="1"/>
      </rPr>
      <t>       Implementation schedule : 37 months (from stage-II approval). Cost committee noted that implementation schedule was 30 months from stage-II during previous capital cost estimation</t>
    </r>
  </si>
  <si>
    <t>Civil works cost has been prepared on the basis of DSR 2021. Cost committee noted that cost of civil works in previous capital cost estimation was based on DSR 2018.</t>
  </si>
  <si>
    <t>Refractory cost is based on various latest BQs with escalation for time lapse. Cost committee delibrated to knockdown  Silica bricks &amp; Mortar cost by 15% which is based on BQ of M/s OCL Dalmia Refractories dated 31.12.2021 as it's cost appeared on higher side.</t>
  </si>
  <si>
    <t xml:space="preserve">The committee noted that the previous Capital cost estimate for subject project was Rs. 390.46 Cr net of ITC ( base date of 3rd Quarter 2020) which was based primarily on Engineering estimates,  BQs/POs.  However, a large part of the engineering estimate was based on previous projects of rebuilding of COB with suitable escalations. </t>
  </si>
  <si>
    <t>Engineering Estimate /BQs/POs</t>
  </si>
  <si>
    <t xml:space="preserve"> For supply cost of equipment, BQ, PO &amp; engg estimates for the equipment mentioned at Sl. No. a ,b,c &amp; e have been considered.  Cost review committee noted that as per practice for coke oven battery, capital cost estimate for the subject project has been prepared primarily on the basis of engineering estimate. However, a large part of the engg est is based on recently ordered values of COB#2, RSP and capital cost estimate for COB#6 at BSL ( 02/4099, Cost Committee  on 08.09.2021) with suitable escalations. </t>
  </si>
  <si>
    <t>Erection cost of refractory is based on engineering estimate instead of normative provisions. Rate of Inspection of refractory is considered as Rs.10000/Manday for 1940 mandays and rate of refractory erection is considered Rs. 6500/Ton.</t>
  </si>
  <si>
    <t>J)</t>
  </si>
  <si>
    <t>k)</t>
  </si>
  <si>
    <t>Oven machines (Pkg-2) cost are based on  discussion of TFM (Mech.) held with M/s BEC. It concluded that rate should be about 35% raised over order price for COB#2, RSP Oven machines. As the order price of RSP is above 10% more than estimate hence, the cost committee decided to increase basic rate  for subject project  by 45%  over rate considered for  COB#2 RSP.</t>
  </si>
  <si>
    <t>l)</t>
  </si>
  <si>
    <t>m)</t>
  </si>
  <si>
    <t>Cost committee considered structure/pipes rate as prevailing market rate. Rate for Heat resistant casting is based on lead section discussion with M/s Mecon.</t>
  </si>
  <si>
    <t>Electrical cost estimation is based on engg estimate based on  BQs/Pos  and M/s. Havells price list of DEC-2021(with 20 % discount).</t>
  </si>
  <si>
    <t>P.C.&amp;A. cost estimation considered engg. Estimate , recent BQs with 10% discount and previous BQs/POs with suitable escalation on the basis of WPI (all commodities).</t>
  </si>
  <si>
    <t>Cost committee noted that  after accounting for change in scope and its associated cost, basic cost escalation due to time lapse is about 43% considering the current market scenario and location fator from previous issue of capital cost (base date 3rd Quarter 2020).</t>
  </si>
  <si>
    <r>
      <t xml:space="preserve">vii.        </t>
    </r>
    <r>
      <rPr>
        <b/>
        <u/>
        <sz val="16"/>
        <color indexed="8"/>
        <rFont val="Times New Roman"/>
        <family val="1"/>
      </rPr>
      <t>Capital cost estimate:</t>
    </r>
  </si>
  <si>
    <t xml:space="preserve"> Based on BQs</t>
  </si>
  <si>
    <t>Mr. Ajay Kumar</t>
  </si>
  <si>
    <t>CGM (Mechanical and U&amp;S)</t>
  </si>
  <si>
    <t>Normative+add. Prov. for heating etc</t>
  </si>
  <si>
    <t>Impact on total basic cost due to change in scope of subject project from previous estimate of capital cost is Rs. 60.58 Cr. Details of change in scope and its impact on basic cost is attached.</t>
  </si>
  <si>
    <t>Rs. 5.04 Cr over and above normative provisions has been considered towards equipment erection for heating up, commissioning and post commissioning charges.</t>
  </si>
  <si>
    <t>Expenditure towards Corporate Environmental Responsibility (CER) and Cost for engagement of NABET accredited Consultant for environmental clearance / Supply Package</t>
  </si>
  <si>
    <t>what about spares freight charges?</t>
  </si>
  <si>
    <t>IDC (@10%)</t>
  </si>
  <si>
    <t>Total fund incl. IDC (Rs  crore)</t>
  </si>
  <si>
    <t>Post commissioning</t>
  </si>
  <si>
    <t>Note: The above indicated cost will remain valid for 6 months w.e.f. August 2022</t>
  </si>
  <si>
    <t>Base date: 3rd Qtr 2022</t>
  </si>
  <si>
    <t>Extension of mixer bay and replacement of 02 nos mixer cranes 125+30t, span 28 m in SMS-2 (01/DE/4941)</t>
  </si>
  <si>
    <t>Basic cost  Estimation</t>
  </si>
  <si>
    <t>Rate (LC) (Rs.)</t>
  </si>
  <si>
    <t>Amount (LC) (Rs.Lakhs)</t>
  </si>
  <si>
    <t>Basis</t>
  </si>
  <si>
    <t>Package-II (Main Package)</t>
  </si>
  <si>
    <t>PLANT &amp; EQUIPMENT</t>
  </si>
  <si>
    <t>1a</t>
  </si>
  <si>
    <t>4 girder EOT crane  - 125t+30t x 28 m span
Complete with main &amp; aux. girders,trolleys, end carriages, hoists, AC, lubrication system, E-room,crane electrics etc.</t>
  </si>
  <si>
    <t>BQ - Anupam dtd. 22.07.22</t>
  </si>
  <si>
    <t>1b</t>
  </si>
  <si>
    <t>1c</t>
  </si>
  <si>
    <t>BQ-FAFECO dtd. 13.07.2022 ((Not Considered)</t>
  </si>
  <si>
    <t>1d</t>
  </si>
  <si>
    <t>Engg. Est.</t>
  </si>
  <si>
    <t>Circular magnet (65") incl. Electrics</t>
  </si>
  <si>
    <t>Repair trolley 10t</t>
  </si>
  <si>
    <t>Engg estimate based on BSP PO to Eddy Cranes Engrs Pvt Dated : 31.07.2021</t>
  </si>
  <si>
    <t>Electrical Works</t>
  </si>
  <si>
    <t>Tapping of power supply from out going terminals of two no. retrofitted (Fdr No. 5.2 &amp; Fdr No. ) 8.2 breaker cubicles in existing LT switchboard in Mixer bay ECR including the following</t>
  </si>
  <si>
    <t>ACB -2000A</t>
  </si>
  <si>
    <t>Relay</t>
  </si>
  <si>
    <t>PO No. 431695048 dated 11.07.2022 from BSP ERP</t>
  </si>
  <si>
    <t>Retrofitting of relay</t>
  </si>
  <si>
    <t>PO No. 431695048 dated 07.07.2022 from BSP ERP</t>
  </si>
  <si>
    <t>Ammeter</t>
  </si>
  <si>
    <t>PO No. 4510047681 dated 09.09.2017 from BSL ERP.</t>
  </si>
  <si>
    <t>Voltmeter</t>
  </si>
  <si>
    <t>PO No. 4510068696 dated 28.12.2021 from BSL ERP</t>
  </si>
  <si>
    <t>Current transformer</t>
  </si>
  <si>
    <t>PO No. 4140075380 dated 16.09.2021 from BSP ERP</t>
  </si>
  <si>
    <t>Internal wiring</t>
  </si>
  <si>
    <t>Engineering estimate</t>
  </si>
  <si>
    <t>TLCB panel with 2 nos. 20000A incomers &amp; one no. 2000 A buscoupler feeders</t>
  </si>
  <si>
    <t>Based on L&amp; T switchgear price list dated 10.05.2022</t>
  </si>
  <si>
    <t>DSL cost along with all fixing arrangement</t>
  </si>
  <si>
    <t>BQ-India Mills dated 27.07.22</t>
  </si>
  <si>
    <t>VFD at Eroom</t>
  </si>
  <si>
    <t xml:space="preserve">Incl. in all BQs for 4 girder EOT cranes </t>
  </si>
  <si>
    <t>Illumination on crane</t>
  </si>
  <si>
    <t>LDB</t>
  </si>
  <si>
    <t>BQ Powernet dated 15.06.2018 with escalation from 15.06.2019 to till date by 40% as per IEEMA . Added Rs. 0.26 L for escalation between 15.06.2018 to 15.06.2019.</t>
  </si>
  <si>
    <t>SLDB</t>
  </si>
  <si>
    <t xml:space="preserve">BQ Powernet dated 15.06.2018 with escalation from 15.06.2019 to till date by 40% as per IEEMA . </t>
  </si>
  <si>
    <t>High bay LED luminaires for bay extension</t>
  </si>
  <si>
    <t>PO to M/s MODULAR LIGHTING INDIA dtd. 13.04.2021</t>
  </si>
  <si>
    <t>Not to be escalated</t>
  </si>
  <si>
    <t>Repair section isolator( 2000ACB)</t>
  </si>
  <si>
    <t>Engineering calculation based on BSP PO to M/s INDUSTRIAL ASSOCIATES dated 22.03.2022</t>
  </si>
  <si>
    <t>Equipment earthing</t>
  </si>
  <si>
    <t>Cables</t>
  </si>
  <si>
    <t>1100 V XLPE insulated, aluminium conductor 3.5 C X 240 sq. mm cable from retrofitted feeder no. 5.2 &amp; 8.2 to proposed TLCB panel</t>
  </si>
  <si>
    <t>Mtrs</t>
  </si>
  <si>
    <t>1100 V XLPE insulated, aluminiumk conductor 3.5 C X 240 sq. mm cable from retrofitted feeder no. 5.2 &amp; 8.2 to proposed TLCB panel</t>
  </si>
  <si>
    <t>Cable from existing PDB at 17m to Breaker panel for proposed repair trolley</t>
  </si>
  <si>
    <t>Cable Tray</t>
  </si>
  <si>
    <t>DSR 2018 (Elec)- Chapter 4 Cable tray -Clause No. 4.1.7</t>
  </si>
  <si>
    <t>Control cable 12 core</t>
  </si>
  <si>
    <t xml:space="preserve">2 Year O&amp;M Spares </t>
  </si>
  <si>
    <t>Not Required</t>
  </si>
  <si>
    <t>Existing 4 girder EOT crane  - 125t+30t x 28 m span
Complete with main &amp; aux. girders,trolleys, end carriages, hoists, AC, lubrication system, CRD, crane electrics etc.</t>
  </si>
  <si>
    <r>
      <t>Total weight of each crane - 300 t (approx.)(</t>
    </r>
    <r>
      <rPr>
        <b/>
        <sz val="12"/>
        <rFont val="Segoe UI"/>
        <family val="2"/>
      </rPr>
      <t>Rate may be adjusted by CTE as per prevailing rate</t>
    </r>
    <r>
      <rPr>
        <sz val="12"/>
        <rFont val="Segoe UI"/>
        <family val="2"/>
      </rPr>
      <t>)</t>
    </r>
  </si>
  <si>
    <t>Hire charges for mobile/tower crane for erection/dismantling for 3 months</t>
  </si>
  <si>
    <t xml:space="preserve">BQ of Maity Brothers - MB/QT-01/21-22, Dated :-02.11.21 </t>
  </si>
  <si>
    <t>Hire charges for 250 t crane</t>
  </si>
  <si>
    <t>months</t>
  </si>
  <si>
    <t>Mobilisation charges</t>
  </si>
  <si>
    <t>Sub-Total (Crane Hire)</t>
  </si>
  <si>
    <t>(To be added in erection on and above normative erection)</t>
  </si>
  <si>
    <t>Package 1-Enabling Package (Civil &amp; Structural works)</t>
  </si>
  <si>
    <r>
      <t>Supply, fabrication,</t>
    </r>
    <r>
      <rPr>
        <strike/>
        <sz val="11"/>
        <rFont val="Segoe UI"/>
        <family val="2"/>
      </rPr>
      <t xml:space="preserve"> erection</t>
    </r>
    <r>
      <rPr>
        <sz val="11"/>
        <rFont val="Segoe UI"/>
        <family val="2"/>
      </rPr>
      <t xml:space="preserve"> and painting of steel structure (Building structure)</t>
    </r>
  </si>
  <si>
    <t>Rate may be adjusted by CTE as per prevailing rate</t>
  </si>
  <si>
    <t>Gantry rail CR 120</t>
  </si>
  <si>
    <t>Sheeting (Roof and side sheeting)</t>
  </si>
  <si>
    <t>Sqm.</t>
  </si>
  <si>
    <t>Civil Works for Equipment Foundation</t>
  </si>
  <si>
    <t>DSR 2021 Clause No.</t>
  </si>
  <si>
    <t>Excavation &amp; backfilling</t>
  </si>
  <si>
    <t>2.8.1+0.5*2.25+0.5*1.1.2 (COL 8)</t>
  </si>
  <si>
    <t>Dismantling B/w</t>
  </si>
  <si>
    <t>15.4</t>
  </si>
  <si>
    <t>PCC-M10</t>
  </si>
  <si>
    <t>4.1.5</t>
  </si>
  <si>
    <t>RCC M25</t>
  </si>
  <si>
    <t>5.33.1.1+ 3 * 5.9.1</t>
  </si>
  <si>
    <t>M30 D grout</t>
  </si>
  <si>
    <t>5.33.1.2(Increase by 10% for 6 mm down aggregate &amp; minor shuttering)</t>
  </si>
  <si>
    <t>R/f(Pile Cap and others)</t>
  </si>
  <si>
    <t>KG</t>
  </si>
  <si>
    <t>R/f(Pile)</t>
  </si>
  <si>
    <t>Bolts, Jigs and Inserts</t>
  </si>
  <si>
    <t>10.1</t>
  </si>
  <si>
    <t>600 DIA piles excluding R/F</t>
  </si>
  <si>
    <t>20.2.3</t>
  </si>
  <si>
    <t>Other civil works</t>
  </si>
  <si>
    <t>Dismantling of steel structures</t>
  </si>
  <si>
    <t>Dismantling of CGS sheeting</t>
  </si>
  <si>
    <t>BHILAI STEEL PLANT</t>
  </si>
  <si>
    <t>01/DE/4941</t>
  </si>
  <si>
    <t>Extension of mixer bay and replacement of 02 nos mixer cranes 125+30t, span 28 m in SMS-2</t>
  </si>
  <si>
    <t>Main Package  (Pkg-II)</t>
  </si>
  <si>
    <t>PHASING OF EXPENDITURE &amp; IDC (19 months from Stg.-2 approval)</t>
  </si>
  <si>
    <t>Sub-Total :(Electrical)</t>
  </si>
  <si>
    <t>Total :(Plant &amp; Eqpt.)</t>
  </si>
  <si>
    <t>Sub total :(Mechanical)</t>
  </si>
  <si>
    <t>Sub Total :(Dismantling)</t>
  </si>
  <si>
    <t>Sub-Total :(Bldg. Str.)</t>
  </si>
  <si>
    <t>Sub-Total :(Civil-Eqpt. Fdn.)</t>
  </si>
  <si>
    <t>Sub-Total :(Civil-Others)</t>
  </si>
  <si>
    <t>Sub-Total :(Dismtl.)</t>
  </si>
  <si>
    <t>how doest it compare with crane's BQ indicated cost estimation?</t>
  </si>
  <si>
    <t>Is escalation to be considered?</t>
  </si>
  <si>
    <r>
      <rPr>
        <b/>
        <u/>
        <sz val="12"/>
        <rFont val="Segoe UI"/>
        <family val="2"/>
      </rPr>
      <t>For Magnet</t>
    </r>
    <r>
      <rPr>
        <sz val="12"/>
        <rFont val="Segoe UI"/>
        <family val="2"/>
      </rPr>
      <t xml:space="preserve">
RSP PO-Electroflux  Equipment DATED: 15.01.2022. capacity factor applied and escalated 7% as per wpi-all commodities. Freight included in PO so corrected for it.
</t>
    </r>
    <r>
      <rPr>
        <b/>
        <u/>
        <sz val="12"/>
        <rFont val="Segoe UI"/>
        <family val="2"/>
      </rPr>
      <t xml:space="preserve">For Electrics (CRD,Battery back up, Rectifier Panel,etc.)
</t>
    </r>
    <r>
      <rPr>
        <sz val="12"/>
        <rFont val="Segoe UI"/>
        <family val="2"/>
      </rPr>
      <t>BQ-Elektromag Devices Pvt Ltd dated 02.08.2022</t>
    </r>
  </si>
  <si>
    <t>Havells price list dated 10.05.2022 discounted by 20% and added 5% for FRLS</t>
  </si>
  <si>
    <t>Is it to be discounted like Havell's price list?</t>
  </si>
  <si>
    <t>maybe consider as Rs.25000/Ton considering approach and height etc!</t>
  </si>
  <si>
    <t>Taken as 1200 recently (4931)</t>
  </si>
  <si>
    <t>Tech. structure 12000</t>
  </si>
  <si>
    <t>CGS sheeting 300</t>
  </si>
  <si>
    <t>DSL-151*10^5 quoted extra.</t>
  </si>
  <si>
    <t xml:space="preserve">DSL-75*10^5 quoted extra. </t>
  </si>
  <si>
    <t>DSL-42.31*10^5 quoted extra. Unloading is quoted extra… will be covered in erection.</t>
  </si>
  <si>
    <t>BQ-Mukand dtd. 13.07.2022 (Not Considered). It is inclusive of Freight FOR basis.</t>
  </si>
  <si>
    <t>Freight is quoted separately in BQ. Should it be normalised for normative provisions! Why BQ of Anupam has been selected as it is not lowest amongst 3 available BQs!</t>
  </si>
  <si>
    <t>Freight is quoted separately in BQ. Should it be normalised for normative provisions!</t>
  </si>
  <si>
    <t>Magnet-PO is for 71"-79".                   Please provide BQ of Elektromag.</t>
  </si>
  <si>
    <t>Please provide BQ</t>
  </si>
  <si>
    <t>Please provide BQ. Escalation date is different from BQ date.</t>
  </si>
  <si>
    <t>PO No. 4140078363 dated 22.03.2022 from BSP ERP. 3% escalated as per WPI-all commodities</t>
  </si>
  <si>
    <t>Quantity?</t>
  </si>
  <si>
    <t>Reply</t>
  </si>
  <si>
    <t>Freight may be normalised for normative provisions.
Technical specition mentioned in BQ of M/s Anupam is in line with our requirement and relevant IS/IPSS standards prevalent in SAIL plants. The price is also approximately matching with our engineering estimate. 
Existing crane weight and weight of crane indicated by M/s Anupam is also matching. However, it may be decided in cost committee</t>
  </si>
  <si>
    <t>Freight may be normalised for normative provisions.</t>
  </si>
  <si>
    <t>There is not much price variation between 65" &amp; 71"-79" magnet. 
BQ of Elektromag is already provided vide mail dated 06.08.2022.However, enclosed once again.</t>
  </si>
  <si>
    <t>Not required as it is Engg. Est. based on BQ</t>
  </si>
  <si>
    <t>No</t>
  </si>
  <si>
    <t>DSL price mentioned in Crane BQ is not to be considered.</t>
  </si>
  <si>
    <t>BQ is already provided. However, enclosed once again</t>
  </si>
  <si>
    <t>BQ is already provided. However, enclosed once again
Escalation has already been considered and rounded off accordingly.</t>
  </si>
  <si>
    <t>Rate may be adjusted by CTE as per prevailing rate. It may be noted that cost of Crane Hire has already been considered.</t>
  </si>
  <si>
    <t>0</t>
  </si>
  <si>
    <t>NIL, Row may be deleted</t>
  </si>
  <si>
    <t>Outcome of Cost Committee dated 22.08.22</t>
  </si>
  <si>
    <t>BQ - Anupam dtd. 22.07.22(Not Considered)</t>
  </si>
  <si>
    <t xml:space="preserve">Considered with 5% knockdown </t>
  </si>
  <si>
    <t>Engg. Est. based on crane weight as per drawing - 300 t per crane</t>
  </si>
  <si>
    <r>
      <rPr>
        <b/>
        <u/>
        <sz val="12"/>
        <rFont val="Segoe UI"/>
        <family val="2"/>
      </rPr>
      <t>For Magnet</t>
    </r>
    <r>
      <rPr>
        <sz val="12"/>
        <rFont val="Segoe UI"/>
        <family val="2"/>
      </rPr>
      <t xml:space="preserve">
RSP PO-Electroflux  Equipment DATED: 15.01.2022
</t>
    </r>
    <r>
      <rPr>
        <b/>
        <u/>
        <sz val="12"/>
        <rFont val="Segoe UI"/>
        <family val="2"/>
      </rPr>
      <t xml:space="preserve">For Electrics (CRD,Battery back up, Rectifier Panel,etc.)
</t>
    </r>
    <r>
      <rPr>
        <sz val="12"/>
        <rFont val="Segoe UI"/>
        <family val="2"/>
      </rPr>
      <t>BQ-Elektromag Devices Pvt Ltd dated 02.08.2022</t>
    </r>
  </si>
  <si>
    <t>PO No. 4140078363 dated 22.03.2022 from BSP ERP</t>
  </si>
  <si>
    <t>Discounted by 25%</t>
  </si>
  <si>
    <t>Dismantling rate considered as Rs 15000/ton</t>
  </si>
  <si>
    <t>Sheeting cost considered as Rs 1200/sq m</t>
  </si>
  <si>
    <t>Pile considered for all column foundations</t>
  </si>
  <si>
    <t>Dismantling rate considered at Rs 10000/ton</t>
  </si>
  <si>
    <t>V</t>
  </si>
  <si>
    <t>Rerouting of electrical cables &amp; provision of new cables as for rerouting of cables envisaged before dismantling of 8 mtr level platform</t>
  </si>
  <si>
    <t>1100V XLPE insulated Al. conductor, FRLS sheathed 240 sq. mm cable</t>
  </si>
  <si>
    <t>Cable rerouting to be included in enabling works package</t>
  </si>
  <si>
    <t>Cable tray with supports</t>
  </si>
  <si>
    <t>(Enabling Package)  (Pkg-I)</t>
  </si>
  <si>
    <t>BQ</t>
  </si>
  <si>
    <t>PO</t>
  </si>
  <si>
    <t>Havells price list dated 18.07.2022 discounted by 25% and added 5% for FRLS</t>
  </si>
  <si>
    <t>Engg. estimate</t>
  </si>
  <si>
    <t xml:space="preserve">4th Year </t>
  </si>
  <si>
    <t>2nd year (7 months)</t>
  </si>
  <si>
    <t>(Electrical Bus Bar)</t>
  </si>
  <si>
    <t>Total weight of each crane - 300 t (approx.)</t>
  </si>
  <si>
    <t>Quantity modified as per mail from TFL dated 26.08.2022</t>
  </si>
  <si>
    <t>Engineering estimate at Rs 5 lakh/Ton</t>
  </si>
  <si>
    <t>Havells price list dated 10.05.2022 discounted by 25% and added 5% for FRLS</t>
  </si>
  <si>
    <t>BQ-Mukand dtd. 13.07.2022 (Considered). Cost committee  considered with 5% knockdown</t>
  </si>
  <si>
    <t xml:space="preserve">Ref. No.: CET-17(4)/3579/ 180 </t>
  </si>
  <si>
    <t>Date: 05.11.2022</t>
  </si>
  <si>
    <t>TS No.: CET/02/RN/3579/TS/UT/01/R=3, October 2021</t>
  </si>
  <si>
    <t xml:space="preserve">Design &amp; Engineering </t>
  </si>
  <si>
    <t>Civil Engineering Work including all related supplies- Others</t>
  </si>
  <si>
    <t xml:space="preserve">Storage, Handling, Erection (including dismantling ) of Plant &amp; Equipments &amp; Refractories including Commisioning and PG tests of the facilities </t>
  </si>
  <si>
    <t>Storage, Handling and Erection of Building Steel Structures</t>
  </si>
  <si>
    <r>
      <rPr>
        <b/>
        <u/>
        <sz val="12"/>
        <rFont val="Arial"/>
        <family val="2"/>
      </rPr>
      <t>Foreign</t>
    </r>
    <r>
      <rPr>
        <sz val="12"/>
        <rFont val="Arial"/>
        <family val="2"/>
      </rPr>
      <t xml:space="preserve"> Supervision charges in India during erection, startup, commissioning and PG test </t>
    </r>
    <r>
      <rPr>
        <b/>
        <sz val="12"/>
        <rFont val="Arial"/>
        <family val="2"/>
      </rPr>
      <t>for ____mandays</t>
    </r>
  </si>
  <si>
    <t>Training charges:                                                                    (a) For ___________ Foreign mandays,                                                   (b) For ___________Indian mandays</t>
  </si>
  <si>
    <t xml:space="preserve">Customs, Port clearance (excluding duties &amp; cess to be paid by Employer) and Inland transportation (for all items quoted in foreign currency) </t>
  </si>
  <si>
    <t>Supply of 2 years O &amp; M spares</t>
  </si>
  <si>
    <t>BCD @5%  on CIF</t>
  </si>
  <si>
    <t>Sub-total (15)</t>
  </si>
  <si>
    <t>Input tax credit (ITC) for GST</t>
  </si>
  <si>
    <t>Package cost net of ITC for GST</t>
  </si>
  <si>
    <t>This is a computer generated document. This does not require signature.</t>
  </si>
  <si>
    <t xml:space="preserve">Erection of  Refractories </t>
  </si>
  <si>
    <t>Supply of 2 years O&amp;M spares</t>
  </si>
  <si>
    <t>ITC for GST</t>
  </si>
  <si>
    <t>PACKAGE COST ESTIMATE  (Pkg-I)(Enabling Package)</t>
  </si>
  <si>
    <t>Package-Enabling Package-Electrical Works</t>
  </si>
  <si>
    <t>S. No</t>
  </si>
  <si>
    <t>Qty</t>
  </si>
  <si>
    <t>Rate (Rs)</t>
  </si>
  <si>
    <t>Amount</t>
  </si>
  <si>
    <t>CABLING</t>
  </si>
  <si>
    <t>E-1</t>
  </si>
  <si>
    <r>
      <t xml:space="preserve">Identification &amp; dismantling of cables from </t>
    </r>
    <r>
      <rPr>
        <sz val="12"/>
        <color theme="1"/>
        <rFont val="Segoe UI"/>
        <family val="2"/>
      </rPr>
      <t>LT feeders in S/S 26G (Mixer ECR, for supply 1&amp;2) to TLCB panel room (in B row, Column 9)</t>
    </r>
  </si>
  <si>
    <t>4 runs of 200mtr each (for TLCB incomer#1 power supply)</t>
  </si>
  <si>
    <t>&amp;</t>
  </si>
  <si>
    <t>4 runs of 200mtr each (for TLCB incomer#2 power supply)</t>
  </si>
  <si>
    <t>E-2</t>
  </si>
  <si>
    <t xml:space="preserve">Supply, laying and termination of cables from outgoing terminals of LT feeders in S/S 26G (Mixer ECR, for supply 1&amp;2) to incoming terminals of TLCB 1&amp;2 in TLCB panel room (in B row, Column 9). </t>
  </si>
  <si>
    <t>Cables shall be 1.1 kV grade, 3.5C * 185sq.mm aluminium conductor, XLPE insulated, PVC sheathed, armoured, FRLS PVC outer sheathed power cables.</t>
  </si>
  <si>
    <t>4 runs of 220mtr each (for TLCB incomer#1 power supply)</t>
  </si>
  <si>
    <t>4 runs of 220mtr each (for TLCB incomer#2 power supply)</t>
  </si>
  <si>
    <t>E-3</t>
  </si>
  <si>
    <t>Supply &amp; laying of 150 mm GI ladder type cable tray for power cables of size 3.5C * 185sq.mm aluminium conductor, XLPE insulated, PVC sheathed, armoured, FRLS PVC outer sheathed power cables.</t>
  </si>
  <si>
    <t>Length 220mtr (for TLCB incomer#1 power supply)</t>
  </si>
  <si>
    <t>Length 220mtr (for TLCB incomer#2 power supply)</t>
  </si>
  <si>
    <t>AST</t>
  </si>
  <si>
    <t>SUBTOTAL A: CABLING</t>
  </si>
  <si>
    <t>LOT</t>
  </si>
  <si>
    <t>E-4</t>
  </si>
  <si>
    <t>Power earthing system: Connection of the cable trays &amp; conduits at 2 points to existing earth grid with   25 X 6 mm GI flat</t>
  </si>
  <si>
    <t>DSR 2018 (Elec)</t>
  </si>
  <si>
    <t>2 nos. of 20 mtr each</t>
  </si>
  <si>
    <t>BST</t>
  </si>
  <si>
    <t>SUBTOTAL B: PLANT &amp; EQUIPMENT</t>
  </si>
  <si>
    <t>Ruppees Thirty seven lakhs &amp; seventy one thousand only</t>
  </si>
  <si>
    <t>(In Lacs)</t>
  </si>
  <si>
    <t>S-1</t>
  </si>
  <si>
    <r>
      <t>Preparation of fabrication drawings</t>
    </r>
    <r>
      <rPr>
        <sz val="12"/>
        <color theme="1"/>
        <rFont val="Segoe UI"/>
        <family val="2"/>
      </rPr>
      <t xml:space="preserve"> based on the GA drawings issued by the employer, </t>
    </r>
    <r>
      <rPr>
        <b/>
        <sz val="12"/>
        <color theme="1"/>
        <rFont val="Segoe UI"/>
        <family val="2"/>
      </rPr>
      <t>Supply</t>
    </r>
    <r>
      <rPr>
        <sz val="12"/>
        <color theme="1"/>
        <rFont val="Segoe UI"/>
        <family val="2"/>
      </rPr>
      <t xml:space="preserve"> </t>
    </r>
    <r>
      <rPr>
        <b/>
        <sz val="12"/>
        <color theme="1"/>
        <rFont val="Segoe UI"/>
        <family val="2"/>
      </rPr>
      <t>all structural steel</t>
    </r>
    <r>
      <rPr>
        <sz val="12"/>
        <color theme="1"/>
        <rFont val="Segoe UI"/>
        <family val="2"/>
      </rPr>
      <t xml:space="preserve">, loading, transportation, unloading to place of fabrication, </t>
    </r>
    <r>
      <rPr>
        <b/>
        <sz val="12"/>
        <color theme="1"/>
        <rFont val="Segoe UI"/>
        <family val="2"/>
      </rPr>
      <t>fabrication</t>
    </r>
    <r>
      <rPr>
        <sz val="12"/>
        <color theme="1"/>
        <rFont val="Segoe UI"/>
        <family val="2"/>
      </rPr>
      <t xml:space="preserve"> of all structures, welding including supply of electrodes other consumable, supply of fasteners and fixtures with  Bidder’s own tools, tackles, equipment, labour etc. as per fabrication drawings and specifications, inspection, testing and applying one coat of primer (including supply of primer) as per specifications, delivery of fabricated structures from  fabrication yard to the site of erection including handling, storing, stacking with  Bidder’s own tools, tackles, consumable, equipment, labour etc. complete as directed by the Engineer in charge. The quantity for payment shall be as per bill of material [BOM] of final fabrication drawings. (No payment shall be made towards wastage generated due to rolling margins, burning losses, cutting allowances, scrap generation etc.).</t>
    </r>
  </si>
  <si>
    <t>T</t>
  </si>
  <si>
    <t>S-2</t>
  </si>
  <si>
    <r>
      <t xml:space="preserve">Taking delivery of fabricated structures, as in S-1 at erection site  including handling, storing, stacking, site assembly etc. </t>
    </r>
    <r>
      <rPr>
        <b/>
        <i/>
        <sz val="12"/>
        <color theme="1"/>
        <rFont val="Segoe UI"/>
        <family val="2"/>
      </rPr>
      <t>erection</t>
    </r>
    <r>
      <rPr>
        <sz val="12"/>
        <color theme="1"/>
        <rFont val="Segoe UI"/>
        <family val="2"/>
      </rPr>
      <t xml:space="preserve"> of fabricated structures, as in </t>
    </r>
    <r>
      <rPr>
        <sz val="10"/>
        <color theme="1"/>
        <rFont val="Segoe UI"/>
        <family val="2"/>
      </rPr>
      <t xml:space="preserve"> </t>
    </r>
    <r>
      <rPr>
        <sz val="12"/>
        <color theme="1"/>
        <rFont val="Segoe UI"/>
        <family val="2"/>
      </rPr>
      <t>S-1 and fixing in position including alignment, levelling, securing, fixing, bolting, welding, checking, gas cutting, grinding, matching with the other structures etc. at all heights complete in all respects,  applying one coat of primer and two coats of finish paints (including supply  of primer &amp; finish paint) including supply of all consumables,  as per specification and final GA drawings or as directed by the Engineer-in-Charge with Bidder’s own tools, tackles, temporary support, scaffolding, equipment, labour etc. complete.</t>
    </r>
  </si>
  <si>
    <t>S-3</t>
  </si>
  <si>
    <r>
      <t>Preparation of GA, marking and detail fabrication drawings</t>
    </r>
    <r>
      <rPr>
        <sz val="12"/>
        <color theme="1"/>
        <rFont val="Segoe UI"/>
        <family val="2"/>
      </rPr>
      <t xml:space="preserve"> based on design drawings supplied by the Purchaser, </t>
    </r>
    <r>
      <rPr>
        <b/>
        <sz val="12"/>
        <color theme="1"/>
        <rFont val="Segoe UI"/>
        <family val="2"/>
      </rPr>
      <t>supply</t>
    </r>
    <r>
      <rPr>
        <sz val="12"/>
        <color theme="1"/>
        <rFont val="Segoe UI"/>
        <family val="2"/>
      </rPr>
      <t xml:space="preserve"> of all steel structural </t>
    </r>
    <r>
      <rPr>
        <b/>
        <i/>
        <u/>
        <sz val="12"/>
        <color theme="1"/>
        <rFont val="Segoe UI"/>
        <family val="2"/>
      </rPr>
      <t>rails</t>
    </r>
    <r>
      <rPr>
        <sz val="12"/>
        <color theme="1"/>
        <rFont val="Segoe UI"/>
        <family val="2"/>
      </rPr>
      <t xml:space="preserve"> including fixtures, loading, transportation, unloading to place of fabrication, </t>
    </r>
    <r>
      <rPr>
        <b/>
        <i/>
        <sz val="12"/>
        <color theme="1"/>
        <rFont val="Segoe UI"/>
        <family val="2"/>
      </rPr>
      <t>fabrication</t>
    </r>
    <r>
      <rPr>
        <sz val="12"/>
        <color theme="1"/>
        <rFont val="Segoe UI"/>
        <family val="2"/>
      </rPr>
      <t xml:space="preserve"> of all items, welding including  supply  of electrodes and required all consumable as per final fabrication drawings and specifications, inspection, testing and applying one coat of specified quality primer (including supply of primer) as per specifications (bottom half of rails below head and fixtures shall be painted) and delivery of fabricated structures from  fabrication yard to the site of erection including handling, storing, stacking with  Bidder's own tools, tackles, consumable, handling equipment, labour etc. complete as directed by the Engineer in charge. (The rate for supply &amp; fabrication shall include burning losses, cutting allowances, scrap generation etc. The quantity for payment shall be as per BOM (Bill of material) of finalized fabrication drawings. No payment shall be made for rolling margins, burning losses, cutting allowances, scrap generation etc).</t>
    </r>
  </si>
  <si>
    <t>S-4</t>
  </si>
  <si>
    <r>
      <t>Supply, laying &amp; fixing</t>
    </r>
    <r>
      <rPr>
        <sz val="12"/>
        <color theme="1"/>
        <rFont val="Segoe UI"/>
        <family val="2"/>
      </rPr>
      <t xml:space="preserve"> of </t>
    </r>
    <r>
      <rPr>
        <b/>
        <sz val="12"/>
        <color theme="1"/>
        <rFont val="Segoe UI"/>
        <family val="2"/>
      </rPr>
      <t>CGS sheeting</t>
    </r>
    <r>
      <rPr>
        <sz val="12"/>
        <color theme="1"/>
        <rFont val="Segoe UI"/>
        <family val="2"/>
      </rPr>
      <t xml:space="preserve"> work at all heights in sides and roof, including transporting, cutting, placing, holing including supply &amp; fixing of all fixtures as per drawings/ specifications and as directed by Engineer in Charge with Bidder’s own tools, tackles, temporary support, scaffolding, handling equipment, labour etc. complete (net covered surface area of sheeting work shall be measured and considered for payment purpose).</t>
    </r>
  </si>
  <si>
    <t>Sqm</t>
  </si>
  <si>
    <t>S-5</t>
  </si>
  <si>
    <r>
      <t>Supply, laying &amp; fixing</t>
    </r>
    <r>
      <rPr>
        <sz val="12"/>
        <color theme="1"/>
        <rFont val="Segoe UI"/>
        <family val="2"/>
      </rPr>
      <t xml:space="preserve"> of </t>
    </r>
    <r>
      <rPr>
        <b/>
        <sz val="12"/>
        <color theme="1"/>
        <rFont val="Segoe UI"/>
        <family val="2"/>
      </rPr>
      <t>Galvanized plain</t>
    </r>
    <r>
      <rPr>
        <sz val="12"/>
        <color theme="1"/>
        <rFont val="Segoe UI"/>
        <family val="2"/>
      </rPr>
      <t xml:space="preserve"> steel sheet flashing work at ridges in roofs and corners, including transporting, cutting, placing, holing including supply &amp; fixing of all fixtures as per drawings/ specifications and as directed by Engineer in Charge with Bidder’s own tools, tackles, temporary support, scaffolding, handling equipment, labour etc. complete (net covered surface area of sheeting work shall be measured and considered for payment purpose).</t>
    </r>
  </si>
  <si>
    <t>S-6</t>
  </si>
  <si>
    <r>
      <t>Dismantling</t>
    </r>
    <r>
      <rPr>
        <sz val="12"/>
        <color theme="1"/>
        <rFont val="Segoe UI"/>
        <family val="2"/>
      </rPr>
      <t xml:space="preserve">, with due care, the </t>
    </r>
    <r>
      <rPr>
        <b/>
        <sz val="12"/>
        <color theme="1"/>
        <rFont val="Segoe UI"/>
        <family val="2"/>
      </rPr>
      <t>existing steelwork</t>
    </r>
    <r>
      <rPr>
        <sz val="12"/>
        <color theme="1"/>
        <rFont val="Segoe UI"/>
        <family val="2"/>
      </rPr>
      <t xml:space="preserve"> as per specification and / or as per drawing and /or as per direction of Engineer-in-charge at all heights and levels including loading, transporting, unloading and stacking the dismantled structures at a specified location (within plant boundary and within 5 km from site) as directed by the Engineer in charge with all tools, tackles, temporary support, scaffolding, equipment, labour complete (Payment shall be made on the basis of actual measurement of dismantled structures at site).</t>
    </r>
  </si>
  <si>
    <t>S-7</t>
  </si>
  <si>
    <r>
      <t>Dismantling,</t>
    </r>
    <r>
      <rPr>
        <sz val="12"/>
        <color theme="1"/>
        <rFont val="Segoe UI"/>
        <family val="2"/>
      </rPr>
      <t xml:space="preserve"> with due care, the </t>
    </r>
    <r>
      <rPr>
        <b/>
        <sz val="12"/>
        <color theme="1"/>
        <rFont val="Segoe UI"/>
        <family val="2"/>
      </rPr>
      <t>existing sheeting work</t>
    </r>
    <r>
      <rPr>
        <sz val="12"/>
        <color theme="1"/>
        <rFont val="Segoe UI"/>
        <family val="2"/>
      </rPr>
      <t xml:space="preserve"> as per specification and or as per design drawing or as per direction of Engineer-in-charge at all heights and levels including loading, transporting, unloading and stacking the dismantled sheet at a specified location (within plant boundary and within 10 km from site) as directed by the Engineer in-charge with all tools, tackles, temporary support, scaffolding, equipment, labour complete (net laid area of sheeting shall be considered for dismantled quantity for payment)</t>
    </r>
  </si>
  <si>
    <t>sqm</t>
  </si>
  <si>
    <t>DSR Clause</t>
  </si>
  <si>
    <t>DIS-1</t>
  </si>
  <si>
    <r>
      <t>Dismantling existing RCC</t>
    </r>
    <r>
      <rPr>
        <sz val="12"/>
        <color theme="1"/>
        <rFont val="Segoe UI"/>
        <family val="2"/>
      </rPr>
      <t xml:space="preserve"> work manually/ by mechanical means including stacking of steel bars and disposal of unserviceable material within 50 metres lead as per direction of Engineer - in- charge.The item includes loading, transportation, unloading, stacking, spreading etc. complete up to a lead of 5.0kms from work site. </t>
    </r>
  </si>
  <si>
    <t>15.3</t>
  </si>
  <si>
    <t>DIS-2</t>
  </si>
  <si>
    <r>
      <t>Dismantling existing PCC</t>
    </r>
    <r>
      <rPr>
        <sz val="12"/>
        <color theme="1"/>
        <rFont val="Segoe UI"/>
        <family val="2"/>
      </rPr>
      <t xml:space="preserve"> work manually/ by mechanical means including stacking of steel bars and disposal of unserviceable material within 50 metres lead as per direction of Engineer - in- charge. The item includes loading, transportation, unloading, stacking, spreading etc. complete up to a lead of 5.0kms from work site.</t>
    </r>
  </si>
  <si>
    <t>15.2.1</t>
  </si>
  <si>
    <t>DIS-3</t>
  </si>
  <si>
    <r>
      <t>Demolishing brick work</t>
    </r>
    <r>
      <rPr>
        <sz val="12"/>
        <color theme="1"/>
        <rFont val="Segoe UI"/>
        <family val="2"/>
      </rPr>
      <t xml:space="preserve"> manually/ by mechanical means including stacking of serviceable material and disposal of unserviceable material within 50 metres lead as per direction of Engineer-in-charge. The item includes loading, transportation, unloading, stacking, spreading etc. complete up to a lead of 5.0kms from work site.</t>
    </r>
  </si>
  <si>
    <t>EARTHWORK</t>
  </si>
  <si>
    <t>EW-1</t>
  </si>
  <si>
    <r>
      <t>Earth work in excavation</t>
    </r>
    <r>
      <rPr>
        <sz val="12"/>
        <color theme="1"/>
        <rFont val="Segoe UI"/>
        <family val="2"/>
      </rPr>
      <t>, including pumping and bailing out sub-soil water / storm water / any other water accidentally present, slush removal, slag/ scrap iron/metal removal, etc. complete</t>
    </r>
    <r>
      <rPr>
        <b/>
        <sz val="12"/>
        <color theme="1"/>
        <rFont val="Segoe UI"/>
        <family val="2"/>
      </rPr>
      <t xml:space="preserve"> </t>
    </r>
    <r>
      <rPr>
        <sz val="12"/>
        <color theme="1"/>
        <rFont val="Segoe UI"/>
        <family val="2"/>
      </rPr>
      <t>in all kinds of soil including the existing layers of ground which may consist of dust, dirt, rubbish, in compacted &amp; as it is condition of thickness whatsoever both in dry &amp; wet conditions etc., by mechanical means (Hydraulic excavator) / manual means, in all kinds of soil, in foundation trenches or drains, including dressing of sides and ramming of bottoms, including getting out the excavated soil and disposal of surplus excavated soil as directed, within a lead of 50 m. (Lift up to 3.0m)</t>
    </r>
  </si>
  <si>
    <t>2.8.1</t>
  </si>
  <si>
    <t>EW-2</t>
  </si>
  <si>
    <r>
      <t>Filling available excavated earth</t>
    </r>
    <r>
      <rPr>
        <sz val="12"/>
        <color theme="1"/>
        <rFont val="Segoe UI"/>
        <family val="2"/>
      </rPr>
      <t xml:space="preserve"> (excluding rock) in trenches, plinth, sides of foundations etc. in layers not exceeding 20cm in depth, consolidating each deposited layer by ramming and watering, lead up to 50 m and lift upto 3.0 m.</t>
    </r>
  </si>
  <si>
    <t>2.25</t>
  </si>
  <si>
    <t>EW-3</t>
  </si>
  <si>
    <r>
      <t xml:space="preserve">Transportation of surplus excavated earth </t>
    </r>
    <r>
      <rPr>
        <sz val="12"/>
        <color theme="1"/>
        <rFont val="Segoe UI"/>
        <family val="2"/>
      </rPr>
      <t>from the stacked heap and disposal of the same to location as directed by engineer in-charge, lead upto 5Km from the initial lead of 100m of item no EW-1 above with all operation such as excavation, loading, dressing, and leveling of disposed off heap, all labour, materials transport tools and tackles complete.</t>
    </r>
  </si>
  <si>
    <t>1.1.2(8)</t>
  </si>
  <si>
    <t>EW-4</t>
  </si>
  <si>
    <r>
      <t>Supplying and filling in plinth with sand</t>
    </r>
    <r>
      <rPr>
        <sz val="12"/>
        <color theme="1"/>
        <rFont val="Segoe UI"/>
        <family val="2"/>
      </rPr>
      <t xml:space="preserve"> under floors, including watering, ramming, consolidating, and dressing complete.</t>
    </r>
  </si>
  <si>
    <t>2.27</t>
  </si>
  <si>
    <t>EW-5</t>
  </si>
  <si>
    <r>
      <t>Surface dressing</t>
    </r>
    <r>
      <rPr>
        <sz val="12"/>
        <color theme="1"/>
        <rFont val="Segoe UI"/>
        <family val="2"/>
      </rPr>
      <t xml:space="preserve"> of the ground, in all kinds of soil, including removing vegetation and inequalities not exceeding 15 cm deep and disposal of rubbish, lead up to 50 m and lift up to 1.5 m.</t>
    </r>
  </si>
  <si>
    <t>2.28</t>
  </si>
  <si>
    <t>PILING WORK</t>
  </si>
  <si>
    <t>P-1</t>
  </si>
  <si>
    <r>
      <t>Mobilization of piling rigs,</t>
    </r>
    <r>
      <rPr>
        <sz val="12"/>
        <color theme="1"/>
        <rFont val="Segoe UI"/>
        <family val="2"/>
      </rPr>
      <t xml:space="preserve"> equipment, accessories, test rigs &amp; fixtures and personnel etc., whatsoever numbers required and for Piles of all dia as per the requirements, including transportation of above to site, erection of piling rigs at site and dismantling and transportation back of the all the equipment on completion of the work, complete, in all respect to the satisfaction of Engineer-in-Charge</t>
    </r>
  </si>
  <si>
    <t>Engg. Estimate</t>
  </si>
  <si>
    <t>P-2</t>
  </si>
  <si>
    <t>Boring, providing and installation bored cast-in-situ reinforced cement concrete piles of grade M-25 of 600 mm diameter and specified length below the pile cap, to carry a safe working load not less than specified, excluding the cost of steel reinforcement but including the cost of boring with bentonite solution and temporary casing of appropriate length for setting out and removal of same and the length of the pile to be embedded in the pile cap etc. by percussion drilling using Direct mud circulation (DMC) or Bailer and chisel technique by tripod and mechanical Winch Machine all complete, including removal of excavated earth with all its lifts and leads (length of pile for payment shall be measured up to bottom of pile cap)</t>
  </si>
  <si>
    <t>P-3</t>
  </si>
  <si>
    <r>
      <t xml:space="preserve">Providing, supplying, cutting, bending, fabricating and placing in position </t>
    </r>
    <r>
      <rPr>
        <b/>
        <sz val="12"/>
        <color theme="1"/>
        <rFont val="Segoe UI"/>
        <family val="2"/>
      </rPr>
      <t>reinforcement cage</t>
    </r>
    <r>
      <rPr>
        <sz val="12"/>
        <color theme="1"/>
        <rFont val="Segoe UI"/>
        <family val="2"/>
      </rPr>
      <t xml:space="preserve"> with </t>
    </r>
    <r>
      <rPr>
        <b/>
        <sz val="12"/>
        <color theme="1"/>
        <rFont val="Segoe UI"/>
        <family val="2"/>
      </rPr>
      <t>TMT/CTD</t>
    </r>
    <r>
      <rPr>
        <sz val="12"/>
        <color theme="1"/>
        <rFont val="Segoe UI"/>
        <family val="2"/>
      </rPr>
      <t xml:space="preserve"> bars conforming to </t>
    </r>
    <r>
      <rPr>
        <b/>
        <sz val="12"/>
        <color theme="1"/>
        <rFont val="Segoe UI"/>
        <family val="2"/>
      </rPr>
      <t>IS:1786-2008</t>
    </r>
    <r>
      <rPr>
        <sz val="12"/>
        <color theme="1"/>
        <rFont val="Segoe UI"/>
        <family val="2"/>
      </rPr>
      <t>, having a minimum yield strength of 500 N/mm</t>
    </r>
    <r>
      <rPr>
        <vertAlign val="superscript"/>
        <sz val="12"/>
        <color theme="1"/>
        <rFont val="Segoe UI"/>
        <family val="2"/>
      </rPr>
      <t>2</t>
    </r>
    <r>
      <rPr>
        <sz val="12"/>
        <color theme="1"/>
        <rFont val="Segoe UI"/>
        <family val="2"/>
      </rPr>
      <t xml:space="preserve"> of specified diameter and helical / spiral stirrups including binding with </t>
    </r>
    <r>
      <rPr>
        <b/>
        <sz val="12"/>
        <color theme="1"/>
        <rFont val="Segoe UI"/>
        <family val="2"/>
      </rPr>
      <t>20 SWG</t>
    </r>
    <r>
      <rPr>
        <sz val="12"/>
        <color theme="1"/>
        <rFont val="Segoe UI"/>
        <family val="2"/>
      </rPr>
      <t xml:space="preserve"> wire and welding with longitudinal reinforcement with sufficient number of 1:2 cement sand mortar cover blocks, lifting the cage and placing the same within the casing tube true to vertical with all labour, material, tools, tackles, etc., complete as per the direction of the Engineer-in-Charge.</t>
    </r>
  </si>
  <si>
    <t>MT</t>
  </si>
  <si>
    <t>P-4</t>
  </si>
  <si>
    <r>
      <t xml:space="preserve">Providing, driving/ placing in position </t>
    </r>
    <r>
      <rPr>
        <b/>
        <sz val="12"/>
        <color theme="1"/>
        <rFont val="Segoe UI"/>
        <family val="2"/>
      </rPr>
      <t>MS permanent casing</t>
    </r>
    <r>
      <rPr>
        <sz val="12"/>
        <color theme="1"/>
        <rFont val="Segoe UI"/>
        <family val="2"/>
      </rPr>
      <t xml:space="preserve"> for pile with all material, labour, fabrication, tools, tackles etc. complete.(first row of pile adjacent to railway tracks shall be provided with permanent MS casing)</t>
    </r>
  </si>
  <si>
    <t>P-5</t>
  </si>
  <si>
    <r>
      <t>Load testing of piles</t>
    </r>
    <r>
      <rPr>
        <sz val="12"/>
        <color theme="1"/>
        <rFont val="Segoe UI"/>
        <family val="2"/>
      </rPr>
      <t xml:space="preserve"> in accordance with IS 2911 (Part IV) including installation of loading platform by Kentledge/Anchor piles method and preparation of pile head or construction of test cap and dismantling of test cap after test, provision of jacks &amp; jacking platform, dial guages etc. along with recording &amp; maintaining test data such as loads, settlement complete as per specification &amp; the direction of Engineer in-charge </t>
    </r>
  </si>
  <si>
    <r>
      <t>Note: 1</t>
    </r>
    <r>
      <rPr>
        <sz val="12"/>
        <color theme="1"/>
        <rFont val="Segoe UI"/>
        <family val="2"/>
      </rPr>
      <t>. Initial and Routine Load Test shall not be carried out by Dynamic method of testing.</t>
    </r>
  </si>
  <si>
    <r>
      <t>Note: 2</t>
    </r>
    <r>
      <rPr>
        <sz val="12"/>
        <color theme="1"/>
        <rFont val="Segoe UI"/>
        <family val="2"/>
      </rPr>
      <t>. Testing agency shall submit the design of loading platform for the approval of Engineer-in-charge.</t>
    </r>
  </si>
  <si>
    <r>
      <t>Note: 3</t>
    </r>
    <r>
      <rPr>
        <sz val="12"/>
        <color theme="1"/>
        <rFont val="Segoe UI"/>
        <family val="2"/>
      </rPr>
      <t>. A separate pile in the vicinity of project site shall be constructed for carrying out initial load test &amp; pull out test and the cost towards construction of this pile shall be taken separately as per relevant item.</t>
    </r>
  </si>
  <si>
    <r>
      <t>Note: 4</t>
    </r>
    <r>
      <rPr>
        <sz val="12"/>
        <color theme="1"/>
        <rFont val="Segoe UI"/>
        <family val="2"/>
      </rPr>
      <t>. Routine load test shall be carried out on the working pile for the project as per direction of EIC.</t>
    </r>
  </si>
  <si>
    <t>Initial test (Test Load 2.5 times the Safe capacity)</t>
  </si>
  <si>
    <t>20.6.2.1</t>
  </si>
  <si>
    <t>Routine test (Test Load 1.5 times the Safe capacity)</t>
  </si>
  <si>
    <t>20.6.2.2</t>
  </si>
  <si>
    <t>Pull out test as per IS 2911</t>
  </si>
  <si>
    <t>CONCRETE WORK</t>
  </si>
  <si>
    <t>C-1</t>
  </si>
  <si>
    <t>Providing and laying in position cement concrete of specified grade excluding the cost of centering and shuttering – All work up to plinth level : 1:3:6 (1 Cement : 3 coarse sand (zone-III) : 6 graded stone aggregate 20 mm nominal size). The work shall include staging/scaffolding and all related bye works, including supply of materials and labour complete.</t>
  </si>
  <si>
    <t>C-2</t>
  </si>
  <si>
    <t>Providing and placing grouting under the base plate with concrete grade M-30 with 10 mm and down nominal size coarse aggregate including necessary level pads, shuttering, rodding, vibrating etc complete.</t>
  </si>
  <si>
    <t>C-3</t>
  </si>
  <si>
    <t>Providing and laying in position machine batched and machine mixed design mix M-25 grade cement concrete for reinforced cement concrete work, using cement content as per approved design mix, including pumping of concrete to site of laying but excluding the cost of centering, shuttering, finishing and reinforcement, including admixtures in recommended proportions as per IS: 9103 to accelerate, retard setting of concrete, improve workability without impairing strength and durability as per direction of Engineer-in-charge. The work shall include staging/scaffolding and all related bye works, including supply of materials and labour complete.</t>
  </si>
  <si>
    <t>5.33.1.1</t>
  </si>
  <si>
    <t>C-4</t>
  </si>
  <si>
    <r>
      <t xml:space="preserve">Providing, supplying, cutting, bending, and placing in position </t>
    </r>
    <r>
      <rPr>
        <b/>
        <sz val="12"/>
        <color theme="1"/>
        <rFont val="Segoe UI"/>
        <family val="2"/>
      </rPr>
      <t xml:space="preserve">reinforcement </t>
    </r>
    <r>
      <rPr>
        <sz val="12"/>
        <color theme="1"/>
        <rFont val="Segoe UI"/>
        <family val="2"/>
      </rPr>
      <t xml:space="preserve">with </t>
    </r>
    <r>
      <rPr>
        <b/>
        <sz val="12"/>
        <color theme="1"/>
        <rFont val="Segoe UI"/>
        <family val="2"/>
      </rPr>
      <t>TMT/CTD</t>
    </r>
    <r>
      <rPr>
        <sz val="12"/>
        <color theme="1"/>
        <rFont val="Segoe UI"/>
        <family val="2"/>
      </rPr>
      <t xml:space="preserve"> bars conforming to </t>
    </r>
    <r>
      <rPr>
        <b/>
        <sz val="12"/>
        <color theme="1"/>
        <rFont val="Segoe UI"/>
        <family val="2"/>
      </rPr>
      <t>IS:1786-2008</t>
    </r>
    <r>
      <rPr>
        <sz val="12"/>
        <color theme="1"/>
        <rFont val="Segoe UI"/>
        <family val="2"/>
      </rPr>
      <t>, having a minimum yield strength of 500 N/mm</t>
    </r>
    <r>
      <rPr>
        <vertAlign val="superscript"/>
        <sz val="12"/>
        <color theme="1"/>
        <rFont val="Segoe UI"/>
        <family val="2"/>
      </rPr>
      <t>2</t>
    </r>
    <r>
      <rPr>
        <sz val="12"/>
        <color theme="1"/>
        <rFont val="Segoe UI"/>
        <family val="2"/>
      </rPr>
      <t xml:space="preserve"> of specified diameter including binding with </t>
    </r>
    <r>
      <rPr>
        <b/>
        <sz val="12"/>
        <color theme="1"/>
        <rFont val="Segoe UI"/>
        <family val="2"/>
      </rPr>
      <t>20 SWG</t>
    </r>
    <r>
      <rPr>
        <sz val="12"/>
        <color theme="1"/>
        <rFont val="Segoe UI"/>
        <family val="2"/>
      </rPr>
      <t xml:space="preserve"> wire and welding with longitudinal reinforcement with sufficient number of 1:2 cement sand mortar cover blocks, etc. complete as per direction of EIC</t>
    </r>
  </si>
  <si>
    <t>MISCELLANEOUS</t>
  </si>
  <si>
    <t>MIS-1</t>
  </si>
  <si>
    <t>Open timbering in trenches including strutting and shoring complete (measurements to be taken of the face area timbered) for Depth exceeding 1.5 m but not exceeding 3 m</t>
  </si>
  <si>
    <t>2.20.2</t>
  </si>
  <si>
    <t>MIS-2</t>
  </si>
  <si>
    <t>Providing and placing in position precast reinforced cement concrete waffle units, square or rectangular, as per design and shape for floors and roofs in 1:1½:3 (1 Cement : 1½ coarse sand (zone-III) : 3 graded stone aggregate 10 mm nominal size), including flush or deep ruled pointing at joints in Cement mortar 1:2 (1 Cement : 2 Fine sand), making necessary holes of required sizes for carrying through service lines etc., providing steel hooks for lifting etc, form work in precasting, handling, hoisting, centering and erection complete for all floor levels but, excluding the cost of reinforcement.</t>
  </si>
  <si>
    <t>MIS-3</t>
  </si>
  <si>
    <t>Providing, supplying, fabricating, and fixing in position as per drawings and specifications bolts, inserts, jigs, fixtures, channels, edge protection angles, beams, irrecoverable shuttering etc. (conforming to IS: 2062-2011) as per detail fabrication and shuttering drawing in all positions including all by work and adjustments in shuttering at all levels, cleaning of grease /paint, removal of burrs, etc. there from and welding wherever necessary and inclusive of grouting with neat cement sand slurry with all labour, material etc. complete.</t>
  </si>
  <si>
    <t>D&amp;E</t>
  </si>
  <si>
    <t>GST  per unit (Rs.)</t>
  </si>
  <si>
    <t>ITC on Account of GST per Unit (Rs.)</t>
  </si>
  <si>
    <t>Total Price per  unit on net of ITC basis (Rs.)</t>
  </si>
  <si>
    <t>Total Price including GST (Rs.)</t>
  </si>
  <si>
    <t>Total Price on net of ITC basis (Rs.)</t>
  </si>
  <si>
    <t>Effective Rate Per unit (Rs.)</t>
  </si>
  <si>
    <t>Effective Rate</t>
  </si>
  <si>
    <r>
      <rPr>
        <b/>
        <sz val="12"/>
        <color rgb="FF00B0F0"/>
        <rFont val="Segoe UI"/>
        <family val="2"/>
      </rPr>
      <t>Basic</t>
    </r>
    <r>
      <rPr>
        <b/>
        <sz val="12"/>
        <color theme="1"/>
        <rFont val="Segoe UI"/>
        <family val="2"/>
      </rPr>
      <t xml:space="preserve"> Rate (Rs)</t>
    </r>
  </si>
  <si>
    <t>h=f+g</t>
  </si>
  <si>
    <t>j=h-i</t>
  </si>
  <si>
    <t>k=hXd</t>
  </si>
  <si>
    <t>l=jXd</t>
  </si>
  <si>
    <r>
      <rPr>
        <b/>
        <sz val="12"/>
        <color rgb="FF00B0F0"/>
        <rFont val="Segoe UI"/>
        <family val="2"/>
      </rPr>
      <t xml:space="preserve">Basic </t>
    </r>
    <r>
      <rPr>
        <b/>
        <sz val="12"/>
        <color theme="1"/>
        <rFont val="Segoe UI"/>
        <family val="2"/>
      </rPr>
      <t>Rate (Rs)</t>
    </r>
  </si>
  <si>
    <t>15% is not removed from DSR Rate</t>
  </si>
  <si>
    <t>Normative CTE Rates with additional 5% for D&amp;E</t>
  </si>
  <si>
    <t>Please clarify Gauge</t>
  </si>
  <si>
    <t xml:space="preserve">PO No.420000608 dated 30.12.2021 placed on M/s S. K. Jain Constructions, Bhilai for Project 01/DE/3541 Pkg-5 A. </t>
  </si>
  <si>
    <t>g=e+f</t>
  </si>
  <si>
    <t>i=g-h</t>
  </si>
  <si>
    <t>j=gXd</t>
  </si>
  <si>
    <t>k=iXd</t>
  </si>
  <si>
    <t>Please provide rate in ton or convert quantity in Ton for  purpose of calculation</t>
  </si>
  <si>
    <t xml:space="preserve">Normative CTE Rates </t>
  </si>
  <si>
    <t>Package-Enabling Package-Structural Works</t>
  </si>
  <si>
    <t>Package-Enabling Package-Civill Works</t>
  </si>
  <si>
    <t>Total Price per  unit (Rs.) including GST</t>
  </si>
  <si>
    <t>Please specify the items on which ITC will be Available ( Civil Others or Civil Eq. foundation)</t>
  </si>
  <si>
    <t>Please confirm if it is same item as in PO?</t>
  </si>
  <si>
    <t>Please specify the items on which ITC will be Available. (Building or Technical Structure)</t>
  </si>
  <si>
    <t>how to escalate in all rates based on PO</t>
  </si>
  <si>
    <t>All the items are buidling structures</t>
  </si>
  <si>
    <t>item description similar to item in PO</t>
  </si>
  <si>
    <t>Please consider  gauge for as given in a) and b) for costing  purpose</t>
  </si>
  <si>
    <t>a) 18 gauge for roof</t>
  </si>
  <si>
    <t>b) 20 gauge for side and gable</t>
  </si>
  <si>
    <t>Quantity of sheeting is always given in sqm.</t>
  </si>
  <si>
    <t>a) 18 gauge GPS for roof</t>
  </si>
  <si>
    <t>b) 20 gauge GPS for side and gable</t>
  </si>
  <si>
    <t xml:space="preserve">ITC will not be available on any of the items   </t>
  </si>
  <si>
    <t>rate for 18 Gauge is not available in PO</t>
  </si>
  <si>
    <t>Normative CTE Rates   with additional 5% for D&amp;E</t>
  </si>
  <si>
    <t>Normative CTE Rates with additional 5% for D&amp;E and 9% for freight charged.</t>
  </si>
  <si>
    <t>Havells price list dated 30.01.2023 discounted by 25% and added 11.5% for extruded PVC innner sheath &amp; FRLS &amp; laying as per DSR clause 7.8.3 &amp; 9.1.27</t>
  </si>
  <si>
    <t>Amount ( Rs. in lakhs)</t>
  </si>
  <si>
    <t>Total (Electrical)</t>
  </si>
  <si>
    <t>Total (Structure)</t>
  </si>
  <si>
    <t>Total (civil)</t>
  </si>
  <si>
    <t>PHASING OF EXPENDITURE &amp; IDC (12 months from Stg.-2 approval)</t>
  </si>
  <si>
    <t>DSR 2021 Clause</t>
  </si>
  <si>
    <t>Amount (Basic)</t>
  </si>
  <si>
    <t>Comment for capital cost</t>
  </si>
  <si>
    <t>As value is taken from package cost with erection included, 5% D&amp;E , 20% erection and 9% freight is factored out</t>
  </si>
  <si>
    <t>As value is taken from package cost 5% D&amp;E  is factored out</t>
  </si>
  <si>
    <t>PO No.420000608 dated 30.12.2021 placed on M/s S. K. Jain Constructions, Bhilai for Project 01/DE/3541 Pkg-5 A.  4% escalated as per wpi all commodities</t>
  </si>
  <si>
    <t>PO based cost has been esclated 4% as per WPI (all commodities)</t>
  </si>
  <si>
    <t>rate for "20 Gauge for roof" from PO is considered. 4% escalated as per wpi all commodities.</t>
  </si>
  <si>
    <t>As value is taken from package cost with erection included, 4% D&amp;E , 20% erection and 9% freight is factored out</t>
  </si>
  <si>
    <t>PO No.420000608 dated 30.12.2021 placed on M/s S. K. Jain Constructions, Bhilai for Project 01/DE/3541 Pkg-5 A. 4% escalated as per wpi all commodities.</t>
  </si>
  <si>
    <r>
      <t xml:space="preserve">Taking delivery of fabricated structures, as in S-1 and S-2 at erection site  including handling, storing, stacking, site assembly etc. </t>
    </r>
    <r>
      <rPr>
        <b/>
        <sz val="12"/>
        <color theme="1"/>
        <rFont val="Segoe UI"/>
        <family val="2"/>
      </rPr>
      <t>erection</t>
    </r>
    <r>
      <rPr>
        <sz val="12"/>
        <color theme="1"/>
        <rFont val="Segoe UI"/>
        <family val="2"/>
      </rPr>
      <t xml:space="preserve"> of fabricated structures, as in  S-1 and S-2 fixing in position including alignment, levelling, securing, fixing, bolting, welding, checking, gas cutting, grinding, matching with the other structures etc. at all heights complete in all respects,  applying one coat of primer and two coats of finish paints (including supply  of primer &amp; finish paint) including supply of all consumables,  as per specification and final GA drawings or as directed by the Engineer-in-Charge with Bidder’s own tools, tackles, temporary support, scaffolding, equipment, labour etc. complete.</t>
    </r>
  </si>
  <si>
    <t>Structural works</t>
  </si>
  <si>
    <t xml:space="preserve"> 5% D&amp;E  is factored out</t>
  </si>
  <si>
    <t>As value is taken from package cost, 5% D&amp;E and 9% freight is factored out. 20% factored out as its erection is considered separately in S-3</t>
  </si>
  <si>
    <t>20% factored out as its erection is considered separately in S-3</t>
  </si>
  <si>
    <t>Added in erection of Structure head for S-1 &amp; S-2 .</t>
  </si>
  <si>
    <t>Preparation of fabrication drawings based on the GA drawings issued by the employer, Supply all structural steel, loading, transportation, unloading to place of fabrication, fabrication of all structures, welding including supply of electrodes other consumable, supply of fasteners and fixtures with  Bidder’s own tools, tackles, equipment, labour etc. as per fabrication drawings and specifications, inspection, testing and applying one coat of primer (including supply of primer) as per specifications, delivery of fabricated structures from  fabrication yard to the site of erection including handling, storing, stacking with  Bidder’s own tools, tackles, consumable, equipment, labour etc. complete as directed by the Engineer in charge. The quantity for payment shall be as per bill of material [BOM] of final fabrication drawings. (No payment shall be made towards wastage generated due to rolling margins, burning losses, cutting allowances, scrap generation etc.).</t>
  </si>
  <si>
    <t>Preparation of GA, marking and detail fabrication drawings based on design drawings supplied by the Purchaser, supply of all steel structural rails including fixtures, loading, transportation, unloading to place of fabrication, fabrication of all items, welding including  supply  of electrodes and required all consumable as per final fabrication drawings and specifications, inspection, testing and applying one coat of specified quality primer (including supply of primer) as per specifications (bottom half of rails below head and fixtures shall be painted) and delivery of fabricated structures from  fabrication yard to the site of erection including handling, storing, stacking with  Bidder's own tools, tackles, consumable, handling equipment, labour etc. complete as directed by the Engineer in charge. (The rate for supply &amp; fabrication shall include burning losses, cutting allowances, scrap generation etc. The quantity for payment shall be as per BOM (Bill of material) of finalized fabrication drawings. No payment shall be made for rolling margins, burning losses, cutting allowances, scrap generation etc).</t>
  </si>
  <si>
    <t>As per TFM mail dated 24.07.2023, rate kept same as 20 gauge sheet</t>
  </si>
  <si>
    <t>PO No.420000608 dated 30.12.2021 placed on M/s S. K. Jain Constructions, Bhilai for Project 01/DE/3541 Pkg-5 A.  5% escalated as per wpi all commodities</t>
  </si>
  <si>
    <t>PO based cost has been esclated 5% as per WPI (all commodities)</t>
  </si>
  <si>
    <t xml:space="preserve">engg. estimate based on 20 Gauge </t>
  </si>
  <si>
    <t>rate for "20 Gauge for roof" from PO is considered. 5% escalated as per wpi all commodities.</t>
  </si>
  <si>
    <t>Engg est. based on (CGS sheeting-100)</t>
  </si>
  <si>
    <t>PO No.420000608 dated 30.12.2021 placed on M/s S. K. Jain Constructions, Bhilai for Project 01/DE/3541 Pkg-5 A. 5% escalated as per wpi all commodities.</t>
  </si>
  <si>
    <t>Total basic Cost</t>
  </si>
  <si>
    <t>GST@18%</t>
  </si>
  <si>
    <t>Total Package cost inclusive of GST</t>
  </si>
  <si>
    <t>ITC on GST</t>
  </si>
  <si>
    <t>Total Package cost net of ITC on GST</t>
  </si>
  <si>
    <r>
      <t>Preparation of fabrication drawings</t>
    </r>
    <r>
      <rPr>
        <sz val="12"/>
        <color theme="1"/>
        <rFont val="Segoe UI"/>
        <family val="2"/>
      </rPr>
      <t xml:space="preserve"> based on design drawings supplied by the Purchaser, </t>
    </r>
    <r>
      <rPr>
        <b/>
        <sz val="12"/>
        <color theme="1"/>
        <rFont val="Segoe UI"/>
        <family val="2"/>
      </rPr>
      <t>supply</t>
    </r>
    <r>
      <rPr>
        <sz val="12"/>
        <color theme="1"/>
        <rFont val="Segoe UI"/>
        <family val="2"/>
      </rPr>
      <t xml:space="preserve"> of all steel structural </t>
    </r>
    <r>
      <rPr>
        <b/>
        <i/>
        <u/>
        <sz val="12"/>
        <color theme="1"/>
        <rFont val="Segoe UI"/>
        <family val="2"/>
      </rPr>
      <t>rails</t>
    </r>
    <r>
      <rPr>
        <sz val="12"/>
        <color theme="1"/>
        <rFont val="Segoe UI"/>
        <family val="2"/>
      </rPr>
      <t xml:space="preserve"> including fixtures, loading, transportation, unloading to place of fabrication, </t>
    </r>
    <r>
      <rPr>
        <b/>
        <i/>
        <sz val="12"/>
        <color theme="1"/>
        <rFont val="Segoe UI"/>
        <family val="2"/>
      </rPr>
      <t>fabrication</t>
    </r>
    <r>
      <rPr>
        <sz val="12"/>
        <color theme="1"/>
        <rFont val="Segoe UI"/>
        <family val="2"/>
      </rPr>
      <t xml:space="preserve"> of all items, welding including  supply  of electrodes and required all consumable as per final fabrication drawings and specifications, inspection, testing and applying one coat of specified quality primer (including supply of primer) as per specifications (bottom half of rails below head and fixtures shall be painted) and delivery of fabricated structures from  fabrication yard to the site of erection including handling, storing, stacking with  Bidder's own tools, tackles, consumable, handling equipment, labour etc. complete as directed by the Engineer in charge. (The rate for supply &amp; fabrication shall include burning losses, cutting allowances, scrap generation etc. The quantity for payment shall be as per BOM (Bill of material) of finalized fabrication drawings. No payment shall be made for rolling margins, burning losses, cutting allowances, scrap generation etc).</t>
    </r>
  </si>
  <si>
    <t>b) 20 G CPS Sheet</t>
  </si>
  <si>
    <t>a) 18 G CPS Sheet</t>
  </si>
  <si>
    <t>Esclataion from Feb'16 to Nov'22</t>
  </si>
  <si>
    <t>Esclataion from Mar' 22 to Nov'22</t>
  </si>
  <si>
    <t>Esclataion from Aug-21 to mar 22</t>
  </si>
  <si>
    <r>
      <t>Name of Commodity :</t>
    </r>
    <r>
      <rPr>
        <sz val="10"/>
        <rFont val="Arial"/>
        <family val="2"/>
      </rPr>
      <t> Cement blocks (concrete)</t>
    </r>
  </si>
  <si>
    <t>Escalation from Apr'21 to Jul'23</t>
  </si>
  <si>
    <t>Escalation from Jun'21 to Jul'23</t>
  </si>
  <si>
    <r>
      <t>Name of Commodity :</t>
    </r>
    <r>
      <rPr>
        <sz val="10"/>
        <color theme="1"/>
        <rFont val="Calibri"/>
        <family val="2"/>
        <scheme val="minor"/>
      </rPr>
      <t> b. Manufacture of refractory products</t>
    </r>
  </si>
  <si>
    <t>Escalation from Oct 21 to Mar 22</t>
  </si>
  <si>
    <t>Escalation from Dec 21 to Mar 23</t>
  </si>
  <si>
    <t>Esclataion from oct 20 to mar 22</t>
  </si>
  <si>
    <r>
      <t>Name of Commodity :</t>
    </r>
    <r>
      <rPr>
        <sz val="10"/>
        <rFont val="Arial"/>
        <family val="2"/>
      </rPr>
      <t> Steel pipes, tubes &amp; poles</t>
    </r>
  </si>
  <si>
    <t>Esclataion from Sept'19 to Oct'22</t>
  </si>
  <si>
    <r>
      <t>Name of Commodity :</t>
    </r>
    <r>
      <rPr>
        <sz val="10"/>
        <rFont val="Arial"/>
        <family val="2"/>
      </rPr>
      <t> Electronic Printed Circuit Board (PCB)/micro circuit</t>
    </r>
  </si>
  <si>
    <t>138.2137.3136.9139.9140.5138.9132.4</t>
  </si>
  <si>
    <t>Esclataion from Mar'22 to Oct'22</t>
  </si>
  <si>
    <t>Esclataion from Jan'22 to Jan'24</t>
  </si>
  <si>
    <t>Annexure-I</t>
  </si>
  <si>
    <t>Confidential</t>
  </si>
  <si>
    <t xml:space="preserve">PRICE BID EVALUATION </t>
  </si>
  <si>
    <t>Comparative statement of the quoted prices w.r.t. estimate</t>
  </si>
  <si>
    <r>
      <t xml:space="preserve">Figures in </t>
    </r>
    <r>
      <rPr>
        <b/>
        <sz val="13"/>
        <rFont val="Segoe UI"/>
        <family val="2"/>
      </rPr>
      <t>₹</t>
    </r>
  </si>
  <si>
    <t>Item No.</t>
  </si>
  <si>
    <t>Estimate</t>
  </si>
  <si>
    <t xml:space="preserve">Rate  </t>
  </si>
  <si>
    <t xml:space="preserve">Amount </t>
  </si>
  <si>
    <t xml:space="preserve">Rate </t>
  </si>
  <si>
    <t>SOIL INVESTIGATION &amp; SURVEY</t>
  </si>
  <si>
    <t>(Package-1, Extension of mixer bay)</t>
  </si>
  <si>
    <t>M/s S.K.Jain Constructions Private Limited</t>
  </si>
  <si>
    <t>M/s Ajeet Enterprises, Bhilai</t>
  </si>
  <si>
    <t>NO</t>
  </si>
  <si>
    <t>YES</t>
  </si>
  <si>
    <t>Ranking</t>
  </si>
  <si>
    <t>Variation w.r.t. Estimate (in %)</t>
  </si>
  <si>
    <t>L-1</t>
  </si>
  <si>
    <t>L-2</t>
  </si>
  <si>
    <t>Considered or not</t>
  </si>
  <si>
    <t>Ref. No.- CET-17 (4)/4941/134</t>
  </si>
  <si>
    <t>Dated:- 27.06.2024</t>
  </si>
  <si>
    <t xml:space="preserve">Quoted Decrement of 5.20%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</si>
</sst>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4" formatCode="_ &quot;₹&quot;\ * #,##0.00_ ;_ &quot;₹&quot;\ * \-#,##0.00_ ;_ &quot;₹&quot;\ * &quot;-&quot;??_ ;_ @_ "/>
    <numFmt numFmtId="43" formatCode="_ * #,##0.00_ ;_ * \-#,##0.00_ ;_ * &quot;-&quot;??_ ;_ @_ "/>
    <numFmt numFmtId="164" formatCode="&quot;$&quot;#,##0_);[Red]\(&quot;$&quot;#,##0\)"/>
    <numFmt numFmtId="165" formatCode="_(&quot;$&quot;* #,##0.00_);_(&quot;$&quot;* \(#,##0.00\);_(&quot;$&quot;* &quot;-&quot;??_);_(@_)"/>
    <numFmt numFmtId="166" formatCode="_(* #,##0.00_);_(* \(#,##0.00\);_(* &quot;-&quot;??_);_(@_)"/>
    <numFmt numFmtId="167" formatCode="0.00_)"/>
    <numFmt numFmtId="168" formatCode="0_)"/>
    <numFmt numFmtId="169" formatCode="0.0%"/>
    <numFmt numFmtId="170" formatCode="0.000_)"/>
    <numFmt numFmtId="171" formatCode="0.0_)"/>
    <numFmt numFmtId="172" formatCode="0.0000_)"/>
    <numFmt numFmtId="173" formatCode="&quot;Rs&quot;#,##0.00_);[Red]\(&quot;Rs&quot;#,##0.00\)"/>
    <numFmt numFmtId="174" formatCode="[$INR]\ #,##0.00_);[Red]\([$INR]\ #,##0.00\)"/>
    <numFmt numFmtId="175" formatCode="[$INR]\ #,##0.00;[Red][$INR]\ #,##0.00"/>
    <numFmt numFmtId="176" formatCode="0.00000_)"/>
    <numFmt numFmtId="177" formatCode="&quot;₹&quot;\ #,##0.00"/>
    <numFmt numFmtId="178" formatCode="[$€-2]\ #,##0"/>
    <numFmt numFmtId="179" formatCode="[$$-409]#,##0"/>
    <numFmt numFmtId="180" formatCode="0.000000_)"/>
    <numFmt numFmtId="181" formatCode="_-* #,##0_-;\-* #,##0_-;_-* &quot;-&quot;??_-;_-@_-"/>
    <numFmt numFmtId="182" formatCode="0.0"/>
    <numFmt numFmtId="183" formatCode="#,##0.00;[Red]#,##0.00"/>
    <numFmt numFmtId="184" formatCode="[$CAD]\ #,##0;\-[$CAD]\ #,##0"/>
    <numFmt numFmtId="185" formatCode="0.000"/>
    <numFmt numFmtId="186" formatCode="0.0000"/>
    <numFmt numFmtId="187" formatCode="#,##0.0000"/>
    <numFmt numFmtId="188" formatCode="[$₹-4009]\ #,##0.00;[Red][$₹-4009]\ \-#,##0.00"/>
    <numFmt numFmtId="189" formatCode="_(* #,##0.0000_);_(* \(#,##0.0000\);_(* &quot;-&quot;????_);_(@_)"/>
    <numFmt numFmtId="190" formatCode="0.0000000_)"/>
  </numFmts>
  <fonts count="183">
    <font>
      <sz val="12"/>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color indexed="12"/>
      <name val="Arial"/>
      <family val="2"/>
    </font>
    <font>
      <b/>
      <sz val="12"/>
      <name val="Arial"/>
      <family val="2"/>
    </font>
    <font>
      <b/>
      <sz val="12"/>
      <name val="Arial"/>
      <family val="2"/>
    </font>
    <font>
      <sz val="14"/>
      <name val="Arial"/>
      <family val="2"/>
    </font>
    <font>
      <sz val="12"/>
      <name val="Arial"/>
      <family val="2"/>
    </font>
    <font>
      <b/>
      <sz val="10"/>
      <name val="Arial"/>
      <family val="2"/>
    </font>
    <font>
      <b/>
      <u/>
      <sz val="12"/>
      <name val="Arial"/>
      <family val="2"/>
    </font>
    <font>
      <b/>
      <sz val="14"/>
      <name val="Arial"/>
      <family val="2"/>
    </font>
    <font>
      <sz val="18"/>
      <name val="Arial"/>
      <family val="2"/>
    </font>
    <font>
      <sz val="12"/>
      <name val="Arial"/>
      <family val="2"/>
    </font>
    <font>
      <b/>
      <sz val="12"/>
      <name val="Times New Roman"/>
      <family val="1"/>
    </font>
    <font>
      <sz val="20"/>
      <name val="Arial"/>
      <family val="2"/>
    </font>
    <font>
      <u/>
      <sz val="12"/>
      <color indexed="12"/>
      <name val="Arial"/>
      <family val="2"/>
    </font>
    <font>
      <sz val="12"/>
      <name val="Times New Roman"/>
      <family val="1"/>
    </font>
    <font>
      <b/>
      <i/>
      <sz val="12"/>
      <name val="Arial"/>
      <family val="2"/>
    </font>
    <font>
      <sz val="14"/>
      <color indexed="8"/>
      <name val="Arial"/>
      <family val="2"/>
    </font>
    <font>
      <b/>
      <sz val="10"/>
      <color indexed="8"/>
      <name val="Arial"/>
      <family val="2"/>
    </font>
    <font>
      <b/>
      <sz val="14"/>
      <color indexed="8"/>
      <name val="Arial"/>
      <family val="2"/>
    </font>
    <font>
      <sz val="12"/>
      <color indexed="8"/>
      <name val="Arial"/>
      <family val="2"/>
    </font>
    <font>
      <b/>
      <sz val="12"/>
      <color indexed="8"/>
      <name val="Arial"/>
      <family val="2"/>
    </font>
    <font>
      <sz val="8"/>
      <name val="Arial"/>
      <family val="2"/>
    </font>
    <font>
      <b/>
      <sz val="14"/>
      <name val="Times New Roman"/>
      <family val="1"/>
    </font>
    <font>
      <sz val="12"/>
      <name val="Arial"/>
      <family val="2"/>
    </font>
    <font>
      <sz val="12"/>
      <color rgb="FF00B050"/>
      <name val="Arial"/>
      <family val="2"/>
    </font>
    <font>
      <sz val="16"/>
      <name val="Times New Roman"/>
      <family val="1"/>
    </font>
    <font>
      <b/>
      <u/>
      <sz val="16"/>
      <name val="Times New Roman"/>
      <family val="1"/>
    </font>
    <font>
      <b/>
      <sz val="16"/>
      <name val="Times New Roman"/>
      <family val="1"/>
    </font>
    <font>
      <b/>
      <sz val="16"/>
      <color rgb="FF000000"/>
      <name val="Times New Roman"/>
      <family val="1"/>
    </font>
    <font>
      <b/>
      <u/>
      <sz val="16"/>
      <color indexed="8"/>
      <name val="Times New Roman"/>
      <family val="1"/>
    </font>
    <font>
      <b/>
      <sz val="12"/>
      <color rgb="FF000000"/>
      <name val="Times New Roman"/>
      <family val="1"/>
    </font>
    <font>
      <sz val="16"/>
      <color rgb="FF000000"/>
      <name val="Times New Roman"/>
      <family val="1"/>
    </font>
    <font>
      <sz val="10"/>
      <color theme="1"/>
      <name val="Arial"/>
      <family val="2"/>
    </font>
    <font>
      <sz val="14"/>
      <color rgb="FF000000"/>
      <name val="Times New Roman"/>
      <family val="1"/>
    </font>
    <font>
      <b/>
      <u/>
      <sz val="16"/>
      <color rgb="FF000000"/>
      <name val="Times New Roman"/>
      <family val="1"/>
    </font>
    <font>
      <sz val="11"/>
      <name val="Arial"/>
      <family val="2"/>
    </font>
    <font>
      <b/>
      <sz val="11"/>
      <name val="Arial"/>
      <family val="2"/>
    </font>
    <font>
      <sz val="16"/>
      <name val="Arial"/>
      <family val="2"/>
    </font>
    <font>
      <sz val="14"/>
      <color theme="1"/>
      <name val="Times New Roman"/>
      <family val="1"/>
    </font>
    <font>
      <sz val="14"/>
      <name val="Times New Roman"/>
      <family val="1"/>
    </font>
    <font>
      <b/>
      <sz val="20"/>
      <name val="Arial"/>
      <family val="2"/>
    </font>
    <font>
      <sz val="10"/>
      <color theme="1"/>
      <name val="Times New Roman"/>
      <family val="1"/>
    </font>
    <font>
      <sz val="12"/>
      <color theme="1"/>
      <name val="Arial"/>
      <family val="2"/>
    </font>
    <font>
      <sz val="11"/>
      <color rgb="FFFF0000"/>
      <name val="Calibri"/>
      <family val="2"/>
      <scheme val="minor"/>
    </font>
    <font>
      <b/>
      <sz val="11"/>
      <color theme="1"/>
      <name val="Calibri"/>
      <family val="2"/>
      <scheme val="minor"/>
    </font>
    <font>
      <b/>
      <sz val="10"/>
      <color indexed="56"/>
      <name val="Arial"/>
      <family val="2"/>
    </font>
    <font>
      <sz val="10"/>
      <color indexed="10"/>
      <name val="Arial"/>
      <family val="2"/>
    </font>
    <font>
      <sz val="10"/>
      <name val="Times New Roman"/>
      <family val="1"/>
    </font>
    <font>
      <b/>
      <sz val="10"/>
      <name val="Times New Roman"/>
      <family val="1"/>
    </font>
    <font>
      <sz val="10"/>
      <color indexed="56"/>
      <name val="Arial"/>
      <family val="2"/>
    </font>
    <font>
      <sz val="11"/>
      <color theme="1"/>
      <name val="Arial"/>
      <family val="2"/>
    </font>
    <font>
      <sz val="11"/>
      <color indexed="8"/>
      <name val="Arial"/>
      <family val="2"/>
    </font>
    <font>
      <sz val="11"/>
      <color rgb="FFFF0000"/>
      <name val="Arial"/>
      <family val="2"/>
    </font>
    <font>
      <b/>
      <sz val="11"/>
      <color rgb="FF000000"/>
      <name val="Arial"/>
      <family val="2"/>
    </font>
    <font>
      <b/>
      <sz val="11"/>
      <color rgb="FFFF0000"/>
      <name val="Arial"/>
      <family val="2"/>
    </font>
    <font>
      <vertAlign val="superscript"/>
      <sz val="11"/>
      <name val="Arial"/>
      <family val="2"/>
    </font>
    <font>
      <sz val="11"/>
      <color rgb="FF000000"/>
      <name val="Arial"/>
      <family val="2"/>
    </font>
    <font>
      <sz val="10"/>
      <name val="Comic Sans MS"/>
      <family val="4"/>
    </font>
    <font>
      <sz val="12"/>
      <color rgb="FF000000"/>
      <name val="Arial"/>
      <family val="2"/>
    </font>
    <font>
      <b/>
      <sz val="11"/>
      <color theme="1"/>
      <name val="Arial"/>
      <family val="2"/>
    </font>
    <font>
      <vertAlign val="superscript"/>
      <sz val="12"/>
      <name val="Arial"/>
      <family val="2"/>
    </font>
    <font>
      <b/>
      <u/>
      <sz val="14"/>
      <name val="Arial"/>
      <family val="2"/>
    </font>
    <font>
      <b/>
      <u/>
      <sz val="11"/>
      <color theme="1"/>
      <name val="Arial"/>
      <family val="2"/>
    </font>
    <font>
      <u/>
      <sz val="11"/>
      <name val="Arial"/>
      <family val="2"/>
    </font>
    <font>
      <sz val="12"/>
      <color rgb="FFFF0000"/>
      <name val="Arial"/>
      <family val="2"/>
    </font>
    <font>
      <sz val="12"/>
      <name val="Arial"/>
      <family val="2"/>
    </font>
    <font>
      <vertAlign val="superscript"/>
      <sz val="11"/>
      <color indexed="8"/>
      <name val="Arial"/>
      <family val="2"/>
    </font>
    <font>
      <sz val="11"/>
      <color rgb="FF1F497D"/>
      <name val="Arial"/>
      <family val="2"/>
    </font>
    <font>
      <sz val="12"/>
      <name val="Calibri"/>
      <family val="2"/>
    </font>
    <font>
      <u/>
      <sz val="12"/>
      <name val="Arial"/>
      <family val="2"/>
    </font>
    <font>
      <b/>
      <sz val="12"/>
      <color rgb="FFFF0000"/>
      <name val="Arial"/>
      <family val="2"/>
    </font>
    <font>
      <sz val="12"/>
      <color rgb="FF000000"/>
      <name val="Times New Roman"/>
      <family val="1"/>
    </font>
    <font>
      <vertAlign val="superscript"/>
      <sz val="12"/>
      <color rgb="FFFF0000"/>
      <name val="Arial"/>
      <family val="2"/>
    </font>
    <font>
      <b/>
      <sz val="10"/>
      <color rgb="FF000000"/>
      <name val="Arial"/>
      <family val="2"/>
    </font>
    <font>
      <sz val="10"/>
      <color rgb="FF000000"/>
      <name val="Arial"/>
      <family val="2"/>
    </font>
    <font>
      <b/>
      <sz val="10"/>
      <color rgb="FFFFFFFF"/>
      <name val="Arial"/>
      <family val="2"/>
    </font>
    <font>
      <b/>
      <sz val="10"/>
      <color theme="1"/>
      <name val="Arial"/>
      <family val="2"/>
    </font>
    <font>
      <sz val="12"/>
      <name val="Segoe UI"/>
      <family val="2"/>
    </font>
    <font>
      <sz val="20"/>
      <color rgb="FFFF0000"/>
      <name val="Arial"/>
      <family val="2"/>
    </font>
    <font>
      <sz val="12"/>
      <color theme="1"/>
      <name val="Times New Roman"/>
      <family val="1"/>
    </font>
    <font>
      <b/>
      <sz val="9"/>
      <color rgb="FF000000"/>
      <name val="Times New Roman"/>
      <family val="1"/>
    </font>
    <font>
      <b/>
      <sz val="10"/>
      <color theme="1"/>
      <name val="Calibri"/>
      <family val="2"/>
      <scheme val="minor"/>
    </font>
    <font>
      <sz val="10"/>
      <color theme="1"/>
      <name val="Calibri"/>
      <family val="2"/>
      <scheme val="minor"/>
    </font>
    <font>
      <b/>
      <sz val="10"/>
      <color rgb="FFFFFFFF"/>
      <name val="Calibri"/>
      <family val="2"/>
      <scheme val="minor"/>
    </font>
    <font>
      <sz val="12"/>
      <color theme="1"/>
      <name val="Calibri"/>
      <family val="2"/>
      <scheme val="minor"/>
    </font>
    <font>
      <sz val="12"/>
      <color rgb="FF000000"/>
      <name val="Segoe UI"/>
      <family val="2"/>
    </font>
    <font>
      <b/>
      <sz val="12"/>
      <color rgb="FF000000"/>
      <name val="Segoe UI"/>
      <family val="2"/>
    </font>
    <font>
      <sz val="11"/>
      <color indexed="8"/>
      <name val="Calibri"/>
      <family val="2"/>
    </font>
    <font>
      <sz val="11"/>
      <color indexed="9"/>
      <name val="Calibri"/>
      <family val="2"/>
    </font>
    <font>
      <sz val="11"/>
      <color indexed="20"/>
      <name val="Calibri"/>
      <family val="2"/>
    </font>
    <font>
      <b/>
      <sz val="11"/>
      <color indexed="10"/>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10"/>
      <name val="Calibri"/>
      <family val="2"/>
    </font>
    <font>
      <sz val="11"/>
      <color indexed="19"/>
      <name val="Calibri"/>
      <family val="2"/>
    </font>
    <font>
      <b/>
      <sz val="11"/>
      <color indexed="63"/>
      <name val="Calibri"/>
      <family val="2"/>
    </font>
    <font>
      <b/>
      <sz val="18"/>
      <color indexed="62"/>
      <name val="Cambria"/>
      <family val="2"/>
    </font>
    <font>
      <b/>
      <sz val="11"/>
      <color indexed="8"/>
      <name val="Calibri"/>
      <family val="2"/>
    </font>
    <font>
      <b/>
      <u/>
      <sz val="12"/>
      <color indexed="8"/>
      <name val="Arial"/>
      <family val="2"/>
    </font>
    <font>
      <b/>
      <sz val="18"/>
      <name val="Arial"/>
      <family val="2"/>
    </font>
    <font>
      <sz val="11"/>
      <color rgb="FF000000"/>
      <name val="Times New Roman"/>
      <family val="1"/>
    </font>
    <font>
      <b/>
      <sz val="16"/>
      <name val="Arial"/>
      <family val="2"/>
    </font>
    <font>
      <b/>
      <sz val="12"/>
      <name val="Segoe UI"/>
      <family val="2"/>
    </font>
    <font>
      <b/>
      <sz val="10"/>
      <color rgb="FFFFFFFF"/>
      <name val="Open Sans"/>
      <family val="2"/>
    </font>
    <font>
      <b/>
      <sz val="12"/>
      <color theme="1"/>
      <name val="Segoe UI"/>
      <family val="2"/>
    </font>
    <font>
      <b/>
      <sz val="10"/>
      <name val="Open Sans"/>
      <family val="2"/>
    </font>
    <font>
      <sz val="10"/>
      <name val="Open Sans"/>
      <family val="2"/>
    </font>
    <font>
      <sz val="12"/>
      <color theme="1"/>
      <name val="Segoe UI"/>
      <family val="2"/>
    </font>
    <font>
      <b/>
      <u/>
      <sz val="12"/>
      <name val="Segoe UI"/>
      <family val="2"/>
    </font>
    <font>
      <sz val="11"/>
      <color theme="1"/>
      <name val="Segoe UI"/>
      <family val="2"/>
    </font>
    <font>
      <b/>
      <sz val="11"/>
      <color theme="1"/>
      <name val="Segoe UI"/>
      <family val="2"/>
    </font>
    <font>
      <b/>
      <sz val="11"/>
      <name val="Segoe UI"/>
      <family val="2"/>
    </font>
    <font>
      <sz val="11"/>
      <name val="Segoe UI"/>
      <family val="2"/>
    </font>
    <font>
      <sz val="12"/>
      <name val="Arial"/>
      <family val="2"/>
      <charset val="1"/>
    </font>
    <font>
      <strike/>
      <sz val="11"/>
      <name val="Segoe UI"/>
      <family val="2"/>
    </font>
    <font>
      <sz val="11"/>
      <color rgb="FF000000"/>
      <name val="Segoe UI"/>
      <family val="2"/>
    </font>
    <font>
      <sz val="12"/>
      <color rgb="FF000000"/>
      <name val="Cambria"/>
      <family val="1"/>
      <charset val="1"/>
    </font>
    <font>
      <sz val="11"/>
      <color rgb="FF000000"/>
      <name val="Calibri"/>
      <family val="2"/>
      <charset val="1"/>
    </font>
    <font>
      <sz val="12"/>
      <color rgb="FF000000"/>
      <name val="Calibri"/>
      <family val="2"/>
      <charset val="1"/>
    </font>
    <font>
      <b/>
      <sz val="14"/>
      <color theme="1"/>
      <name val="Segoe UI"/>
      <family val="2"/>
    </font>
    <font>
      <b/>
      <sz val="13"/>
      <color theme="1"/>
      <name val="Segoe UI"/>
      <family val="2"/>
    </font>
    <font>
      <sz val="10"/>
      <name val="Open Sans"/>
    </font>
    <font>
      <sz val="12"/>
      <name val="Arial"/>
      <family val="2"/>
    </font>
    <font>
      <b/>
      <i/>
      <sz val="12"/>
      <color theme="1"/>
      <name val="Segoe UI"/>
      <family val="2"/>
    </font>
    <font>
      <sz val="10"/>
      <color theme="1"/>
      <name val="Segoe UI"/>
      <family val="2"/>
    </font>
    <font>
      <b/>
      <i/>
      <u/>
      <sz val="12"/>
      <color theme="1"/>
      <name val="Segoe UI"/>
      <family val="2"/>
    </font>
    <font>
      <vertAlign val="superscript"/>
      <sz val="12"/>
      <color theme="1"/>
      <name val="Segoe UI"/>
      <family val="2"/>
    </font>
    <font>
      <sz val="14"/>
      <color theme="1"/>
      <name val="Calibri"/>
      <family val="2"/>
      <scheme val="minor"/>
    </font>
    <font>
      <b/>
      <sz val="12"/>
      <color theme="1"/>
      <name val="Arial"/>
      <family val="2"/>
    </font>
    <font>
      <b/>
      <sz val="12"/>
      <color rgb="FF00B0F0"/>
      <name val="Segoe UI"/>
      <family val="2"/>
    </font>
    <font>
      <b/>
      <sz val="13"/>
      <color theme="1"/>
      <name val="Calibri"/>
      <family val="2"/>
      <scheme val="minor"/>
    </font>
    <font>
      <u/>
      <sz val="11"/>
      <color theme="10"/>
      <name val="Calibri"/>
      <family val="2"/>
      <scheme val="minor"/>
    </font>
    <font>
      <u/>
      <sz val="11"/>
      <color theme="10"/>
      <name val="Calibri"/>
      <family val="2"/>
    </font>
    <font>
      <u/>
      <sz val="12"/>
      <name val="Segoe UI"/>
      <family val="2"/>
    </font>
    <font>
      <b/>
      <sz val="13"/>
      <name val="Segoe UI"/>
      <family val="2"/>
    </font>
    <font>
      <b/>
      <sz val="10"/>
      <color rgb="FF000000"/>
      <name val="Segoe UI"/>
      <family val="2"/>
    </font>
    <font>
      <b/>
      <sz val="12"/>
      <color theme="1"/>
      <name val="Calibri"/>
      <family val="2"/>
      <scheme val="minor"/>
    </font>
  </fonts>
  <fills count="31">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theme="0"/>
        <bgColor indexed="64"/>
      </patternFill>
    </fill>
    <fill>
      <patternFill patternType="solid">
        <fgColor rgb="FFFFFFFF"/>
        <bgColor indexed="64"/>
      </patternFill>
    </fill>
    <fill>
      <patternFill patternType="solid">
        <fgColor rgb="FF30549E"/>
        <bgColor indexed="64"/>
      </patternFill>
    </fill>
    <fill>
      <patternFill patternType="solid">
        <fgColor rgb="FFDDDDDD"/>
        <bgColor indexed="64"/>
      </patternFill>
    </fill>
    <fill>
      <patternFill patternType="solid">
        <fgColor rgb="FF00B0F0"/>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4"/>
        <bgColor indexed="64"/>
      </patternFill>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46"/>
      </patternFill>
    </fill>
    <fill>
      <patternFill patternType="solid">
        <fgColor indexed="9"/>
      </patternFill>
    </fill>
    <fill>
      <patternFill patternType="solid">
        <fgColor indexed="55"/>
      </patternFill>
    </fill>
    <fill>
      <patternFill patternType="solid">
        <fgColor rgb="FFFF0000"/>
        <bgColor indexed="64"/>
      </patternFill>
    </fill>
    <fill>
      <patternFill patternType="solid">
        <fgColor rgb="FF00B050"/>
        <bgColor indexed="64"/>
      </patternFill>
    </fill>
  </fills>
  <borders count="143">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8"/>
      </top>
      <bottom/>
      <diagonal/>
    </border>
    <border>
      <left/>
      <right style="thin">
        <color indexed="64"/>
      </right>
      <top style="thin">
        <color indexed="8"/>
      </top>
      <bottom/>
      <diagonal/>
    </border>
    <border>
      <left/>
      <right style="thin">
        <color indexed="64"/>
      </right>
      <top/>
      <bottom/>
      <diagonal/>
    </border>
    <border>
      <left/>
      <right style="thin">
        <color indexed="64"/>
      </right>
      <top/>
      <bottom style="thin">
        <color indexed="8"/>
      </bottom>
      <diagonal/>
    </border>
    <border>
      <left style="thin">
        <color indexed="64"/>
      </left>
      <right style="thin">
        <color indexed="64"/>
      </right>
      <top/>
      <bottom style="thin">
        <color indexed="8"/>
      </bottom>
      <diagonal/>
    </border>
    <border>
      <left/>
      <right/>
      <top/>
      <bottom style="thin">
        <color indexed="8"/>
      </bottom>
      <diagonal/>
    </border>
    <border>
      <left/>
      <right style="thin">
        <color indexed="8"/>
      </right>
      <top style="thin">
        <color indexed="8"/>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8"/>
      </right>
      <top/>
      <bottom/>
      <diagonal/>
    </border>
    <border>
      <left style="thin">
        <color indexed="8"/>
      </left>
      <right/>
      <top style="thin">
        <color indexed="8"/>
      </top>
      <bottom style="thin">
        <color indexed="8"/>
      </bottom>
      <diagonal/>
    </border>
    <border>
      <left/>
      <right style="thin">
        <color indexed="64"/>
      </right>
      <top style="thin">
        <color indexed="8"/>
      </top>
      <bottom style="thin">
        <color indexed="8"/>
      </bottom>
      <diagonal/>
    </border>
    <border>
      <left style="thin">
        <color indexed="64"/>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64"/>
      </right>
      <top/>
      <bottom style="thin">
        <color indexed="8"/>
      </bottom>
      <diagonal/>
    </border>
    <border>
      <left style="thin">
        <color indexed="8"/>
      </left>
      <right style="thin">
        <color indexed="8"/>
      </right>
      <top/>
      <bottom style="thin">
        <color indexed="64"/>
      </bottom>
      <diagonal/>
    </border>
    <border>
      <left style="thin">
        <color indexed="8"/>
      </left>
      <right style="thin">
        <color indexed="8"/>
      </right>
      <top/>
      <bottom/>
      <diagonal/>
    </border>
    <border>
      <left style="thin">
        <color indexed="64"/>
      </left>
      <right style="thin">
        <color indexed="8"/>
      </right>
      <top style="thin">
        <color indexed="8"/>
      </top>
      <bottom style="thin">
        <color indexed="64"/>
      </bottom>
      <diagonal/>
    </border>
    <border>
      <left/>
      <right style="thin">
        <color indexed="8"/>
      </right>
      <top style="thin">
        <color indexed="8"/>
      </top>
      <bottom style="thin">
        <color indexed="64"/>
      </bottom>
      <diagonal/>
    </border>
    <border>
      <left/>
      <right style="thin">
        <color indexed="64"/>
      </right>
      <top style="thin">
        <color indexed="8"/>
      </top>
      <bottom style="thin">
        <color indexed="64"/>
      </bottom>
      <diagonal/>
    </border>
    <border>
      <left style="thin">
        <color indexed="8"/>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64"/>
      </top>
      <bottom style="thin">
        <color indexed="64"/>
      </bottom>
      <diagonal/>
    </border>
    <border>
      <left/>
      <right/>
      <top style="thin">
        <color indexed="8"/>
      </top>
      <bottom/>
      <diagonal/>
    </border>
    <border>
      <left/>
      <right/>
      <top style="thin">
        <color indexed="8"/>
      </top>
      <bottom style="thin">
        <color indexed="8"/>
      </bottom>
      <diagonal/>
    </border>
    <border>
      <left style="medium">
        <color indexed="8"/>
      </left>
      <right/>
      <top style="thin">
        <color indexed="8"/>
      </top>
      <bottom style="medium">
        <color indexed="8"/>
      </bottom>
      <diagonal/>
    </border>
    <border>
      <left/>
      <right/>
      <top style="thin">
        <color indexed="8"/>
      </top>
      <bottom style="medium">
        <color indexed="8"/>
      </bottom>
      <diagonal/>
    </border>
    <border>
      <left style="medium">
        <color indexed="8"/>
      </left>
      <right/>
      <top/>
      <bottom style="medium">
        <color indexed="8"/>
      </bottom>
      <diagonal/>
    </border>
    <border>
      <left/>
      <right/>
      <top/>
      <bottom style="medium">
        <color indexed="8"/>
      </bottom>
      <diagonal/>
    </border>
    <border>
      <left style="thin">
        <color indexed="8"/>
      </left>
      <right/>
      <top/>
      <bottom style="thin">
        <color indexed="8"/>
      </bottom>
      <diagonal/>
    </border>
    <border>
      <left/>
      <right/>
      <top/>
      <bottom style="medium">
        <color indexed="64"/>
      </bottom>
      <diagonal/>
    </border>
    <border>
      <left style="thin">
        <color indexed="64"/>
      </left>
      <right/>
      <top style="medium">
        <color indexed="64"/>
      </top>
      <bottom style="thin">
        <color indexed="8"/>
      </bottom>
      <diagonal/>
    </border>
    <border>
      <left style="thin">
        <color indexed="64"/>
      </left>
      <right style="thin">
        <color indexed="64"/>
      </right>
      <top style="thin">
        <color indexed="8"/>
      </top>
      <bottom style="thin">
        <color indexed="8"/>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8"/>
      </left>
      <right style="thin">
        <color indexed="64"/>
      </right>
      <top style="thin">
        <color indexed="64"/>
      </top>
      <bottom style="thin">
        <color indexed="8"/>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8"/>
      </right>
      <top style="medium">
        <color indexed="64"/>
      </top>
      <bottom/>
      <diagonal/>
    </border>
    <border>
      <left style="thin">
        <color indexed="8"/>
      </left>
      <right/>
      <top style="medium">
        <color indexed="64"/>
      </top>
      <bottom/>
      <diagonal/>
    </border>
    <border>
      <left/>
      <right style="thin">
        <color indexed="8"/>
      </right>
      <top style="medium">
        <color indexed="64"/>
      </top>
      <bottom style="thin">
        <color indexed="8"/>
      </bottom>
      <diagonal/>
    </border>
    <border>
      <left style="thin">
        <color indexed="8"/>
      </left>
      <right/>
      <top style="medium">
        <color indexed="64"/>
      </top>
      <bottom style="thin">
        <color indexed="8"/>
      </bottom>
      <diagonal/>
    </border>
    <border>
      <left/>
      <right style="thin">
        <color indexed="64"/>
      </right>
      <top style="medium">
        <color indexed="64"/>
      </top>
      <bottom style="thin">
        <color indexed="8"/>
      </bottom>
      <diagonal/>
    </border>
    <border>
      <left/>
      <right/>
      <top style="thin">
        <color indexed="8"/>
      </top>
      <bottom style="thin">
        <color indexed="64"/>
      </bottom>
      <diagonal/>
    </border>
    <border>
      <left style="thin">
        <color indexed="64"/>
      </left>
      <right/>
      <top style="thin">
        <color indexed="8"/>
      </top>
      <bottom/>
      <diagonal/>
    </border>
    <border>
      <left style="thin">
        <color indexed="64"/>
      </left>
      <right/>
      <top style="thin">
        <color indexed="8"/>
      </top>
      <bottom style="thin">
        <color indexed="64"/>
      </bottom>
      <diagonal/>
    </border>
    <border>
      <left style="thin">
        <color indexed="8"/>
      </left>
      <right style="thin">
        <color indexed="64"/>
      </right>
      <top style="thin">
        <color indexed="8"/>
      </top>
      <bottom/>
      <diagonal/>
    </border>
    <border>
      <left style="thin">
        <color indexed="64"/>
      </left>
      <right style="thin">
        <color indexed="64"/>
      </right>
      <top/>
      <bottom style="medium">
        <color indexed="64"/>
      </bottom>
      <diagonal/>
    </border>
    <border>
      <left style="medium">
        <color rgb="FFFFFFFF"/>
      </left>
      <right style="medium">
        <color rgb="FFFFFFFF"/>
      </right>
      <top style="medium">
        <color rgb="FFFFFFFF"/>
      </top>
      <bottom style="medium">
        <color rgb="FFFFFFFF"/>
      </bottom>
      <diagonal/>
    </border>
    <border>
      <left style="thin">
        <color indexed="64"/>
      </left>
      <right/>
      <top style="thin">
        <color indexed="64"/>
      </top>
      <bottom style="thin">
        <color indexed="8"/>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8"/>
      </right>
      <top/>
      <bottom/>
      <diagonal/>
    </border>
    <border>
      <left style="medium">
        <color indexed="64"/>
      </left>
      <right style="thin">
        <color indexed="8"/>
      </right>
      <top style="thin">
        <color indexed="8"/>
      </top>
      <bottom/>
      <diagonal/>
    </border>
    <border>
      <left style="thin">
        <color indexed="64"/>
      </left>
      <right style="medium">
        <color indexed="64"/>
      </right>
      <top style="thin">
        <color indexed="64"/>
      </top>
      <bottom style="thin">
        <color indexed="64"/>
      </bottom>
      <diagonal/>
    </border>
    <border>
      <left style="medium">
        <color indexed="64"/>
      </left>
      <right style="thin">
        <color indexed="8"/>
      </right>
      <top style="thin">
        <color indexed="8"/>
      </top>
      <bottom style="thin">
        <color indexed="64"/>
      </bottom>
      <diagonal/>
    </border>
    <border>
      <left style="medium">
        <color indexed="64"/>
      </left>
      <right style="thin">
        <color indexed="8"/>
      </right>
      <top style="thin">
        <color indexed="8"/>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style="medium">
        <color indexed="8"/>
      </left>
      <right/>
      <top style="thin">
        <color indexed="64"/>
      </top>
      <bottom style="thin">
        <color indexed="64"/>
      </bottom>
      <diagonal/>
    </border>
    <border>
      <left/>
      <right style="thin">
        <color indexed="64"/>
      </right>
      <top style="thin">
        <color indexed="64"/>
      </top>
      <bottom style="thin">
        <color indexed="8"/>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thin">
        <color auto="1"/>
      </left>
      <right style="thin">
        <color indexed="64"/>
      </right>
      <top/>
      <bottom/>
      <diagonal/>
    </border>
    <border>
      <left style="thin">
        <color auto="1"/>
      </left>
      <right style="thin">
        <color auto="1"/>
      </right>
      <top/>
      <bottom style="thin">
        <color auto="1"/>
      </bottom>
      <diagonal/>
    </border>
    <border>
      <left style="thin">
        <color indexed="64"/>
      </left>
      <right style="medium">
        <color indexed="64"/>
      </right>
      <top/>
      <bottom/>
      <diagonal/>
    </border>
    <border>
      <left style="medium">
        <color indexed="64"/>
      </left>
      <right style="medium">
        <color indexed="64"/>
      </right>
      <top style="thin">
        <color auto="1"/>
      </top>
      <bottom style="medium">
        <color indexed="64"/>
      </bottom>
      <diagonal/>
    </border>
    <border>
      <left style="medium">
        <color rgb="FFFFFFFF"/>
      </left>
      <right style="medium">
        <color rgb="FFFFFFFF"/>
      </right>
      <top/>
      <bottom style="medium">
        <color rgb="FFFFFFFF"/>
      </bottom>
      <diagonal/>
    </border>
    <border>
      <left style="medium">
        <color indexed="64"/>
      </left>
      <right style="thin">
        <color auto="1"/>
      </right>
      <top style="thin">
        <color auto="1"/>
      </top>
      <bottom style="thin">
        <color auto="1"/>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auto="1"/>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style="thin">
        <color indexed="64"/>
      </bottom>
      <diagonal/>
    </border>
    <border>
      <left style="thin">
        <color auto="1"/>
      </left>
      <right style="medium">
        <color indexed="64"/>
      </right>
      <top style="thin">
        <color auto="1"/>
      </top>
      <bottom/>
      <diagonal/>
    </border>
    <border>
      <left/>
      <right style="medium">
        <color indexed="64"/>
      </right>
      <top/>
      <bottom style="thin">
        <color indexed="64"/>
      </bottom>
      <diagonal/>
    </border>
    <border>
      <left/>
      <right style="medium">
        <color indexed="64"/>
      </right>
      <top style="thin">
        <color indexed="64"/>
      </top>
      <bottom/>
      <diagonal/>
    </border>
    <border>
      <left style="thin">
        <color auto="1"/>
      </left>
      <right style="thin">
        <color indexed="64"/>
      </right>
      <top/>
      <bottom style="thin">
        <color indexed="64"/>
      </bottom>
      <diagonal/>
    </border>
    <border>
      <left/>
      <right style="medium">
        <color indexed="64"/>
      </right>
      <top style="thin">
        <color indexed="64"/>
      </top>
      <bottom style="thin">
        <color indexed="64"/>
      </bottom>
      <diagonal/>
    </border>
    <border>
      <left style="thin">
        <color auto="1"/>
      </left>
      <right style="medium">
        <color indexed="64"/>
      </right>
      <top/>
      <bottom style="thin">
        <color indexed="64"/>
      </bottom>
      <diagonal/>
    </border>
  </borders>
  <cellStyleXfs count="230">
    <xf numFmtId="167" fontId="0" fillId="0" borderId="0"/>
    <xf numFmtId="0" fontId="54" fillId="0" borderId="0" applyNumberFormat="0" applyFill="0" applyBorder="0" applyAlignment="0" applyProtection="0">
      <alignment vertical="top"/>
      <protection locked="0"/>
    </xf>
    <xf numFmtId="167" fontId="64" fillId="0" borderId="0"/>
    <xf numFmtId="9" fontId="4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1" fillId="0" borderId="0"/>
    <xf numFmtId="9" fontId="41" fillId="0" borderId="0" applyFont="0" applyFill="0" applyBorder="0" applyAlignment="0" applyProtection="0"/>
    <xf numFmtId="0" fontId="39" fillId="0" borderId="0"/>
    <xf numFmtId="166" fontId="46" fillId="0" borderId="0"/>
    <xf numFmtId="0" fontId="38" fillId="0" borderId="0"/>
    <xf numFmtId="167" fontId="46" fillId="0" borderId="0"/>
    <xf numFmtId="0" fontId="37" fillId="0" borderId="0"/>
    <xf numFmtId="0" fontId="37" fillId="0" borderId="0"/>
    <xf numFmtId="167" fontId="46" fillId="0" borderId="0"/>
    <xf numFmtId="181" fontId="46" fillId="0" borderId="0"/>
    <xf numFmtId="184" fontId="41" fillId="0" borderId="0"/>
    <xf numFmtId="167" fontId="46" fillId="0" borderId="0"/>
    <xf numFmtId="0" fontId="41" fillId="0" borderId="0"/>
    <xf numFmtId="0" fontId="35" fillId="0" borderId="0"/>
    <xf numFmtId="167" fontId="46" fillId="0" borderId="0"/>
    <xf numFmtId="166" fontId="41" fillId="0" borderId="0" applyFont="0" applyFill="0" applyBorder="0" applyAlignment="0" applyProtection="0"/>
    <xf numFmtId="0" fontId="34" fillId="0" borderId="0"/>
    <xf numFmtId="0" fontId="34" fillId="0" borderId="0"/>
    <xf numFmtId="0" fontId="33"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1" fillId="0" borderId="0"/>
    <xf numFmtId="167" fontId="106" fillId="0" borderId="0"/>
    <xf numFmtId="9" fontId="4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9" fillId="0" borderId="0"/>
    <xf numFmtId="0" fontId="28" fillId="0" borderId="0"/>
    <xf numFmtId="0" fontId="28" fillId="0" borderId="0"/>
    <xf numFmtId="0" fontId="28" fillId="0" borderId="0"/>
    <xf numFmtId="0" fontId="28" fillId="0" borderId="0"/>
    <xf numFmtId="0" fontId="28" fillId="0" borderId="0"/>
    <xf numFmtId="166" fontId="46" fillId="0" borderId="0" applyFont="0" applyFill="0" applyBorder="0" applyAlignment="0" applyProtection="0"/>
    <xf numFmtId="9" fontId="41" fillId="0" borderId="0" applyFont="0" applyFill="0" applyBorder="0" applyAlignment="0" applyProtection="0"/>
    <xf numFmtId="0" fontId="128" fillId="13" borderId="0" applyNumberFormat="0" applyBorder="0" applyAlignment="0" applyProtection="0"/>
    <xf numFmtId="0" fontId="128" fillId="14" borderId="0" applyNumberFormat="0" applyBorder="0" applyAlignment="0" applyProtection="0"/>
    <xf numFmtId="0" fontId="128" fillId="15" borderId="0" applyNumberFormat="0" applyBorder="0" applyAlignment="0" applyProtection="0"/>
    <xf numFmtId="0" fontId="128" fillId="16" borderId="0" applyNumberFormat="0" applyBorder="0" applyAlignment="0" applyProtection="0"/>
    <xf numFmtId="0" fontId="128" fillId="17" borderId="0" applyNumberFormat="0" applyBorder="0" applyAlignment="0" applyProtection="0"/>
    <xf numFmtId="0" fontId="128" fillId="15" borderId="0" applyNumberFormat="0" applyBorder="0" applyAlignment="0" applyProtection="0"/>
    <xf numFmtId="0" fontId="128" fillId="17" borderId="0" applyNumberFormat="0" applyBorder="0" applyAlignment="0" applyProtection="0"/>
    <xf numFmtId="0" fontId="128" fillId="14" borderId="0" applyNumberFormat="0" applyBorder="0" applyAlignment="0" applyProtection="0"/>
    <xf numFmtId="0" fontId="128" fillId="18" borderId="0" applyNumberFormat="0" applyBorder="0" applyAlignment="0" applyProtection="0"/>
    <xf numFmtId="0" fontId="128" fillId="19" borderId="0" applyNumberFormat="0" applyBorder="0" applyAlignment="0" applyProtection="0"/>
    <xf numFmtId="0" fontId="128" fillId="17" borderId="0" applyNumberFormat="0" applyBorder="0" applyAlignment="0" applyProtection="0"/>
    <xf numFmtId="0" fontId="128" fillId="15" borderId="0" applyNumberFormat="0" applyBorder="0" applyAlignment="0" applyProtection="0"/>
    <xf numFmtId="0" fontId="129" fillId="17" borderId="0" applyNumberFormat="0" applyBorder="0" applyAlignment="0" applyProtection="0"/>
    <xf numFmtId="0" fontId="129" fillId="20" borderId="0" applyNumberFormat="0" applyBorder="0" applyAlignment="0" applyProtection="0"/>
    <xf numFmtId="0" fontId="129" fillId="21" borderId="0" applyNumberFormat="0" applyBorder="0" applyAlignment="0" applyProtection="0"/>
    <xf numFmtId="0" fontId="129" fillId="19" borderId="0" applyNumberFormat="0" applyBorder="0" applyAlignment="0" applyProtection="0"/>
    <xf numFmtId="0" fontId="129" fillId="17" borderId="0" applyNumberFormat="0" applyBorder="0" applyAlignment="0" applyProtection="0"/>
    <xf numFmtId="0" fontId="129" fillId="14" borderId="0" applyNumberFormat="0" applyBorder="0" applyAlignment="0" applyProtection="0"/>
    <xf numFmtId="0" fontId="129" fillId="22" borderId="0" applyNumberFormat="0" applyBorder="0" applyAlignment="0" applyProtection="0"/>
    <xf numFmtId="0" fontId="129" fillId="20" borderId="0" applyNumberFormat="0" applyBorder="0" applyAlignment="0" applyProtection="0"/>
    <xf numFmtId="0" fontId="129" fillId="21" borderId="0" applyNumberFormat="0" applyBorder="0" applyAlignment="0" applyProtection="0"/>
    <xf numFmtId="0" fontId="129" fillId="23" borderId="0" applyNumberFormat="0" applyBorder="0" applyAlignment="0" applyProtection="0"/>
    <xf numFmtId="0" fontId="129" fillId="24" borderId="0" applyNumberFormat="0" applyBorder="0" applyAlignment="0" applyProtection="0"/>
    <xf numFmtId="0" fontId="129" fillId="25" borderId="0" applyNumberFormat="0" applyBorder="0" applyAlignment="0" applyProtection="0"/>
    <xf numFmtId="0" fontId="130" fillId="26" borderId="0" applyNumberFormat="0" applyBorder="0" applyAlignment="0" applyProtection="0"/>
    <xf numFmtId="0" fontId="131" fillId="27" borderId="96" applyNumberFormat="0" applyAlignment="0" applyProtection="0"/>
    <xf numFmtId="0" fontId="132" fillId="28" borderId="97" applyNumberFormat="0" applyAlignment="0" applyProtection="0"/>
    <xf numFmtId="0" fontId="133" fillId="0" borderId="0" applyNumberFormat="0" applyFill="0" applyBorder="0" applyAlignment="0" applyProtection="0"/>
    <xf numFmtId="0" fontId="134" fillId="17" borderId="0" applyNumberFormat="0" applyBorder="0" applyAlignment="0" applyProtection="0"/>
    <xf numFmtId="0" fontId="135" fillId="0" borderId="98" applyNumberFormat="0" applyFill="0" applyAlignment="0" applyProtection="0"/>
    <xf numFmtId="0" fontId="136" fillId="0" borderId="99" applyNumberFormat="0" applyFill="0" applyAlignment="0" applyProtection="0"/>
    <xf numFmtId="0" fontId="137" fillId="0" borderId="100" applyNumberFormat="0" applyFill="0" applyAlignment="0" applyProtection="0"/>
    <xf numFmtId="0" fontId="137" fillId="0" borderId="0" applyNumberFormat="0" applyFill="0" applyBorder="0" applyAlignment="0" applyProtection="0"/>
    <xf numFmtId="0" fontId="138" fillId="18" borderId="96" applyNumberFormat="0" applyAlignment="0" applyProtection="0"/>
    <xf numFmtId="0" fontId="139" fillId="0" borderId="101" applyNumberFormat="0" applyFill="0" applyAlignment="0" applyProtection="0"/>
    <xf numFmtId="0" fontId="140" fillId="18" borderId="0" applyNumberFormat="0" applyBorder="0" applyAlignment="0" applyProtection="0"/>
    <xf numFmtId="189" fontId="46" fillId="0" borderId="0"/>
    <xf numFmtId="0" fontId="41" fillId="15" borderId="102" applyNumberFormat="0" applyFont="0" applyAlignment="0" applyProtection="0"/>
    <xf numFmtId="0" fontId="141" fillId="27" borderId="103" applyNumberFormat="0" applyAlignment="0" applyProtection="0"/>
    <xf numFmtId="0" fontId="142" fillId="0" borderId="0" applyNumberFormat="0" applyFill="0" applyBorder="0" applyAlignment="0" applyProtection="0"/>
    <xf numFmtId="0" fontId="143" fillId="0" borderId="104" applyNumberFormat="0" applyFill="0" applyAlignment="0" applyProtection="0"/>
    <xf numFmtId="0" fontId="139" fillId="0" borderId="0" applyNumberFormat="0" applyFill="0" applyBorder="0" applyAlignment="0" applyProtection="0"/>
    <xf numFmtId="0" fontId="27" fillId="0" borderId="0"/>
    <xf numFmtId="167" fontId="46" fillId="0" borderId="0"/>
    <xf numFmtId="0" fontId="163" fillId="0" borderId="0"/>
    <xf numFmtId="167" fontId="46" fillId="0" borderId="0"/>
    <xf numFmtId="167" fontId="46" fillId="0" borderId="0"/>
    <xf numFmtId="0" fontId="26" fillId="0" borderId="0"/>
    <xf numFmtId="166" fontId="168" fillId="0" borderId="0" applyFont="0" applyFill="0" applyBorder="0" applyAlignment="0" applyProtection="0"/>
    <xf numFmtId="0" fontId="25" fillId="0" borderId="0"/>
    <xf numFmtId="0" fontId="24" fillId="0" borderId="0"/>
    <xf numFmtId="176" fontId="46" fillId="0" borderId="0"/>
    <xf numFmtId="0" fontId="24" fillId="0" borderId="0"/>
    <xf numFmtId="167" fontId="46" fillId="0" borderId="0"/>
    <xf numFmtId="0" fontId="24" fillId="0" borderId="0"/>
    <xf numFmtId="0" fontId="24" fillId="0" borderId="0"/>
    <xf numFmtId="0" fontId="23" fillId="0" borderId="0"/>
    <xf numFmtId="0" fontId="20" fillId="0" borderId="0"/>
    <xf numFmtId="0" fontId="18" fillId="0" borderId="0"/>
    <xf numFmtId="0" fontId="18" fillId="0" borderId="0"/>
    <xf numFmtId="0" fontId="15" fillId="0" borderId="0"/>
    <xf numFmtId="0" fontId="13" fillId="0" borderId="0"/>
    <xf numFmtId="166" fontId="46" fillId="0" borderId="0" applyFont="0" applyFill="0" applyBorder="0" applyAlignment="0" applyProtection="0"/>
    <xf numFmtId="0" fontId="13" fillId="0" borderId="0"/>
    <xf numFmtId="0" fontId="6" fillId="0" borderId="0"/>
    <xf numFmtId="0" fontId="6" fillId="0" borderId="0"/>
    <xf numFmtId="0" fontId="6" fillId="0" borderId="0"/>
    <xf numFmtId="166" fontId="6"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5" fontId="6" fillId="0" borderId="0" applyFont="0" applyFill="0" applyBorder="0" applyAlignment="0" applyProtection="0"/>
    <xf numFmtId="44" fontId="46" fillId="0" borderId="0" applyFont="0" applyFill="0" applyBorder="0" applyAlignment="0" applyProtection="0"/>
    <xf numFmtId="0" fontId="177" fillId="0" borderId="0" applyNumberFormat="0" applyFill="0" applyBorder="0" applyAlignment="0" applyProtection="0"/>
    <xf numFmtId="0" fontId="178" fillId="0" borderId="0" applyNumberFormat="0" applyFill="0" applyBorder="0" applyAlignment="0" applyProtection="0">
      <alignment vertical="top"/>
      <protection locked="0"/>
    </xf>
    <xf numFmtId="0" fontId="6" fillId="0" borderId="0"/>
    <xf numFmtId="0" fontId="6" fillId="0" borderId="0"/>
    <xf numFmtId="0" fontId="6" fillId="0" borderId="0"/>
    <xf numFmtId="0" fontId="41" fillId="0" borderId="0"/>
    <xf numFmtId="0" fontId="41" fillId="0" borderId="0"/>
    <xf numFmtId="0" fontId="41" fillId="0" borderId="0"/>
    <xf numFmtId="0" fontId="41" fillId="0" borderId="0"/>
    <xf numFmtId="0" fontId="6" fillId="0" borderId="0"/>
    <xf numFmtId="0" fontId="6" fillId="0" borderId="0"/>
    <xf numFmtId="0" fontId="41" fillId="0" borderId="0"/>
    <xf numFmtId="0" fontId="6" fillId="0" borderId="0"/>
    <xf numFmtId="0" fontId="88" fillId="0" borderId="0"/>
    <xf numFmtId="0" fontId="41" fillId="0" borderId="0"/>
    <xf numFmtId="0" fontId="41" fillId="0" borderId="0"/>
    <xf numFmtId="0" fontId="41" fillId="0" borderId="0"/>
    <xf numFmtId="0" fontId="41" fillId="0" borderId="0"/>
    <xf numFmtId="0" fontId="6" fillId="0" borderId="0"/>
    <xf numFmtId="0" fontId="6" fillId="0" borderId="0"/>
    <xf numFmtId="0" fontId="6" fillId="0" borderId="0"/>
    <xf numFmtId="0" fontId="6" fillId="0" borderId="0"/>
    <xf numFmtId="0" fontId="6" fillId="0" borderId="0"/>
    <xf numFmtId="0" fontId="6" fillId="0" borderId="0"/>
    <xf numFmtId="176" fontId="46" fillId="0" borderId="0"/>
    <xf numFmtId="176" fontId="46" fillId="0" borderId="0"/>
    <xf numFmtId="176" fontId="46" fillId="0" borderId="0"/>
    <xf numFmtId="176" fontId="46" fillId="0" borderId="0"/>
    <xf numFmtId="169" fontId="46" fillId="0" borderId="0"/>
    <xf numFmtId="166" fontId="46" fillId="0" borderId="0"/>
    <xf numFmtId="173" fontId="46" fillId="0" borderId="0"/>
    <xf numFmtId="173" fontId="46" fillId="0" borderId="0"/>
    <xf numFmtId="173" fontId="46" fillId="0" borderId="0"/>
    <xf numFmtId="173" fontId="46" fillId="0" borderId="0"/>
    <xf numFmtId="0" fontId="6" fillId="0" borderId="0"/>
    <xf numFmtId="9" fontId="4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1"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3" fillId="0" borderId="0"/>
    <xf numFmtId="176" fontId="46" fillId="0" borderId="0"/>
    <xf numFmtId="0" fontId="2" fillId="0" borderId="0"/>
    <xf numFmtId="0" fontId="2" fillId="0" borderId="0"/>
    <xf numFmtId="0" fontId="1" fillId="0" borderId="0"/>
    <xf numFmtId="0" fontId="1" fillId="0" borderId="0"/>
    <xf numFmtId="0" fontId="1" fillId="0" borderId="0"/>
    <xf numFmtId="167" fontId="46" fillId="0" borderId="0"/>
    <xf numFmtId="0" fontId="41" fillId="0" borderId="0"/>
  </cellStyleXfs>
  <cellXfs count="2653">
    <xf numFmtId="167" fontId="0" fillId="0" borderId="0" xfId="0"/>
    <xf numFmtId="167" fontId="42" fillId="0" borderId="0" xfId="0" applyFont="1" applyProtection="1">
      <protection locked="0"/>
    </xf>
    <xf numFmtId="167" fontId="43" fillId="0" borderId="0" xfId="0" applyFont="1"/>
    <xf numFmtId="167" fontId="43" fillId="0" borderId="0" xfId="0" applyFont="1" applyAlignment="1">
      <alignment horizontal="center"/>
    </xf>
    <xf numFmtId="167" fontId="46" fillId="0" borderId="0" xfId="0" applyFont="1"/>
    <xf numFmtId="167" fontId="46" fillId="0" borderId="0" xfId="0" applyFont="1" applyAlignment="1">
      <alignment horizontal="right"/>
    </xf>
    <xf numFmtId="167" fontId="46" fillId="0" borderId="0" xfId="0" applyFont="1" applyAlignment="1">
      <alignment horizontal="center"/>
    </xf>
    <xf numFmtId="167" fontId="46" fillId="0" borderId="0" xfId="0" applyFont="1" applyAlignment="1">
      <alignment horizontal="left"/>
    </xf>
    <xf numFmtId="167" fontId="46" fillId="0" borderId="0" xfId="0" applyFont="1" applyAlignment="1">
      <alignment horizontal="centerContinuous"/>
    </xf>
    <xf numFmtId="167" fontId="46" fillId="0" borderId="0" xfId="0" quotePrefix="1" applyFont="1" applyAlignment="1">
      <alignment horizontal="right"/>
    </xf>
    <xf numFmtId="173" fontId="46" fillId="0" borderId="0" xfId="0" applyNumberFormat="1" applyFont="1" applyAlignment="1">
      <alignment horizontal="left"/>
    </xf>
    <xf numFmtId="9" fontId="46" fillId="0" borderId="0" xfId="3" applyFont="1"/>
    <xf numFmtId="9" fontId="46" fillId="0" borderId="0" xfId="3" applyFont="1" applyAlignment="1">
      <alignment horizontal="right"/>
    </xf>
    <xf numFmtId="167" fontId="44" fillId="0" borderId="0" xfId="0" applyFont="1"/>
    <xf numFmtId="167" fontId="48" fillId="0" borderId="0" xfId="0" applyFont="1"/>
    <xf numFmtId="167" fontId="0" fillId="0" borderId="0" xfId="0" applyAlignment="1">
      <alignment horizontal="center"/>
    </xf>
    <xf numFmtId="167" fontId="44" fillId="0" borderId="0" xfId="0" applyFont="1" applyAlignment="1">
      <alignment horizontal="centerContinuous"/>
    </xf>
    <xf numFmtId="167" fontId="44" fillId="0" borderId="0" xfId="0" applyFont="1" applyAlignment="1">
      <alignment horizontal="left"/>
    </xf>
    <xf numFmtId="167" fontId="44" fillId="0" borderId="0" xfId="0" applyFont="1" applyAlignment="1">
      <alignment horizontal="right"/>
    </xf>
    <xf numFmtId="167" fontId="44" fillId="0" borderId="0" xfId="0" applyFont="1" applyAlignment="1">
      <alignment horizontal="center"/>
    </xf>
    <xf numFmtId="9" fontId="46" fillId="0" borderId="0" xfId="3" applyFont="1" applyAlignment="1">
      <alignment horizontal="center"/>
    </xf>
    <xf numFmtId="167" fontId="45" fillId="0" borderId="0" xfId="0" applyFont="1"/>
    <xf numFmtId="168" fontId="0" fillId="0" borderId="0" xfId="0" applyNumberFormat="1"/>
    <xf numFmtId="169" fontId="46" fillId="0" borderId="0" xfId="3" applyNumberFormat="1" applyFont="1" applyAlignment="1">
      <alignment horizontal="center"/>
    </xf>
    <xf numFmtId="167" fontId="46" fillId="0" borderId="2" xfId="0" applyFont="1" applyBorder="1"/>
    <xf numFmtId="167" fontId="44" fillId="0" borderId="2" xfId="0" applyFont="1" applyBorder="1"/>
    <xf numFmtId="167" fontId="44" fillId="0" borderId="3" xfId="0" applyFont="1" applyBorder="1" applyAlignment="1">
      <alignment horizontal="centerContinuous"/>
    </xf>
    <xf numFmtId="167" fontId="44" fillId="0" borderId="4" xfId="0" applyFont="1" applyBorder="1" applyAlignment="1">
      <alignment horizontal="center"/>
    </xf>
    <xf numFmtId="167" fontId="44" fillId="0" borderId="4" xfId="0" applyFont="1" applyBorder="1" applyAlignment="1">
      <alignment horizontal="centerContinuous"/>
    </xf>
    <xf numFmtId="167" fontId="44" fillId="0" borderId="2" xfId="0" applyFont="1" applyBorder="1" applyAlignment="1">
      <alignment horizontal="center"/>
    </xf>
    <xf numFmtId="167" fontId="44" fillId="0" borderId="5" xfId="0" applyFont="1" applyBorder="1" applyAlignment="1">
      <alignment horizontal="center"/>
    </xf>
    <xf numFmtId="167" fontId="44" fillId="0" borderId="6" xfId="0" applyFont="1" applyBorder="1" applyAlignment="1">
      <alignment horizontal="center"/>
    </xf>
    <xf numFmtId="167" fontId="50" fillId="0" borderId="8" xfId="0" applyFont="1" applyBorder="1"/>
    <xf numFmtId="167" fontId="44" fillId="0" borderId="9" xfId="0" applyFont="1" applyBorder="1" applyAlignment="1">
      <alignment horizontal="center"/>
    </xf>
    <xf numFmtId="167" fontId="46" fillId="0" borderId="12" xfId="0" applyFont="1" applyBorder="1"/>
    <xf numFmtId="167" fontId="46" fillId="0" borderId="13" xfId="0" applyFont="1" applyBorder="1"/>
    <xf numFmtId="167" fontId="51" fillId="0" borderId="0" xfId="0" applyFont="1" applyAlignment="1">
      <alignment horizontal="right"/>
    </xf>
    <xf numFmtId="167" fontId="51" fillId="0" borderId="0" xfId="0" applyFont="1"/>
    <xf numFmtId="167" fontId="51" fillId="0" borderId="0" xfId="0" applyFont="1" applyAlignment="1">
      <alignment horizontal="fill"/>
    </xf>
    <xf numFmtId="167" fontId="51" fillId="0" borderId="0" xfId="0" applyFont="1" applyAlignment="1">
      <alignment horizontal="left"/>
    </xf>
    <xf numFmtId="167" fontId="51" fillId="0" borderId="0" xfId="0" applyFont="1" applyAlignment="1">
      <alignment horizontal="center"/>
    </xf>
    <xf numFmtId="167" fontId="51" fillId="0" borderId="0" xfId="0" quotePrefix="1" applyFont="1" applyAlignment="1">
      <alignment horizontal="center"/>
    </xf>
    <xf numFmtId="172" fontId="51" fillId="0" borderId="0" xfId="0" applyNumberFormat="1" applyFont="1"/>
    <xf numFmtId="167" fontId="51" fillId="0" borderId="12" xfId="0" applyFont="1" applyBorder="1" applyAlignment="1">
      <alignment horizontal="center"/>
    </xf>
    <xf numFmtId="167" fontId="51" fillId="0" borderId="12" xfId="0" applyFont="1" applyBorder="1"/>
    <xf numFmtId="167" fontId="51" fillId="0" borderId="0" xfId="0" applyFont="1" applyAlignment="1">
      <alignment horizontal="centerContinuous"/>
    </xf>
    <xf numFmtId="169" fontId="51" fillId="0" borderId="0" xfId="0" applyNumberFormat="1" applyFont="1" applyAlignment="1">
      <alignment horizontal="center"/>
    </xf>
    <xf numFmtId="169" fontId="51" fillId="0" borderId="0" xfId="0" applyNumberFormat="1" applyFont="1"/>
    <xf numFmtId="9" fontId="51" fillId="0" borderId="0" xfId="0" applyNumberFormat="1" applyFont="1"/>
    <xf numFmtId="4" fontId="51" fillId="0" borderId="0" xfId="0" applyNumberFormat="1" applyFont="1"/>
    <xf numFmtId="170" fontId="51" fillId="0" borderId="0" xfId="0" applyNumberFormat="1" applyFont="1"/>
    <xf numFmtId="167" fontId="44" fillId="0" borderId="14" xfId="0" applyFont="1" applyBorder="1"/>
    <xf numFmtId="167" fontId="44" fillId="0" borderId="14" xfId="0" applyFont="1" applyBorder="1" applyAlignment="1">
      <alignment horizontal="center"/>
    </xf>
    <xf numFmtId="167" fontId="44" fillId="0" borderId="15" xfId="0" applyFont="1" applyBorder="1" applyAlignment="1">
      <alignment horizontal="centerContinuous"/>
    </xf>
    <xf numFmtId="167" fontId="44" fillId="0" borderId="16" xfId="0" applyFont="1" applyBorder="1" applyAlignment="1">
      <alignment horizontal="centerContinuous"/>
    </xf>
    <xf numFmtId="167" fontId="44" fillId="0" borderId="17" xfId="0" applyFont="1" applyBorder="1" applyAlignment="1">
      <alignment horizontal="centerContinuous"/>
    </xf>
    <xf numFmtId="167" fontId="44" fillId="0" borderId="18" xfId="0" applyFont="1" applyBorder="1" applyAlignment="1">
      <alignment horizontal="centerContinuous"/>
    </xf>
    <xf numFmtId="167" fontId="44" fillId="0" borderId="19" xfId="0" applyFont="1" applyBorder="1" applyAlignment="1">
      <alignment horizontal="centerContinuous"/>
    </xf>
    <xf numFmtId="167" fontId="44" fillId="0" borderId="9" xfId="0" applyFont="1" applyBorder="1" applyAlignment="1">
      <alignment horizontal="centerContinuous"/>
    </xf>
    <xf numFmtId="167" fontId="44" fillId="0" borderId="5" xfId="0" applyFont="1" applyBorder="1" applyAlignment="1">
      <alignment horizontal="centerContinuous"/>
    </xf>
    <xf numFmtId="167" fontId="44" fillId="0" borderId="9" xfId="0" applyFont="1" applyBorder="1"/>
    <xf numFmtId="167" fontId="44" fillId="0" borderId="20" xfId="0" applyFont="1" applyBorder="1" applyAlignment="1">
      <alignment horizontal="center"/>
    </xf>
    <xf numFmtId="167" fontId="44" fillId="0" borderId="18" xfId="0" applyFont="1" applyBorder="1" applyAlignment="1">
      <alignment horizontal="center"/>
    </xf>
    <xf numFmtId="167" fontId="44" fillId="0" borderId="21" xfId="0" applyFont="1" applyBorder="1" applyAlignment="1">
      <alignment horizontal="centerContinuous"/>
    </xf>
    <xf numFmtId="167" fontId="44" fillId="0" borderId="14" xfId="0" applyFont="1" applyBorder="1" applyAlignment="1">
      <alignment horizontal="centerContinuous"/>
    </xf>
    <xf numFmtId="167" fontId="44" fillId="0" borderId="4" xfId="0" applyFont="1" applyBorder="1"/>
    <xf numFmtId="167" fontId="44" fillId="0" borderId="22" xfId="0" applyFont="1" applyBorder="1" applyAlignment="1">
      <alignment horizontal="center"/>
    </xf>
    <xf numFmtId="167" fontId="44" fillId="0" borderId="23" xfId="0" applyFont="1" applyBorder="1" applyAlignment="1">
      <alignment horizontal="center"/>
    </xf>
    <xf numFmtId="167" fontId="44" fillId="0" borderId="11" xfId="0" applyFont="1" applyBorder="1" applyAlignment="1">
      <alignment horizontal="center"/>
    </xf>
    <xf numFmtId="167" fontId="44" fillId="0" borderId="24" xfId="0" applyFont="1" applyBorder="1" applyAlignment="1">
      <alignment horizontal="center"/>
    </xf>
    <xf numFmtId="167" fontId="44" fillId="0" borderId="25" xfId="0" applyFont="1" applyBorder="1" applyAlignment="1">
      <alignment horizontal="center"/>
    </xf>
    <xf numFmtId="167" fontId="44" fillId="0" borderId="26" xfId="0" applyFont="1" applyBorder="1" applyAlignment="1">
      <alignment horizontal="center"/>
    </xf>
    <xf numFmtId="167" fontId="44" fillId="0" borderId="27" xfId="0" applyFont="1" applyBorder="1" applyAlignment="1">
      <alignment horizontal="center"/>
    </xf>
    <xf numFmtId="167" fontId="51" fillId="0" borderId="28" xfId="0" quotePrefix="1" applyFont="1" applyBorder="1" applyAlignment="1">
      <alignment horizontal="center"/>
    </xf>
    <xf numFmtId="167" fontId="51" fillId="0" borderId="31" xfId="0" applyFont="1" applyBorder="1"/>
    <xf numFmtId="168" fontId="51" fillId="0" borderId="0" xfId="0" applyNumberFormat="1" applyFont="1" applyAlignment="1">
      <alignment horizontal="center"/>
    </xf>
    <xf numFmtId="10" fontId="51" fillId="0" borderId="0" xfId="0" applyNumberFormat="1" applyFont="1"/>
    <xf numFmtId="9" fontId="51" fillId="0" borderId="0" xfId="3" applyFont="1" applyProtection="1"/>
    <xf numFmtId="167" fontId="44" fillId="0" borderId="0" xfId="0" applyFont="1" applyAlignment="1">
      <alignment horizontal="centerContinuous" vertical="center"/>
    </xf>
    <xf numFmtId="167" fontId="46" fillId="0" borderId="0" xfId="0" applyFont="1" applyAlignment="1">
      <alignment horizontal="centerContinuous" vertical="center"/>
    </xf>
    <xf numFmtId="167" fontId="43" fillId="0" borderId="0" xfId="0" applyFont="1" applyAlignment="1">
      <alignment horizontal="centerContinuous"/>
    </xf>
    <xf numFmtId="167" fontId="51" fillId="0" borderId="0" xfId="0" applyFont="1" applyAlignment="1">
      <alignment wrapText="1"/>
    </xf>
    <xf numFmtId="168" fontId="51" fillId="0" borderId="0" xfId="0" applyNumberFormat="1" applyFont="1" applyAlignment="1">
      <alignment horizontal="center" vertical="top"/>
    </xf>
    <xf numFmtId="168" fontId="51" fillId="0" borderId="0" xfId="0" applyNumberFormat="1" applyFont="1"/>
    <xf numFmtId="168" fontId="51" fillId="0" borderId="2" xfId="0" applyNumberFormat="1" applyFont="1" applyBorder="1"/>
    <xf numFmtId="167" fontId="51" fillId="0" borderId="2" xfId="0" applyFont="1" applyBorder="1"/>
    <xf numFmtId="167" fontId="46" fillId="0" borderId="32" xfId="0" applyFont="1" applyBorder="1"/>
    <xf numFmtId="167" fontId="46" fillId="0" borderId="2" xfId="0" applyFont="1" applyBorder="1" applyAlignment="1">
      <alignment horizontal="left"/>
    </xf>
    <xf numFmtId="9" fontId="46" fillId="0" borderId="2" xfId="3" applyFont="1" applyBorder="1" applyAlignment="1" applyProtection="1">
      <alignment horizontal="center"/>
    </xf>
    <xf numFmtId="10" fontId="46" fillId="0" borderId="2" xfId="3" applyNumberFormat="1" applyFont="1" applyBorder="1" applyAlignment="1" applyProtection="1">
      <alignment horizontal="right"/>
    </xf>
    <xf numFmtId="167" fontId="46" fillId="0" borderId="33" xfId="0" applyFont="1" applyBorder="1" applyAlignment="1">
      <alignment horizontal="left"/>
    </xf>
    <xf numFmtId="167" fontId="46" fillId="0" borderId="33" xfId="0" applyFont="1" applyBorder="1" applyAlignment="1">
      <alignment horizontal="center"/>
    </xf>
    <xf numFmtId="167" fontId="46" fillId="0" borderId="33" xfId="0" applyFont="1" applyBorder="1" applyAlignment="1">
      <alignment horizontal="right"/>
    </xf>
    <xf numFmtId="2" fontId="51" fillId="0" borderId="0" xfId="0" applyNumberFormat="1" applyFont="1" applyAlignment="1">
      <alignment horizontal="left"/>
    </xf>
    <xf numFmtId="168" fontId="51" fillId="0" borderId="0" xfId="0" applyNumberFormat="1" applyFont="1" applyAlignment="1">
      <alignment vertical="top"/>
    </xf>
    <xf numFmtId="167" fontId="51" fillId="0" borderId="0" xfId="0" applyFont="1" applyAlignment="1">
      <alignment vertical="top"/>
    </xf>
    <xf numFmtId="168" fontId="51" fillId="0" borderId="13" xfId="0" applyNumberFormat="1" applyFont="1" applyBorder="1" applyAlignment="1">
      <alignment horizontal="right"/>
    </xf>
    <xf numFmtId="167" fontId="51" fillId="0" borderId="13" xfId="0" applyFont="1" applyBorder="1"/>
    <xf numFmtId="10" fontId="51" fillId="0" borderId="13" xfId="3" applyNumberFormat="1" applyFont="1" applyBorder="1"/>
    <xf numFmtId="167" fontId="51" fillId="0" borderId="0" xfId="0" applyFont="1" applyAlignment="1">
      <alignment vertical="top" wrapText="1"/>
    </xf>
    <xf numFmtId="171" fontId="51" fillId="0" borderId="0" xfId="0" applyNumberFormat="1" applyFont="1"/>
    <xf numFmtId="167" fontId="53" fillId="0" borderId="0" xfId="0" applyFont="1"/>
    <xf numFmtId="167" fontId="53" fillId="0" borderId="13" xfId="0" applyFont="1" applyBorder="1"/>
    <xf numFmtId="167" fontId="53" fillId="0" borderId="31" xfId="0" applyFont="1" applyBorder="1"/>
    <xf numFmtId="167" fontId="53" fillId="0" borderId="36" xfId="0" applyFont="1" applyBorder="1"/>
    <xf numFmtId="168" fontId="46" fillId="0" borderId="0" xfId="0" applyNumberFormat="1" applyFont="1"/>
    <xf numFmtId="167" fontId="44" fillId="0" borderId="8" xfId="0" applyFont="1" applyBorder="1" applyAlignment="1">
      <alignment horizontal="centerContinuous"/>
    </xf>
    <xf numFmtId="167" fontId="46" fillId="0" borderId="12" xfId="0" applyFont="1" applyBorder="1" applyAlignment="1">
      <alignment horizontal="center"/>
    </xf>
    <xf numFmtId="167" fontId="44" fillId="0" borderId="37" xfId="0" applyFont="1" applyBorder="1" applyAlignment="1">
      <alignment horizontal="center"/>
    </xf>
    <xf numFmtId="167" fontId="50" fillId="0" borderId="38" xfId="0" applyFont="1" applyBorder="1" applyAlignment="1">
      <alignment horizontal="right" vertical="top"/>
    </xf>
    <xf numFmtId="167" fontId="50" fillId="0" borderId="31" xfId="0" applyFont="1" applyBorder="1" applyAlignment="1">
      <alignment horizontal="right" vertical="top"/>
    </xf>
    <xf numFmtId="2" fontId="50" fillId="0" borderId="31" xfId="0" applyNumberFormat="1" applyFont="1" applyBorder="1" applyAlignment="1">
      <alignment horizontal="right" vertical="top"/>
    </xf>
    <xf numFmtId="2" fontId="50" fillId="0" borderId="36" xfId="0" applyNumberFormat="1" applyFont="1" applyBorder="1" applyAlignment="1">
      <alignment horizontal="right" vertical="top"/>
    </xf>
    <xf numFmtId="167" fontId="50" fillId="0" borderId="6" xfId="0" applyFont="1" applyBorder="1"/>
    <xf numFmtId="167" fontId="53" fillId="0" borderId="12" xfId="0" applyFont="1" applyBorder="1" applyAlignment="1">
      <alignment vertical="top"/>
    </xf>
    <xf numFmtId="167" fontId="53" fillId="0" borderId="29" xfId="0" applyFont="1" applyBorder="1" applyAlignment="1">
      <alignment vertical="top"/>
    </xf>
    <xf numFmtId="168" fontId="44" fillId="0" borderId="0" xfId="0" applyNumberFormat="1" applyFont="1" applyAlignment="1">
      <alignment horizontal="right"/>
    </xf>
    <xf numFmtId="10" fontId="51" fillId="0" borderId="0" xfId="3" applyNumberFormat="1" applyFont="1" applyProtection="1"/>
    <xf numFmtId="10" fontId="51" fillId="0" borderId="0" xfId="3" applyNumberFormat="1" applyFont="1"/>
    <xf numFmtId="167" fontId="45" fillId="0" borderId="0" xfId="0" applyFont="1" applyAlignment="1">
      <alignment horizontal="right"/>
    </xf>
    <xf numFmtId="167" fontId="47" fillId="0" borderId="0" xfId="0" applyFont="1"/>
    <xf numFmtId="167" fontId="56" fillId="0" borderId="0" xfId="0" applyFont="1"/>
    <xf numFmtId="9" fontId="56" fillId="0" borderId="0" xfId="3" applyFont="1" applyBorder="1"/>
    <xf numFmtId="167" fontId="0" fillId="0" borderId="12" xfId="0" applyBorder="1"/>
    <xf numFmtId="167" fontId="0" fillId="0" borderId="12" xfId="0" applyBorder="1" applyAlignment="1">
      <alignment horizontal="center"/>
    </xf>
    <xf numFmtId="167" fontId="57" fillId="0" borderId="0" xfId="0" applyFont="1"/>
    <xf numFmtId="167" fontId="58" fillId="0" borderId="0" xfId="0" applyFont="1"/>
    <xf numFmtId="171" fontId="57" fillId="0" borderId="0" xfId="0" applyNumberFormat="1" applyFont="1"/>
    <xf numFmtId="167" fontId="0" fillId="0" borderId="0" xfId="0" applyAlignment="1">
      <alignment horizontal="fill"/>
    </xf>
    <xf numFmtId="167" fontId="59" fillId="0" borderId="0" xfId="0" applyFont="1"/>
    <xf numFmtId="172" fontId="45" fillId="0" borderId="0" xfId="0" applyNumberFormat="1" applyFont="1"/>
    <xf numFmtId="167" fontId="57" fillId="0" borderId="0" xfId="0" applyFont="1" applyAlignment="1">
      <alignment horizontal="left"/>
    </xf>
    <xf numFmtId="2" fontId="46" fillId="0" borderId="0" xfId="0" applyNumberFormat="1" applyFont="1"/>
    <xf numFmtId="167" fontId="60" fillId="0" borderId="13" xfId="0" applyFont="1" applyBorder="1"/>
    <xf numFmtId="168" fontId="46" fillId="0" borderId="13" xfId="0" applyNumberFormat="1" applyFont="1" applyBorder="1" applyAlignment="1">
      <alignment horizontal="center"/>
    </xf>
    <xf numFmtId="168" fontId="45" fillId="0" borderId="0" xfId="0" applyNumberFormat="1" applyFont="1" applyAlignment="1">
      <alignment horizontal="right"/>
    </xf>
    <xf numFmtId="9" fontId="0" fillId="0" borderId="0" xfId="3" applyFont="1" applyBorder="1"/>
    <xf numFmtId="167" fontId="60" fillId="0" borderId="31" xfId="0" applyFont="1" applyBorder="1"/>
    <xf numFmtId="9" fontId="46" fillId="0" borderId="31" xfId="3" applyFont="1" applyBorder="1" applyAlignment="1" applyProtection="1">
      <alignment horizontal="right"/>
    </xf>
    <xf numFmtId="9" fontId="45" fillId="0" borderId="0" xfId="3" applyFont="1" applyBorder="1" applyAlignment="1" applyProtection="1">
      <alignment horizontal="right"/>
    </xf>
    <xf numFmtId="9" fontId="46" fillId="0" borderId="0" xfId="3" applyFont="1" applyBorder="1"/>
    <xf numFmtId="167" fontId="60" fillId="0" borderId="0" xfId="0" applyFont="1"/>
    <xf numFmtId="2" fontId="60" fillId="0" borderId="0" xfId="0" applyNumberFormat="1" applyFont="1"/>
    <xf numFmtId="167" fontId="0" fillId="0" borderId="31" xfId="0" applyBorder="1"/>
    <xf numFmtId="167" fontId="61" fillId="0" borderId="0" xfId="0" applyFont="1"/>
    <xf numFmtId="10" fontId="57" fillId="0" borderId="0" xfId="3" applyNumberFormat="1" applyFont="1" applyProtection="1"/>
    <xf numFmtId="168" fontId="0" fillId="0" borderId="0" xfId="0" applyNumberFormat="1" applyAlignment="1">
      <alignment horizontal="fill"/>
    </xf>
    <xf numFmtId="167" fontId="60" fillId="0" borderId="12" xfId="0" applyFont="1" applyBorder="1"/>
    <xf numFmtId="171" fontId="60" fillId="0" borderId="0" xfId="0" applyNumberFormat="1" applyFont="1"/>
    <xf numFmtId="9" fontId="61" fillId="0" borderId="0" xfId="0" applyNumberFormat="1" applyFont="1"/>
    <xf numFmtId="172" fontId="46" fillId="0" borderId="0" xfId="0" applyNumberFormat="1" applyFont="1"/>
    <xf numFmtId="167" fontId="60" fillId="0" borderId="38" xfId="0" applyFont="1" applyBorder="1"/>
    <xf numFmtId="168" fontId="60" fillId="0" borderId="31" xfId="0" applyNumberFormat="1" applyFont="1" applyBorder="1" applyAlignment="1">
      <alignment horizontal="center"/>
    </xf>
    <xf numFmtId="168" fontId="60" fillId="0" borderId="36" xfId="0" applyNumberFormat="1" applyFont="1" applyBorder="1" applyAlignment="1">
      <alignment horizontal="center"/>
    </xf>
    <xf numFmtId="168" fontId="57" fillId="0" borderId="0" xfId="0" applyNumberFormat="1" applyFont="1"/>
    <xf numFmtId="167" fontId="45" fillId="0" borderId="31" xfId="0" applyFont="1" applyBorder="1"/>
    <xf numFmtId="9" fontId="45" fillId="0" borderId="0" xfId="3" applyFont="1"/>
    <xf numFmtId="167" fontId="60" fillId="0" borderId="0" xfId="0" applyFont="1" applyAlignment="1">
      <alignment horizontal="right"/>
    </xf>
    <xf numFmtId="167" fontId="60" fillId="0" borderId="41" xfId="0" applyFont="1" applyBorder="1"/>
    <xf numFmtId="167" fontId="60" fillId="0" borderId="42" xfId="0" applyFont="1" applyBorder="1"/>
    <xf numFmtId="167" fontId="60" fillId="0" borderId="43" xfId="0" applyFont="1" applyBorder="1"/>
    <xf numFmtId="167" fontId="60" fillId="0" borderId="44" xfId="0" applyFont="1" applyBorder="1"/>
    <xf numFmtId="167" fontId="45" fillId="0" borderId="13" xfId="0" applyFont="1" applyBorder="1"/>
    <xf numFmtId="168" fontId="45" fillId="0" borderId="0" xfId="0" applyNumberFormat="1" applyFont="1" applyAlignment="1">
      <alignment horizontal="left"/>
    </xf>
    <xf numFmtId="167" fontId="49" fillId="0" borderId="0" xfId="0" applyFont="1" applyAlignment="1">
      <alignment horizontal="right"/>
    </xf>
    <xf numFmtId="168" fontId="46" fillId="0" borderId="0" xfId="0" applyNumberFormat="1" applyFont="1" applyAlignment="1">
      <alignment horizontal="right"/>
    </xf>
    <xf numFmtId="168" fontId="45" fillId="0" borderId="0" xfId="0" applyNumberFormat="1" applyFont="1"/>
    <xf numFmtId="10" fontId="46" fillId="0" borderId="0" xfId="3" applyNumberFormat="1" applyFont="1" applyFill="1" applyBorder="1" applyAlignment="1" applyProtection="1"/>
    <xf numFmtId="10" fontId="46" fillId="0" borderId="0" xfId="3" applyNumberFormat="1" applyFont="1"/>
    <xf numFmtId="167" fontId="0" fillId="0" borderId="0" xfId="0" quotePrefix="1"/>
    <xf numFmtId="168" fontId="45" fillId="0" borderId="12" xfId="0" applyNumberFormat="1" applyFont="1" applyBorder="1"/>
    <xf numFmtId="10" fontId="46" fillId="0" borderId="0" xfId="3" applyNumberFormat="1" applyFont="1" applyBorder="1"/>
    <xf numFmtId="168" fontId="45" fillId="0" borderId="0" xfId="0" applyNumberFormat="1" applyFont="1" applyAlignment="1">
      <alignment horizontal="center"/>
    </xf>
    <xf numFmtId="168" fontId="46" fillId="0" borderId="0" xfId="0" applyNumberFormat="1" applyFont="1" applyAlignment="1">
      <alignment horizontal="left"/>
    </xf>
    <xf numFmtId="168" fontId="46" fillId="0" borderId="0" xfId="0" applyNumberFormat="1" applyFont="1" applyAlignment="1">
      <alignment horizontal="center"/>
    </xf>
    <xf numFmtId="167" fontId="55" fillId="0" borderId="0" xfId="0" applyFont="1"/>
    <xf numFmtId="167" fontId="52" fillId="0" borderId="0" xfId="0" applyFont="1"/>
    <xf numFmtId="167" fontId="55" fillId="0" borderId="0" xfId="0" applyFont="1" applyAlignment="1">
      <alignment horizontal="center"/>
    </xf>
    <xf numFmtId="167" fontId="52" fillId="0" borderId="0" xfId="0" applyFont="1" applyAlignment="1">
      <alignment horizontal="center"/>
    </xf>
    <xf numFmtId="168" fontId="55" fillId="0" borderId="13" xfId="0" applyNumberFormat="1" applyFont="1" applyBorder="1" applyAlignment="1">
      <alignment horizontal="center"/>
    </xf>
    <xf numFmtId="167" fontId="55" fillId="0" borderId="13" xfId="0" applyFont="1" applyBorder="1" applyAlignment="1">
      <alignment horizontal="left"/>
    </xf>
    <xf numFmtId="2" fontId="44" fillId="0" borderId="0" xfId="0" applyNumberFormat="1" applyFont="1"/>
    <xf numFmtId="167" fontId="46" fillId="0" borderId="13" xfId="0" applyFont="1" applyBorder="1" applyAlignment="1">
      <alignment vertical="top" wrapText="1"/>
    </xf>
    <xf numFmtId="167" fontId="44" fillId="0" borderId="13" xfId="0" applyFont="1" applyBorder="1" applyAlignment="1">
      <alignment horizontal="center"/>
    </xf>
    <xf numFmtId="167" fontId="63" fillId="0" borderId="0" xfId="0" applyFont="1"/>
    <xf numFmtId="0" fontId="0" fillId="0" borderId="0" xfId="0" applyNumberFormat="1"/>
    <xf numFmtId="0" fontId="56" fillId="0" borderId="0" xfId="0" applyNumberFormat="1" applyFont="1"/>
    <xf numFmtId="0" fontId="46" fillId="0" borderId="0" xfId="0" applyNumberFormat="1" applyFont="1"/>
    <xf numFmtId="0" fontId="47" fillId="0" borderId="0" xfId="0" applyNumberFormat="1" applyFont="1"/>
    <xf numFmtId="2" fontId="0" fillId="0" borderId="0" xfId="0" applyNumberFormat="1"/>
    <xf numFmtId="167" fontId="44" fillId="0" borderId="39" xfId="0" applyFont="1" applyBorder="1" applyAlignment="1">
      <alignment horizontal="center"/>
    </xf>
    <xf numFmtId="167" fontId="43" fillId="0" borderId="14" xfId="0" applyFont="1" applyBorder="1" applyAlignment="1">
      <alignment horizontal="center"/>
    </xf>
    <xf numFmtId="167" fontId="44" fillId="0" borderId="13" xfId="0" applyFont="1" applyBorder="1"/>
    <xf numFmtId="167" fontId="46" fillId="0" borderId="39" xfId="0" applyFont="1" applyBorder="1"/>
    <xf numFmtId="167" fontId="44" fillId="0" borderId="24" xfId="0" applyFont="1" applyBorder="1"/>
    <xf numFmtId="167" fontId="44" fillId="0" borderId="5" xfId="0" applyFont="1" applyBorder="1"/>
    <xf numFmtId="167" fontId="44" fillId="0" borderId="12" xfId="0" applyFont="1" applyBorder="1" applyAlignment="1">
      <alignment horizontal="center"/>
    </xf>
    <xf numFmtId="167" fontId="46" fillId="0" borderId="46" xfId="0" applyFont="1" applyBorder="1"/>
    <xf numFmtId="167" fontId="44" fillId="0" borderId="46" xfId="0" applyFont="1" applyBorder="1"/>
    <xf numFmtId="167" fontId="51" fillId="0" borderId="46" xfId="0" applyFont="1" applyBorder="1"/>
    <xf numFmtId="167" fontId="44" fillId="0" borderId="45" xfId="0" applyFont="1" applyBorder="1" applyAlignment="1">
      <alignment horizontal="centerContinuous"/>
    </xf>
    <xf numFmtId="167" fontId="44" fillId="0" borderId="10" xfId="0" applyFont="1" applyBorder="1" applyAlignment="1">
      <alignment horizontal="centerContinuous"/>
    </xf>
    <xf numFmtId="167" fontId="54" fillId="0" borderId="0" xfId="1" applyNumberFormat="1" applyAlignment="1" applyProtection="1"/>
    <xf numFmtId="167" fontId="43" fillId="0" borderId="0" xfId="0" applyFont="1" applyAlignment="1">
      <alignment horizontal="left"/>
    </xf>
    <xf numFmtId="167" fontId="53" fillId="0" borderId="5" xfId="0" applyFont="1" applyBorder="1"/>
    <xf numFmtId="167" fontId="53" fillId="0" borderId="38" xfId="0" applyFont="1" applyBorder="1"/>
    <xf numFmtId="167" fontId="44" fillId="0" borderId="47" xfId="0" applyFont="1" applyBorder="1" applyAlignment="1">
      <alignment horizontal="centerContinuous"/>
    </xf>
    <xf numFmtId="167" fontId="44" fillId="0" borderId="48" xfId="0" applyFont="1" applyBorder="1" applyAlignment="1">
      <alignment horizontal="center"/>
    </xf>
    <xf numFmtId="167" fontId="44" fillId="0" borderId="7" xfId="0" applyFont="1" applyBorder="1" applyAlignment="1">
      <alignment horizontal="center"/>
    </xf>
    <xf numFmtId="167" fontId="53" fillId="0" borderId="35" xfId="0" applyFont="1" applyBorder="1" applyAlignment="1">
      <alignment vertical="top"/>
    </xf>
    <xf numFmtId="167" fontId="53" fillId="0" borderId="32" xfId="0" applyFont="1" applyBorder="1"/>
    <xf numFmtId="167" fontId="44" fillId="0" borderId="49" xfId="0" applyFont="1" applyBorder="1" applyAlignment="1">
      <alignment horizontal="center"/>
    </xf>
    <xf numFmtId="167" fontId="45" fillId="0" borderId="13" xfId="0" applyFont="1" applyBorder="1" applyAlignment="1">
      <alignment horizontal="justify" vertical="top" wrapText="1"/>
    </xf>
    <xf numFmtId="10" fontId="46" fillId="0" borderId="0" xfId="3" applyNumberFormat="1" applyFont="1" applyAlignment="1">
      <alignment horizontal="center"/>
    </xf>
    <xf numFmtId="10" fontId="46" fillId="0" borderId="12" xfId="3" applyNumberFormat="1" applyFont="1" applyBorder="1" applyAlignment="1">
      <alignment horizontal="center"/>
    </xf>
    <xf numFmtId="167" fontId="53" fillId="0" borderId="2" xfId="0" applyFont="1" applyBorder="1"/>
    <xf numFmtId="9" fontId="51" fillId="0" borderId="0" xfId="3" applyFont="1" applyAlignment="1">
      <alignment horizontal="center"/>
    </xf>
    <xf numFmtId="174" fontId="49" fillId="0" borderId="33" xfId="0" applyNumberFormat="1" applyFont="1" applyBorder="1" applyAlignment="1">
      <alignment horizontal="center" vertical="top"/>
    </xf>
    <xf numFmtId="167" fontId="46" fillId="0" borderId="13" xfId="0" applyFont="1" applyBorder="1" applyAlignment="1">
      <alignment horizontal="center"/>
    </xf>
    <xf numFmtId="167" fontId="43" fillId="0" borderId="0" xfId="0" applyFont="1" applyAlignment="1">
      <alignment vertical="top"/>
    </xf>
    <xf numFmtId="167" fontId="55" fillId="0" borderId="13" xfId="0" applyFont="1" applyBorder="1" applyAlignment="1">
      <alignment horizontal="center"/>
    </xf>
    <xf numFmtId="49" fontId="55" fillId="0" borderId="13" xfId="0" applyNumberFormat="1" applyFont="1" applyBorder="1" applyAlignment="1">
      <alignment horizontal="center"/>
    </xf>
    <xf numFmtId="168" fontId="46" fillId="0" borderId="13" xfId="0" applyNumberFormat="1" applyFont="1" applyBorder="1" applyAlignment="1">
      <alignment horizontal="center" vertical="top"/>
    </xf>
    <xf numFmtId="10" fontId="46" fillId="0" borderId="13" xfId="3" applyNumberFormat="1" applyFont="1" applyBorder="1" applyAlignment="1">
      <alignment horizontal="right" vertical="top"/>
    </xf>
    <xf numFmtId="167" fontId="46" fillId="0" borderId="13" xfId="0" applyFont="1" applyBorder="1" applyAlignment="1">
      <alignment horizontal="left" vertical="top" wrapText="1"/>
    </xf>
    <xf numFmtId="167" fontId="41" fillId="0" borderId="0" xfId="0" applyFont="1"/>
    <xf numFmtId="170" fontId="0" fillId="0" borderId="0" xfId="0" applyNumberFormat="1"/>
    <xf numFmtId="167" fontId="46" fillId="0" borderId="12" xfId="0" quotePrefix="1" applyFont="1" applyBorder="1" applyAlignment="1">
      <alignment horizontal="center"/>
    </xf>
    <xf numFmtId="176" fontId="45" fillId="0" borderId="0" xfId="0" applyNumberFormat="1" applyFont="1"/>
    <xf numFmtId="176" fontId="45" fillId="0" borderId="0" xfId="3" applyNumberFormat="1" applyFont="1"/>
    <xf numFmtId="10" fontId="46" fillId="0" borderId="12" xfId="3" applyNumberFormat="1" applyFont="1" applyBorder="1"/>
    <xf numFmtId="168" fontId="45" fillId="0" borderId="13" xfId="0" applyNumberFormat="1" applyFont="1" applyBorder="1" applyAlignment="1">
      <alignment horizontal="center" vertical="top"/>
    </xf>
    <xf numFmtId="167" fontId="45" fillId="0" borderId="12" xfId="0" applyFont="1" applyBorder="1" applyAlignment="1">
      <alignment vertical="top"/>
    </xf>
    <xf numFmtId="167" fontId="65" fillId="0" borderId="0" xfId="0" applyFont="1"/>
    <xf numFmtId="167" fontId="65" fillId="0" borderId="31" xfId="0" applyFont="1" applyBorder="1"/>
    <xf numFmtId="167" fontId="46" fillId="2" borderId="0" xfId="0" applyFont="1" applyFill="1" applyAlignment="1">
      <alignment vertical="top"/>
    </xf>
    <xf numFmtId="174" fontId="49" fillId="0" borderId="29" xfId="0" applyNumberFormat="1" applyFont="1" applyBorder="1" applyAlignment="1">
      <alignment horizontal="center" vertical="top"/>
    </xf>
    <xf numFmtId="167" fontId="49" fillId="0" borderId="29" xfId="0" applyFont="1" applyBorder="1" applyAlignment="1">
      <alignment vertical="top"/>
    </xf>
    <xf numFmtId="167" fontId="63" fillId="0" borderId="0" xfId="0" applyFont="1" applyAlignment="1">
      <alignment horizontal="right"/>
    </xf>
    <xf numFmtId="167" fontId="46" fillId="0" borderId="12" xfId="0" quotePrefix="1" applyFont="1" applyBorder="1"/>
    <xf numFmtId="0" fontId="72" fillId="0" borderId="38" xfId="6" applyFont="1" applyBorder="1" applyAlignment="1">
      <alignment horizontal="center" vertical="top" wrapText="1"/>
    </xf>
    <xf numFmtId="0" fontId="66" fillId="0" borderId="0" xfId="6" applyFont="1" applyAlignment="1">
      <alignment vertical="top"/>
    </xf>
    <xf numFmtId="167" fontId="43" fillId="0" borderId="13" xfId="0" applyFont="1" applyBorder="1" applyAlignment="1">
      <alignment vertical="center"/>
    </xf>
    <xf numFmtId="167" fontId="46" fillId="0" borderId="13" xfId="0" applyFont="1" applyBorder="1" applyAlignment="1">
      <alignment vertical="center"/>
    </xf>
    <xf numFmtId="167" fontId="46" fillId="0" borderId="0" xfId="0" applyFont="1" applyAlignment="1">
      <alignment vertical="center"/>
    </xf>
    <xf numFmtId="167" fontId="46" fillId="0" borderId="14" xfId="0" applyFont="1" applyBorder="1" applyAlignment="1">
      <alignment vertical="center"/>
    </xf>
    <xf numFmtId="167" fontId="46" fillId="0" borderId="36" xfId="0" applyFont="1" applyBorder="1" applyAlignment="1">
      <alignment vertical="center"/>
    </xf>
    <xf numFmtId="167" fontId="46" fillId="0" borderId="40" xfId="0" applyFont="1" applyBorder="1" applyAlignment="1">
      <alignment vertical="center"/>
    </xf>
    <xf numFmtId="167" fontId="44" fillId="0" borderId="8" xfId="0" applyFont="1" applyBorder="1" applyAlignment="1">
      <alignment vertical="center"/>
    </xf>
    <xf numFmtId="167" fontId="44" fillId="0" borderId="36" xfId="0" applyFont="1" applyBorder="1" applyAlignment="1">
      <alignment vertical="center"/>
    </xf>
    <xf numFmtId="167" fontId="46" fillId="0" borderId="8" xfId="0" applyFont="1" applyBorder="1" applyAlignment="1">
      <alignment vertical="center"/>
    </xf>
    <xf numFmtId="167" fontId="43" fillId="0" borderId="0" xfId="0" applyFont="1" applyAlignment="1">
      <alignment horizontal="right"/>
    </xf>
    <xf numFmtId="175" fontId="43" fillId="0" borderId="46" xfId="0" applyNumberFormat="1" applyFont="1" applyBorder="1" applyAlignment="1">
      <alignment horizontal="left"/>
    </xf>
    <xf numFmtId="167" fontId="46" fillId="0" borderId="0" xfId="0" applyFont="1" applyAlignment="1">
      <alignment vertical="top"/>
    </xf>
    <xf numFmtId="167" fontId="46" fillId="0" borderId="0" xfId="0" applyFont="1" applyAlignment="1">
      <alignment vertical="top" wrapText="1"/>
    </xf>
    <xf numFmtId="10" fontId="0" fillId="0" borderId="12" xfId="3" applyNumberFormat="1" applyFont="1" applyBorder="1"/>
    <xf numFmtId="176" fontId="0" fillId="0" borderId="0" xfId="0" applyNumberFormat="1"/>
    <xf numFmtId="176" fontId="0" fillId="0" borderId="12" xfId="0" applyNumberFormat="1" applyBorder="1"/>
    <xf numFmtId="167" fontId="44" fillId="0" borderId="8" xfId="0" quotePrefix="1" applyFont="1" applyBorder="1" applyAlignment="1">
      <alignment horizontal="center"/>
    </xf>
    <xf numFmtId="167" fontId="44" fillId="0" borderId="6" xfId="0" quotePrefix="1" applyFont="1" applyBorder="1" applyAlignment="1">
      <alignment horizontal="center"/>
    </xf>
    <xf numFmtId="167" fontId="44" fillId="0" borderId="35" xfId="0" applyFont="1" applyBorder="1" applyAlignment="1">
      <alignment horizontal="center"/>
    </xf>
    <xf numFmtId="167" fontId="44" fillId="0" borderId="29" xfId="0" applyFont="1" applyBorder="1" applyAlignment="1">
      <alignment horizontal="center"/>
    </xf>
    <xf numFmtId="167" fontId="78" fillId="0" borderId="0" xfId="0" applyFont="1"/>
    <xf numFmtId="0" fontId="48" fillId="0" borderId="0" xfId="0" applyNumberFormat="1" applyFont="1"/>
    <xf numFmtId="0" fontId="46" fillId="0" borderId="13" xfId="0" applyNumberFormat="1" applyFont="1" applyBorder="1"/>
    <xf numFmtId="167" fontId="0" fillId="0" borderId="13" xfId="0" applyBorder="1" applyAlignment="1">
      <alignment horizontal="center"/>
    </xf>
    <xf numFmtId="0" fontId="60" fillId="0" borderId="0" xfId="0" applyNumberFormat="1" applyFont="1"/>
    <xf numFmtId="0" fontId="60" fillId="0" borderId="12" xfId="0" applyNumberFormat="1" applyFont="1" applyBorder="1"/>
    <xf numFmtId="0" fontId="46" fillId="0" borderId="12" xfId="0" applyNumberFormat="1" applyFont="1" applyBorder="1"/>
    <xf numFmtId="170" fontId="46" fillId="0" borderId="0" xfId="0" applyNumberFormat="1" applyFont="1"/>
    <xf numFmtId="167" fontId="43" fillId="0" borderId="5" xfId="0" applyFont="1" applyBorder="1" applyAlignment="1">
      <alignment horizontal="center"/>
    </xf>
    <xf numFmtId="167" fontId="46" fillId="2" borderId="0" xfId="0" applyFont="1" applyFill="1"/>
    <xf numFmtId="167" fontId="43" fillId="0" borderId="24" xfId="0" applyFont="1" applyBorder="1" applyAlignment="1">
      <alignment horizontal="center"/>
    </xf>
    <xf numFmtId="9" fontId="51" fillId="2" borderId="0" xfId="3" applyFont="1" applyFill="1" applyProtection="1"/>
    <xf numFmtId="0" fontId="67" fillId="0" borderId="0" xfId="6" applyFont="1" applyAlignment="1">
      <alignment horizontal="left" vertical="center"/>
    </xf>
    <xf numFmtId="0" fontId="66" fillId="0" borderId="0" xfId="6" applyFont="1"/>
    <xf numFmtId="0" fontId="66" fillId="0" borderId="0" xfId="6" applyFont="1" applyAlignment="1">
      <alignment horizontal="left" vertical="center" indent="1"/>
    </xf>
    <xf numFmtId="0" fontId="68" fillId="0" borderId="0" xfId="6" applyFont="1" applyAlignment="1">
      <alignment horizontal="left" vertical="center" indent="1"/>
    </xf>
    <xf numFmtId="0" fontId="66" fillId="0" borderId="0" xfId="6" applyFont="1" applyAlignment="1">
      <alignment horizontal="left" vertical="center" indent="8"/>
    </xf>
    <xf numFmtId="0" fontId="69" fillId="0" borderId="0" xfId="6" applyFont="1" applyAlignment="1">
      <alignment vertical="center"/>
    </xf>
    <xf numFmtId="0" fontId="71" fillId="0" borderId="13" xfId="6" applyFont="1" applyBorder="1" applyAlignment="1">
      <alignment horizontal="center" vertical="top" wrapText="1"/>
    </xf>
    <xf numFmtId="0" fontId="71" fillId="0" borderId="31" xfId="6" applyFont="1" applyBorder="1" applyAlignment="1">
      <alignment horizontal="center" vertical="top" wrapText="1"/>
    </xf>
    <xf numFmtId="0" fontId="71" fillId="0" borderId="38" xfId="6" applyFont="1" applyBorder="1" applyAlignment="1">
      <alignment vertical="top" wrapText="1"/>
    </xf>
    <xf numFmtId="0" fontId="55" fillId="0" borderId="0" xfId="6" applyFont="1" applyAlignment="1">
      <alignment vertical="top"/>
    </xf>
    <xf numFmtId="0" fontId="71" fillId="0" borderId="38" xfId="6" applyFont="1" applyBorder="1" applyAlignment="1">
      <alignment horizontal="center" vertical="top" wrapText="1"/>
    </xf>
    <xf numFmtId="9" fontId="71" fillId="0" borderId="38" xfId="3" applyFont="1" applyFill="1" applyBorder="1" applyAlignment="1">
      <alignment horizontal="center" vertical="top" wrapText="1"/>
    </xf>
    <xf numFmtId="0" fontId="71" fillId="0" borderId="36" xfId="6" applyFont="1" applyBorder="1" applyAlignment="1">
      <alignment vertical="top" wrapText="1"/>
    </xf>
    <xf numFmtId="0" fontId="68" fillId="0" borderId="38" xfId="6" applyFont="1" applyBorder="1" applyAlignment="1">
      <alignment vertical="center"/>
    </xf>
    <xf numFmtId="0" fontId="68" fillId="0" borderId="31" xfId="6" applyFont="1" applyBorder="1" applyAlignment="1">
      <alignment vertical="center"/>
    </xf>
    <xf numFmtId="0" fontId="68" fillId="0" borderId="36" xfId="6" applyFont="1" applyBorder="1" applyAlignment="1">
      <alignment vertical="center"/>
    </xf>
    <xf numFmtId="0" fontId="72" fillId="0" borderId="1" xfId="6" applyFont="1" applyBorder="1" applyAlignment="1">
      <alignment horizontal="center" vertical="top" wrapText="1"/>
    </xf>
    <xf numFmtId="178" fontId="69" fillId="0" borderId="13" xfId="6" applyNumberFormat="1" applyFont="1" applyBorder="1" applyAlignment="1">
      <alignment horizontal="center" vertical="top" wrapText="1"/>
    </xf>
    <xf numFmtId="4" fontId="69" fillId="0" borderId="13" xfId="6" applyNumberFormat="1" applyFont="1" applyBorder="1" applyAlignment="1">
      <alignment horizontal="center" vertical="top" wrapText="1"/>
    </xf>
    <xf numFmtId="0" fontId="69" fillId="0" borderId="13" xfId="6" applyFont="1" applyBorder="1" applyAlignment="1">
      <alignment horizontal="center" vertical="top" wrapText="1"/>
    </xf>
    <xf numFmtId="2" fontId="69" fillId="0" borderId="13" xfId="6" applyNumberFormat="1" applyFont="1" applyBorder="1" applyAlignment="1">
      <alignment horizontal="center" vertical="top" wrapText="1"/>
    </xf>
    <xf numFmtId="2" fontId="66" fillId="0" borderId="0" xfId="6" applyNumberFormat="1" applyFont="1" applyAlignment="1">
      <alignment vertical="top"/>
    </xf>
    <xf numFmtId="0" fontId="72" fillId="0" borderId="34" xfId="6" applyFont="1" applyBorder="1" applyAlignment="1">
      <alignment horizontal="center" vertical="top" wrapText="1"/>
    </xf>
    <xf numFmtId="179" fontId="69" fillId="0" borderId="34" xfId="6" applyNumberFormat="1" applyFont="1" applyBorder="1" applyAlignment="1">
      <alignment horizontal="center" vertical="top" wrapText="1"/>
    </xf>
    <xf numFmtId="0" fontId="69" fillId="0" borderId="34" xfId="6" applyFont="1" applyBorder="1" applyAlignment="1">
      <alignment horizontal="center" vertical="top" wrapText="1"/>
    </xf>
    <xf numFmtId="0" fontId="72" fillId="0" borderId="13" xfId="6" applyFont="1" applyBorder="1" applyAlignment="1">
      <alignment horizontal="center" vertical="top" wrapText="1"/>
    </xf>
    <xf numFmtId="0" fontId="73" fillId="0" borderId="13" xfId="0" applyNumberFormat="1" applyFont="1" applyBorder="1" applyAlignment="1">
      <alignment horizontal="left" vertical="top" wrapText="1"/>
    </xf>
    <xf numFmtId="0" fontId="41" fillId="0" borderId="13" xfId="0" applyNumberFormat="1" applyFont="1" applyBorder="1" applyAlignment="1">
      <alignment horizontal="justify" vertical="top" wrapText="1"/>
    </xf>
    <xf numFmtId="167" fontId="69" fillId="0" borderId="13" xfId="6" applyNumberFormat="1" applyFont="1" applyBorder="1" applyAlignment="1">
      <alignment horizontal="center" vertical="top" wrapText="1"/>
    </xf>
    <xf numFmtId="0" fontId="72" fillId="0" borderId="0" xfId="6" applyFont="1" applyAlignment="1">
      <alignment horizontal="justify" vertical="top"/>
    </xf>
    <xf numFmtId="0" fontId="72" fillId="0" borderId="0" xfId="6" applyFont="1" applyAlignment="1">
      <alignment horizontal="center" vertical="top" wrapText="1"/>
    </xf>
    <xf numFmtId="0" fontId="69" fillId="0" borderId="0" xfId="6" applyFont="1" applyAlignment="1">
      <alignment vertical="top" wrapText="1"/>
    </xf>
    <xf numFmtId="2" fontId="69" fillId="0" borderId="57" xfId="6" applyNumberFormat="1" applyFont="1" applyBorder="1" applyAlignment="1">
      <alignment horizontal="center" vertical="top" wrapText="1"/>
    </xf>
    <xf numFmtId="0" fontId="72" fillId="0" borderId="0" xfId="6" applyFont="1" applyAlignment="1">
      <alignment vertical="top" wrapText="1"/>
    </xf>
    <xf numFmtId="0" fontId="69" fillId="0" borderId="0" xfId="6" applyFont="1" applyAlignment="1">
      <alignment horizontal="left" vertical="top" wrapText="1"/>
    </xf>
    <xf numFmtId="0" fontId="72" fillId="0" borderId="0" xfId="6" applyFont="1" applyAlignment="1">
      <alignment vertical="center"/>
    </xf>
    <xf numFmtId="9" fontId="66" fillId="0" borderId="0" xfId="6" applyNumberFormat="1" applyFont="1" applyAlignment="1">
      <alignment horizontal="center"/>
    </xf>
    <xf numFmtId="0" fontId="66" fillId="0" borderId="0" xfId="6" applyFont="1" applyAlignment="1">
      <alignment horizontal="center"/>
    </xf>
    <xf numFmtId="0" fontId="67" fillId="0" borderId="0" xfId="6" applyFont="1"/>
    <xf numFmtId="0" fontId="69" fillId="0" borderId="57" xfId="6" applyFont="1" applyBorder="1" applyAlignment="1">
      <alignment horizontal="center" vertical="top" wrapText="1"/>
    </xf>
    <xf numFmtId="0" fontId="68" fillId="0" borderId="60" xfId="6" applyFont="1" applyBorder="1" applyAlignment="1">
      <alignment horizontal="center" vertical="top" wrapText="1"/>
    </xf>
    <xf numFmtId="0" fontId="69" fillId="0" borderId="35" xfId="6" applyFont="1" applyBorder="1" applyAlignment="1">
      <alignment horizontal="center" vertical="top" wrapText="1"/>
    </xf>
    <xf numFmtId="0" fontId="68" fillId="0" borderId="60" xfId="6" applyFont="1" applyBorder="1" applyAlignment="1">
      <alignment horizontal="center" vertical="center" wrapText="1"/>
    </xf>
    <xf numFmtId="2" fontId="68" fillId="0" borderId="55" xfId="6" applyNumberFormat="1" applyFont="1" applyBorder="1" applyAlignment="1">
      <alignment horizontal="center" vertical="top" wrapText="1"/>
    </xf>
    <xf numFmtId="0" fontId="69" fillId="0" borderId="0" xfId="6" applyFont="1" applyAlignment="1">
      <alignment horizontal="center" vertical="top" wrapText="1"/>
    </xf>
    <xf numFmtId="2" fontId="68" fillId="0" borderId="57" xfId="6" applyNumberFormat="1" applyFont="1" applyBorder="1" applyAlignment="1">
      <alignment horizontal="center" vertical="top" wrapText="1"/>
    </xf>
    <xf numFmtId="168" fontId="68" fillId="0" borderId="60" xfId="6" applyNumberFormat="1" applyFont="1" applyBorder="1" applyAlignment="1">
      <alignment horizontal="center" vertical="top" wrapText="1"/>
    </xf>
    <xf numFmtId="0" fontId="68" fillId="0" borderId="55" xfId="6" applyFont="1" applyBorder="1" applyAlignment="1">
      <alignment horizontal="left" vertical="top" wrapText="1"/>
    </xf>
    <xf numFmtId="0" fontId="68" fillId="0" borderId="55" xfId="6" applyFont="1" applyBorder="1" applyAlignment="1">
      <alignment horizontal="center" vertical="top" wrapText="1"/>
    </xf>
    <xf numFmtId="0" fontId="68" fillId="0" borderId="57" xfId="6" applyFont="1" applyBorder="1" applyAlignment="1">
      <alignment horizontal="center" vertical="top" wrapText="1"/>
    </xf>
    <xf numFmtId="0" fontId="68" fillId="0" borderId="57" xfId="6" applyFont="1" applyBorder="1" applyAlignment="1">
      <alignment vertical="top" wrapText="1"/>
    </xf>
    <xf numFmtId="0" fontId="68" fillId="0" borderId="62" xfId="6" applyFont="1" applyBorder="1" applyAlignment="1">
      <alignment horizontal="center" vertical="top" wrapText="1"/>
    </xf>
    <xf numFmtId="0" fontId="72" fillId="0" borderId="59" xfId="6" applyFont="1" applyBorder="1" applyAlignment="1">
      <alignment vertical="center"/>
    </xf>
    <xf numFmtId="0" fontId="68" fillId="0" borderId="57" xfId="6" applyFont="1" applyBorder="1" applyAlignment="1">
      <alignment vertical="top"/>
    </xf>
    <xf numFmtId="2" fontId="68" fillId="0" borderId="62" xfId="6" applyNumberFormat="1" applyFont="1" applyBorder="1" applyAlignment="1">
      <alignment horizontal="center" vertical="center"/>
    </xf>
    <xf numFmtId="9" fontId="66" fillId="0" borderId="62" xfId="6" applyNumberFormat="1" applyFont="1" applyBorder="1" applyAlignment="1">
      <alignment horizontal="center"/>
    </xf>
    <xf numFmtId="2" fontId="68" fillId="0" borderId="57" xfId="6" applyNumberFormat="1" applyFont="1" applyBorder="1" applyAlignment="1">
      <alignment horizontal="center" vertical="top"/>
    </xf>
    <xf numFmtId="0" fontId="66" fillId="0" borderId="0" xfId="6" applyFont="1" applyAlignment="1">
      <alignment horizontal="left" vertical="center"/>
    </xf>
    <xf numFmtId="177" fontId="68" fillId="0" borderId="57" xfId="6" applyNumberFormat="1" applyFont="1" applyBorder="1" applyAlignment="1">
      <alignment horizontal="left" vertical="top"/>
    </xf>
    <xf numFmtId="0" fontId="66" fillId="0" borderId="0" xfId="6" applyFont="1" applyAlignment="1">
      <alignment horizontal="justify" vertical="center"/>
    </xf>
    <xf numFmtId="2" fontId="60" fillId="0" borderId="12" xfId="0" applyNumberFormat="1" applyFont="1" applyBorder="1"/>
    <xf numFmtId="167" fontId="51" fillId="0" borderId="0" xfId="0" applyFont="1" applyAlignment="1">
      <alignment horizontal="center" vertical="center"/>
    </xf>
    <xf numFmtId="167" fontId="51" fillId="0" borderId="12" xfId="0" applyFont="1" applyBorder="1" applyAlignment="1">
      <alignment horizontal="center" vertical="center"/>
    </xf>
    <xf numFmtId="167" fontId="44" fillId="0" borderId="32" xfId="0" applyFont="1" applyBorder="1" applyAlignment="1">
      <alignment horizontal="center"/>
    </xf>
    <xf numFmtId="167" fontId="44" fillId="0" borderId="39" xfId="0" applyFont="1" applyBorder="1" applyAlignment="1">
      <alignment horizontal="centerContinuous"/>
    </xf>
    <xf numFmtId="167" fontId="44" fillId="0" borderId="75" xfId="0" applyFont="1" applyBorder="1" applyAlignment="1">
      <alignment horizontal="center"/>
    </xf>
    <xf numFmtId="167" fontId="44" fillId="0" borderId="76" xfId="0" applyFont="1" applyBorder="1" applyAlignment="1">
      <alignment horizontal="centerContinuous"/>
    </xf>
    <xf numFmtId="167" fontId="44" fillId="0" borderId="77" xfId="0" applyFont="1" applyBorder="1" applyAlignment="1">
      <alignment horizontal="center"/>
    </xf>
    <xf numFmtId="167" fontId="43" fillId="0" borderId="46" xfId="0" applyFont="1" applyBorder="1"/>
    <xf numFmtId="167" fontId="43" fillId="0" borderId="1" xfId="0" applyFont="1" applyBorder="1" applyAlignment="1">
      <alignment horizontal="centerContinuous"/>
    </xf>
    <xf numFmtId="167" fontId="44" fillId="0" borderId="3" xfId="0" applyFont="1" applyBorder="1" applyAlignment="1">
      <alignment horizontal="center"/>
    </xf>
    <xf numFmtId="167" fontId="43" fillId="0" borderId="2" xfId="0" applyFont="1" applyBorder="1" applyAlignment="1">
      <alignment horizontal="center"/>
    </xf>
    <xf numFmtId="167" fontId="44" fillId="0" borderId="78" xfId="0" applyFont="1" applyBorder="1" applyAlignment="1">
      <alignment horizontal="center"/>
    </xf>
    <xf numFmtId="9" fontId="46" fillId="0" borderId="0" xfId="3" applyFont="1" applyBorder="1" applyAlignment="1" applyProtection="1">
      <alignment vertical="center"/>
    </xf>
    <xf numFmtId="170" fontId="53" fillId="0" borderId="12" xfId="0" applyNumberFormat="1" applyFont="1" applyBorder="1" applyAlignment="1">
      <alignment vertical="top"/>
    </xf>
    <xf numFmtId="167" fontId="53" fillId="4" borderId="31" xfId="0" applyFont="1" applyFill="1" applyBorder="1"/>
    <xf numFmtId="167" fontId="53" fillId="4" borderId="36" xfId="0" applyFont="1" applyFill="1" applyBorder="1"/>
    <xf numFmtId="167" fontId="53" fillId="3" borderId="31" xfId="0" applyFont="1" applyFill="1" applyBorder="1"/>
    <xf numFmtId="167" fontId="53" fillId="0" borderId="34" xfId="0" applyFont="1" applyBorder="1"/>
    <xf numFmtId="167" fontId="53" fillId="0" borderId="12" xfId="0" applyFont="1" applyBorder="1"/>
    <xf numFmtId="167" fontId="53" fillId="4" borderId="12" xfId="0" applyFont="1" applyFill="1" applyBorder="1"/>
    <xf numFmtId="167" fontId="81" fillId="0" borderId="36" xfId="0" applyFont="1" applyBorder="1"/>
    <xf numFmtId="167" fontId="81" fillId="0" borderId="31" xfId="0" applyFont="1" applyBorder="1"/>
    <xf numFmtId="167" fontId="53" fillId="3" borderId="36" xfId="0" applyFont="1" applyFill="1" applyBorder="1"/>
    <xf numFmtId="167" fontId="46" fillId="0" borderId="0" xfId="23" applyNumberFormat="1"/>
    <xf numFmtId="167" fontId="48" fillId="0" borderId="0" xfId="23" applyNumberFormat="1" applyFont="1" applyAlignment="1">
      <alignment horizontal="right"/>
    </xf>
    <xf numFmtId="0" fontId="39" fillId="0" borderId="0" xfId="16"/>
    <xf numFmtId="167" fontId="46" fillId="0" borderId="0" xfId="23" applyNumberFormat="1" applyAlignment="1">
      <alignment vertical="top"/>
    </xf>
    <xf numFmtId="167" fontId="46" fillId="2" borderId="0" xfId="23" applyNumberFormat="1" applyFill="1" applyAlignment="1">
      <alignment horizontal="right"/>
    </xf>
    <xf numFmtId="167" fontId="46" fillId="0" borderId="0" xfId="23" applyNumberFormat="1" applyAlignment="1">
      <alignment horizontal="right"/>
    </xf>
    <xf numFmtId="167" fontId="46" fillId="0" borderId="0" xfId="23" applyNumberFormat="1" applyAlignment="1">
      <alignment horizontal="left" vertical="top"/>
    </xf>
    <xf numFmtId="167" fontId="46" fillId="0" borderId="0" xfId="23" applyNumberFormat="1" applyAlignment="1">
      <alignment horizontal="left"/>
    </xf>
    <xf numFmtId="167" fontId="45" fillId="0" borderId="0" xfId="23" applyNumberFormat="1" applyFont="1" applyAlignment="1">
      <alignment horizontal="center"/>
    </xf>
    <xf numFmtId="167" fontId="46" fillId="0" borderId="0" xfId="23" applyNumberFormat="1" applyAlignment="1">
      <alignment horizontal="center"/>
    </xf>
    <xf numFmtId="167" fontId="43" fillId="0" borderId="0" xfId="23" applyNumberFormat="1" applyFont="1" applyAlignment="1">
      <alignment horizontal="center"/>
    </xf>
    <xf numFmtId="3" fontId="43" fillId="0" borderId="46" xfId="16" applyNumberFormat="1" applyFont="1" applyBorder="1"/>
    <xf numFmtId="180" fontId="46" fillId="2" borderId="46" xfId="16" applyNumberFormat="1" applyFont="1" applyFill="1" applyBorder="1" applyAlignment="1">
      <alignment horizontal="right"/>
    </xf>
    <xf numFmtId="167" fontId="46" fillId="0" borderId="46" xfId="16" applyNumberFormat="1" applyFont="1" applyBorder="1" applyAlignment="1">
      <alignment horizontal="left"/>
    </xf>
    <xf numFmtId="167" fontId="46" fillId="0" borderId="46" xfId="23" applyNumberFormat="1" applyBorder="1"/>
    <xf numFmtId="167" fontId="43" fillId="0" borderId="46" xfId="16" applyNumberFormat="1" applyFont="1" applyBorder="1" applyAlignment="1">
      <alignment horizontal="left"/>
    </xf>
    <xf numFmtId="167" fontId="43" fillId="0" borderId="0" xfId="23" applyNumberFormat="1" applyFont="1" applyAlignment="1">
      <alignment horizontal="right"/>
    </xf>
    <xf numFmtId="167" fontId="43" fillId="0" borderId="0" xfId="16" applyNumberFormat="1" applyFont="1"/>
    <xf numFmtId="167" fontId="39" fillId="0" borderId="0" xfId="16" applyNumberFormat="1"/>
    <xf numFmtId="168" fontId="39" fillId="0" borderId="0" xfId="16" applyNumberFormat="1"/>
    <xf numFmtId="3" fontId="43" fillId="0" borderId="66" xfId="16" applyNumberFormat="1" applyFont="1" applyBorder="1" applyAlignment="1">
      <alignment horizontal="center" vertical="top"/>
    </xf>
    <xf numFmtId="180" fontId="43" fillId="0" borderId="79" xfId="16" applyNumberFormat="1" applyFont="1" applyBorder="1" applyAlignment="1">
      <alignment horizontal="center" vertical="top"/>
    </xf>
    <xf numFmtId="167" fontId="43" fillId="0" borderId="79" xfId="23" applyNumberFormat="1" applyFont="1" applyBorder="1" applyAlignment="1">
      <alignment horizontal="center" vertical="top"/>
    </xf>
    <xf numFmtId="180" fontId="43" fillId="0" borderId="66" xfId="16" applyNumberFormat="1" applyFont="1" applyBorder="1" applyAlignment="1">
      <alignment horizontal="center" vertical="top"/>
    </xf>
    <xf numFmtId="167" fontId="43" fillId="0" borderId="0" xfId="23" applyNumberFormat="1" applyFont="1" applyAlignment="1">
      <alignment vertical="top" wrapText="1"/>
    </xf>
    <xf numFmtId="167" fontId="46" fillId="0" borderId="0" xfId="23" applyNumberFormat="1" applyAlignment="1">
      <alignment horizontal="center" vertical="center"/>
    </xf>
    <xf numFmtId="167" fontId="43" fillId="0" borderId="0" xfId="16" applyNumberFormat="1" applyFont="1" applyAlignment="1">
      <alignment horizontal="left"/>
    </xf>
    <xf numFmtId="182" fontId="46" fillId="0" borderId="0" xfId="23" applyNumberFormat="1" applyAlignment="1">
      <alignment horizontal="center"/>
    </xf>
    <xf numFmtId="167" fontId="47" fillId="0" borderId="0" xfId="16" applyNumberFormat="1" applyFont="1" applyAlignment="1">
      <alignment horizontal="right"/>
    </xf>
    <xf numFmtId="3" fontId="46" fillId="0" borderId="2" xfId="16" applyNumberFormat="1" applyFont="1" applyBorder="1" applyAlignment="1">
      <alignment horizontal="center" vertical="top"/>
    </xf>
    <xf numFmtId="180" fontId="46" fillId="0" borderId="2" xfId="16" applyNumberFormat="1" applyFont="1" applyBorder="1" applyAlignment="1">
      <alignment horizontal="left" vertical="top" wrapText="1"/>
    </xf>
    <xf numFmtId="167" fontId="46" fillId="0" borderId="32" xfId="16" applyNumberFormat="1" applyFont="1" applyBorder="1" applyAlignment="1">
      <alignment vertical="top"/>
    </xf>
    <xf numFmtId="167" fontId="46" fillId="0" borderId="32" xfId="23" applyNumberFormat="1" applyBorder="1" applyAlignment="1">
      <alignment vertical="top" wrapText="1"/>
    </xf>
    <xf numFmtId="167" fontId="46" fillId="0" borderId="2" xfId="23" applyNumberFormat="1" applyBorder="1" applyAlignment="1">
      <alignment vertical="top" wrapText="1"/>
    </xf>
    <xf numFmtId="0" fontId="83" fillId="0" borderId="0" xfId="16" applyFont="1" applyAlignment="1">
      <alignment vertical="top"/>
    </xf>
    <xf numFmtId="167" fontId="43" fillId="0" borderId="0" xfId="23" applyNumberFormat="1" applyFont="1" applyAlignment="1">
      <alignment horizontal="center" vertical="center"/>
    </xf>
    <xf numFmtId="167" fontId="46" fillId="0" borderId="0" xfId="23" applyNumberFormat="1" applyAlignment="1">
      <alignment horizontal="center" vertical="top"/>
    </xf>
    <xf numFmtId="167" fontId="46" fillId="0" borderId="0" xfId="23" applyNumberFormat="1" applyAlignment="1">
      <alignment vertical="top" wrapText="1"/>
    </xf>
    <xf numFmtId="2" fontId="46" fillId="0" borderId="0" xfId="23" applyNumberFormat="1" applyAlignment="1">
      <alignment vertical="top"/>
    </xf>
    <xf numFmtId="167" fontId="48" fillId="0" borderId="0" xfId="16" applyNumberFormat="1" applyFont="1"/>
    <xf numFmtId="1" fontId="39" fillId="0" borderId="0" xfId="16" applyNumberFormat="1" applyAlignment="1">
      <alignment vertical="top"/>
    </xf>
    <xf numFmtId="167" fontId="39" fillId="0" borderId="0" xfId="16" applyNumberFormat="1" applyAlignment="1">
      <alignment vertical="top"/>
    </xf>
    <xf numFmtId="176" fontId="46" fillId="0" borderId="2" xfId="17" applyNumberFormat="1" applyBorder="1" applyAlignment="1">
      <alignment vertical="top" wrapText="1"/>
    </xf>
    <xf numFmtId="167" fontId="46" fillId="0" borderId="32" xfId="23" applyNumberFormat="1" applyBorder="1" applyAlignment="1">
      <alignment vertical="top"/>
    </xf>
    <xf numFmtId="2" fontId="46" fillId="0" borderId="0" xfId="16" applyNumberFormat="1" applyFont="1" applyAlignment="1">
      <alignment vertical="top"/>
    </xf>
    <xf numFmtId="167" fontId="46" fillId="0" borderId="0" xfId="23" applyNumberFormat="1" applyAlignment="1">
      <alignment horizontal="right" vertical="top"/>
    </xf>
    <xf numFmtId="1" fontId="39" fillId="0" borderId="0" xfId="16" applyNumberFormat="1" applyAlignment="1">
      <alignment horizontal="center" vertical="top"/>
    </xf>
    <xf numFmtId="167" fontId="43" fillId="0" borderId="0" xfId="16" applyNumberFormat="1" applyFont="1" applyAlignment="1">
      <alignment horizontal="center" vertical="top"/>
    </xf>
    <xf numFmtId="167" fontId="39" fillId="0" borderId="0" xfId="16" applyNumberFormat="1" applyAlignment="1">
      <alignment horizontal="center" vertical="top"/>
    </xf>
    <xf numFmtId="167" fontId="39" fillId="0" borderId="0" xfId="16" applyNumberFormat="1" applyAlignment="1">
      <alignment horizontal="right" vertical="top"/>
    </xf>
    <xf numFmtId="167" fontId="39" fillId="0" borderId="0" xfId="16" applyNumberFormat="1" applyAlignment="1">
      <alignment horizontal="left"/>
    </xf>
    <xf numFmtId="2" fontId="46" fillId="0" borderId="32" xfId="23" applyNumberFormat="1" applyBorder="1" applyAlignment="1">
      <alignment vertical="top"/>
    </xf>
    <xf numFmtId="2" fontId="46" fillId="0" borderId="0" xfId="23" applyNumberFormat="1"/>
    <xf numFmtId="2" fontId="46" fillId="0" borderId="0" xfId="23" applyNumberFormat="1" applyAlignment="1">
      <alignment vertical="top" wrapText="1"/>
    </xf>
    <xf numFmtId="168" fontId="46" fillId="0" borderId="0" xfId="23" applyNumberFormat="1" applyAlignment="1">
      <alignment horizontal="center" vertical="top" wrapText="1"/>
    </xf>
    <xf numFmtId="167" fontId="39" fillId="0" borderId="0" xfId="16" applyNumberFormat="1" applyAlignment="1">
      <alignment horizontal="left" vertical="top" wrapText="1"/>
    </xf>
    <xf numFmtId="180" fontId="46" fillId="0" borderId="2" xfId="16" applyNumberFormat="1" applyFont="1" applyBorder="1" applyAlignment="1">
      <alignment vertical="top"/>
    </xf>
    <xf numFmtId="167" fontId="46" fillId="0" borderId="0" xfId="16" applyNumberFormat="1" applyFont="1" applyAlignment="1">
      <alignment vertical="top"/>
    </xf>
    <xf numFmtId="167" fontId="47" fillId="0" borderId="0" xfId="16" applyNumberFormat="1" applyFont="1" applyAlignment="1">
      <alignment horizontal="center"/>
    </xf>
    <xf numFmtId="167" fontId="47" fillId="0" borderId="0" xfId="16" applyNumberFormat="1" applyFont="1"/>
    <xf numFmtId="167" fontId="41" fillId="0" borderId="0" xfId="16" applyNumberFormat="1" applyFont="1" applyAlignment="1">
      <alignment horizontal="center"/>
    </xf>
    <xf numFmtId="167" fontId="86" fillId="0" borderId="0" xfId="16" applyNumberFormat="1" applyFont="1" applyAlignment="1">
      <alignment vertical="top"/>
    </xf>
    <xf numFmtId="0" fontId="39" fillId="0" borderId="0" xfId="16" applyAlignment="1">
      <alignment vertical="top"/>
    </xf>
    <xf numFmtId="180" fontId="46" fillId="0" borderId="2" xfId="16" applyNumberFormat="1" applyFont="1" applyBorder="1" applyAlignment="1">
      <alignment vertical="top" wrapText="1"/>
    </xf>
    <xf numFmtId="167" fontId="46" fillId="0" borderId="32" xfId="16" applyNumberFormat="1" applyFont="1" applyBorder="1" applyAlignment="1">
      <alignment vertical="top" wrapText="1"/>
    </xf>
    <xf numFmtId="2" fontId="46" fillId="0" borderId="32" xfId="23" applyNumberFormat="1" applyBorder="1" applyAlignment="1">
      <alignment vertical="top" wrapText="1"/>
    </xf>
    <xf numFmtId="171" fontId="46" fillId="0" borderId="0" xfId="23" applyNumberFormat="1" applyAlignment="1">
      <alignment horizontal="center" vertical="top"/>
    </xf>
    <xf numFmtId="1" fontId="41" fillId="0" borderId="0" xfId="16" applyNumberFormat="1" applyFont="1" applyAlignment="1">
      <alignment horizontal="center" vertical="top"/>
    </xf>
    <xf numFmtId="167" fontId="55" fillId="0" borderId="0" xfId="16" applyNumberFormat="1" applyFont="1" applyAlignment="1">
      <alignment vertical="top" wrapText="1"/>
    </xf>
    <xf numFmtId="167" fontId="55" fillId="0" borderId="0" xfId="16" applyNumberFormat="1" applyFont="1" applyAlignment="1">
      <alignment horizontal="center" vertical="top" wrapText="1"/>
    </xf>
    <xf numFmtId="168" fontId="55" fillId="0" borderId="0" xfId="16" applyNumberFormat="1" applyFont="1" applyAlignment="1">
      <alignment horizontal="center" vertical="top" wrapText="1"/>
    </xf>
    <xf numFmtId="168" fontId="55" fillId="0" borderId="0" xfId="16" applyNumberFormat="1" applyFont="1" applyAlignment="1">
      <alignment vertical="top" wrapText="1"/>
    </xf>
    <xf numFmtId="168" fontId="39" fillId="0" borderId="0" xfId="16" applyNumberFormat="1" applyAlignment="1">
      <alignment horizontal="center"/>
    </xf>
    <xf numFmtId="0" fontId="39" fillId="0" borderId="0" xfId="16" applyAlignment="1">
      <alignment horizontal="center" vertical="top"/>
    </xf>
    <xf numFmtId="2" fontId="46" fillId="0" borderId="32" xfId="16" applyNumberFormat="1" applyFont="1" applyBorder="1" applyAlignment="1">
      <alignment vertical="top"/>
    </xf>
    <xf numFmtId="167" fontId="46" fillId="0" borderId="0" xfId="23" applyNumberFormat="1" applyAlignment="1">
      <alignment wrapText="1"/>
    </xf>
    <xf numFmtId="1" fontId="41" fillId="0" borderId="0" xfId="16" applyNumberFormat="1" applyFont="1" applyAlignment="1">
      <alignment horizontal="center"/>
    </xf>
    <xf numFmtId="0" fontId="39" fillId="0" borderId="0" xfId="16" applyAlignment="1">
      <alignment horizontal="center"/>
    </xf>
    <xf numFmtId="2" fontId="83" fillId="0" borderId="0" xfId="16" applyNumberFormat="1" applyFont="1" applyAlignment="1">
      <alignment horizontal="center" vertical="top"/>
    </xf>
    <xf numFmtId="167" fontId="41" fillId="0" borderId="0" xfId="16" applyNumberFormat="1" applyFont="1" applyAlignment="1">
      <alignment horizontal="right"/>
    </xf>
    <xf numFmtId="3" fontId="46" fillId="0" borderId="33" xfId="16" applyNumberFormat="1" applyFont="1" applyBorder="1" applyAlignment="1">
      <alignment horizontal="center" vertical="top"/>
    </xf>
    <xf numFmtId="180" fontId="46" fillId="0" borderId="33" xfId="16" applyNumberFormat="1" applyFont="1" applyBorder="1" applyAlignment="1">
      <alignment vertical="top" wrapText="1"/>
    </xf>
    <xf numFmtId="167" fontId="43" fillId="0" borderId="0" xfId="23" applyNumberFormat="1" applyFont="1" applyAlignment="1">
      <alignment horizontal="center" vertical="top"/>
    </xf>
    <xf numFmtId="167" fontId="43" fillId="0" borderId="0" xfId="23" applyNumberFormat="1" applyFont="1" applyAlignment="1">
      <alignment vertical="top"/>
    </xf>
    <xf numFmtId="167" fontId="41" fillId="0" borderId="0" xfId="16" applyNumberFormat="1" applyFont="1" applyAlignment="1">
      <alignment horizontal="left" vertical="top" wrapText="1"/>
    </xf>
    <xf numFmtId="168" fontId="39" fillId="0" borderId="0" xfId="16" applyNumberFormat="1" applyAlignment="1">
      <alignment horizontal="center" vertical="top"/>
    </xf>
    <xf numFmtId="167" fontId="41" fillId="0" borderId="0" xfId="16" applyNumberFormat="1" applyFont="1" applyAlignment="1">
      <alignment horizontal="right" vertical="top"/>
    </xf>
    <xf numFmtId="180" fontId="43" fillId="0" borderId="33" xfId="16" applyNumberFormat="1" applyFont="1" applyBorder="1" applyAlignment="1">
      <alignment horizontal="right" vertical="top" wrapText="1"/>
    </xf>
    <xf numFmtId="167" fontId="43" fillId="0" borderId="32" xfId="16" applyNumberFormat="1" applyFont="1" applyBorder="1" applyAlignment="1">
      <alignment vertical="top"/>
    </xf>
    <xf numFmtId="167" fontId="43" fillId="0" borderId="2" xfId="23" applyNumberFormat="1" applyFont="1" applyBorder="1" applyAlignment="1">
      <alignment vertical="top" wrapText="1"/>
    </xf>
    <xf numFmtId="2" fontId="46" fillId="0" borderId="0" xfId="23" applyNumberFormat="1" applyAlignment="1">
      <alignment horizontal="right"/>
    </xf>
    <xf numFmtId="168" fontId="43" fillId="0" borderId="0" xfId="23" applyNumberFormat="1" applyFont="1" applyAlignment="1">
      <alignment horizontal="center"/>
    </xf>
    <xf numFmtId="167" fontId="43" fillId="0" borderId="0" xfId="23" applyNumberFormat="1" applyFont="1" applyAlignment="1">
      <alignment horizontal="left"/>
    </xf>
    <xf numFmtId="167" fontId="43" fillId="0" borderId="0" xfId="23" applyNumberFormat="1" applyFont="1"/>
    <xf numFmtId="180" fontId="43" fillId="0" borderId="32" xfId="16" applyNumberFormat="1" applyFont="1" applyBorder="1" applyAlignment="1">
      <alignment vertical="top"/>
    </xf>
    <xf numFmtId="167" fontId="43" fillId="0" borderId="56" xfId="16" applyNumberFormat="1" applyFont="1" applyBorder="1" applyAlignment="1">
      <alignment vertical="top"/>
    </xf>
    <xf numFmtId="2" fontId="43" fillId="0" borderId="56" xfId="23" applyNumberFormat="1" applyFont="1" applyBorder="1" applyAlignment="1">
      <alignment vertical="top"/>
    </xf>
    <xf numFmtId="167" fontId="46" fillId="0" borderId="32" xfId="23" applyNumberFormat="1" applyBorder="1"/>
    <xf numFmtId="1" fontId="41" fillId="0" borderId="0" xfId="16" applyNumberFormat="1" applyFont="1" applyAlignment="1">
      <alignment horizontal="right"/>
    </xf>
    <xf numFmtId="167" fontId="47" fillId="0" borderId="0" xfId="16" applyNumberFormat="1" applyFont="1" applyAlignment="1">
      <alignment horizontal="right" wrapText="1"/>
    </xf>
    <xf numFmtId="168" fontId="47" fillId="0" borderId="0" xfId="16" applyNumberFormat="1" applyFont="1" applyAlignment="1">
      <alignment horizontal="right"/>
    </xf>
    <xf numFmtId="3" fontId="46" fillId="0" borderId="2" xfId="16" applyNumberFormat="1" applyFont="1" applyBorder="1" applyAlignment="1">
      <alignment horizontal="right" vertical="top"/>
    </xf>
    <xf numFmtId="180" fontId="46" fillId="0" borderId="0" xfId="16" applyNumberFormat="1" applyFont="1" applyAlignment="1">
      <alignment vertical="top"/>
    </xf>
    <xf numFmtId="167" fontId="46" fillId="0" borderId="2" xfId="17" applyNumberFormat="1" applyBorder="1" applyAlignment="1">
      <alignment vertical="top"/>
    </xf>
    <xf numFmtId="167" fontId="47" fillId="0" borderId="0" xfId="16" applyNumberFormat="1" applyFont="1" applyAlignment="1">
      <alignment horizontal="left"/>
    </xf>
    <xf numFmtId="167" fontId="41" fillId="0" borderId="0" xfId="16" applyNumberFormat="1" applyFont="1" applyAlignment="1">
      <alignment horizontal="left"/>
    </xf>
    <xf numFmtId="3" fontId="36" fillId="0" borderId="2" xfId="16" applyNumberFormat="1" applyFont="1" applyBorder="1" applyAlignment="1">
      <alignment horizontal="right" vertical="top"/>
    </xf>
    <xf numFmtId="167" fontId="85" fillId="0" borderId="0" xfId="16" applyNumberFormat="1" applyFont="1"/>
    <xf numFmtId="167" fontId="46" fillId="0" borderId="35" xfId="16" applyNumberFormat="1" applyFont="1" applyBorder="1" applyAlignment="1">
      <alignment vertical="top"/>
    </xf>
    <xf numFmtId="167" fontId="46" fillId="0" borderId="33" xfId="17" applyNumberFormat="1" applyBorder="1" applyAlignment="1">
      <alignment vertical="top"/>
    </xf>
    <xf numFmtId="167" fontId="46" fillId="0" borderId="33" xfId="23" applyNumberFormat="1" applyBorder="1" applyAlignment="1">
      <alignment vertical="top" wrapText="1"/>
    </xf>
    <xf numFmtId="167" fontId="41" fillId="0" borderId="0" xfId="16" applyNumberFormat="1" applyFont="1"/>
    <xf numFmtId="3" fontId="39" fillId="0" borderId="35" xfId="16" applyNumberFormat="1" applyBorder="1" applyAlignment="1">
      <alignment horizontal="right" vertical="top"/>
    </xf>
    <xf numFmtId="180" fontId="43" fillId="0" borderId="13" xfId="16" applyNumberFormat="1" applyFont="1" applyBorder="1" applyAlignment="1">
      <alignment horizontal="right" vertical="top" wrapText="1"/>
    </xf>
    <xf numFmtId="172" fontId="46" fillId="0" borderId="2" xfId="17" applyNumberFormat="1" applyBorder="1" applyAlignment="1">
      <alignment vertical="top"/>
    </xf>
    <xf numFmtId="182" fontId="46" fillId="0" borderId="0" xfId="23" applyNumberFormat="1"/>
    <xf numFmtId="167" fontId="41" fillId="0" borderId="0" xfId="16" applyNumberFormat="1" applyFont="1" applyAlignment="1">
      <alignment wrapText="1"/>
    </xf>
    <xf numFmtId="167" fontId="41" fillId="0" borderId="0" xfId="16" applyNumberFormat="1" applyFont="1" applyAlignment="1">
      <alignment horizontal="center" vertical="top"/>
    </xf>
    <xf numFmtId="3" fontId="46" fillId="0" borderId="13" xfId="16" applyNumberFormat="1" applyFont="1" applyBorder="1" applyAlignment="1">
      <alignment horizontal="center" vertical="top"/>
    </xf>
    <xf numFmtId="180" fontId="43" fillId="0" borderId="13" xfId="16" applyNumberFormat="1" applyFont="1" applyBorder="1" applyAlignment="1">
      <alignment vertical="top"/>
    </xf>
    <xf numFmtId="167" fontId="43" fillId="0" borderId="13" xfId="16" applyNumberFormat="1" applyFont="1" applyBorder="1" applyAlignment="1">
      <alignment vertical="top"/>
    </xf>
    <xf numFmtId="168" fontId="41" fillId="0" borderId="0" xfId="16" applyNumberFormat="1" applyFont="1" applyAlignment="1">
      <alignment horizontal="right"/>
    </xf>
    <xf numFmtId="3" fontId="46" fillId="0" borderId="1" xfId="16" applyNumberFormat="1" applyFont="1" applyBorder="1" applyAlignment="1">
      <alignment horizontal="center" vertical="top"/>
    </xf>
    <xf numFmtId="180" fontId="46" fillId="0" borderId="5" xfId="16" applyNumberFormat="1" applyFont="1" applyBorder="1" applyAlignment="1">
      <alignment vertical="top"/>
    </xf>
    <xf numFmtId="167" fontId="46" fillId="0" borderId="2" xfId="16" applyNumberFormat="1" applyFont="1" applyBorder="1" applyAlignment="1">
      <alignment vertical="top"/>
    </xf>
    <xf numFmtId="167" fontId="46" fillId="0" borderId="1" xfId="16" applyNumberFormat="1" applyFont="1" applyBorder="1" applyAlignment="1">
      <alignment vertical="top"/>
    </xf>
    <xf numFmtId="167" fontId="43" fillId="0" borderId="13" xfId="23" applyNumberFormat="1" applyFont="1" applyBorder="1" applyAlignment="1">
      <alignment vertical="top"/>
    </xf>
    <xf numFmtId="182" fontId="41" fillId="0" borderId="0" xfId="14" applyNumberFormat="1" applyAlignment="1">
      <alignment horizontal="right" vertical="top" wrapText="1"/>
    </xf>
    <xf numFmtId="2" fontId="47" fillId="0" borderId="0" xfId="23" applyNumberFormat="1" applyFont="1"/>
    <xf numFmtId="167" fontId="47" fillId="0" borderId="0" xfId="23" applyNumberFormat="1" applyFont="1" applyAlignment="1">
      <alignment wrapText="1"/>
    </xf>
    <xf numFmtId="167" fontId="87" fillId="0" borderId="0" xfId="23" applyNumberFormat="1" applyFont="1"/>
    <xf numFmtId="167" fontId="46" fillId="2" borderId="0" xfId="16" applyNumberFormat="1" applyFont="1" applyFill="1" applyAlignment="1">
      <alignment horizontal="right"/>
    </xf>
    <xf numFmtId="167" fontId="46" fillId="0" borderId="0" xfId="16" applyNumberFormat="1" applyFont="1" applyAlignment="1">
      <alignment horizontal="right"/>
    </xf>
    <xf numFmtId="180" fontId="46" fillId="0" borderId="13" xfId="16" applyNumberFormat="1" applyFont="1" applyBorder="1" applyAlignment="1">
      <alignment horizontal="right"/>
    </xf>
    <xf numFmtId="167" fontId="46" fillId="2" borderId="13" xfId="23" applyNumberFormat="1" applyFill="1" applyBorder="1" applyAlignment="1">
      <alignment horizontal="left" vertical="top"/>
    </xf>
    <xf numFmtId="167" fontId="46" fillId="2" borderId="13" xfId="16" applyNumberFormat="1" applyFont="1" applyFill="1" applyBorder="1" applyAlignment="1">
      <alignment horizontal="right" vertical="top"/>
    </xf>
    <xf numFmtId="0" fontId="82" fillId="5" borderId="0" xfId="17" applyNumberFormat="1" applyFont="1" applyFill="1" applyAlignment="1">
      <alignment horizontal="left" vertical="top" wrapText="1"/>
    </xf>
    <xf numFmtId="0" fontId="85" fillId="0" borderId="0" xfId="16" applyFont="1" applyAlignment="1">
      <alignment vertical="top"/>
    </xf>
    <xf numFmtId="167" fontId="46" fillId="2" borderId="13" xfId="16" quotePrefix="1" applyNumberFormat="1" applyFont="1" applyFill="1" applyBorder="1" applyAlignment="1">
      <alignment horizontal="right" vertical="top"/>
    </xf>
    <xf numFmtId="0" fontId="84" fillId="0" borderId="0" xfId="16" applyFont="1" applyAlignment="1">
      <alignment vertical="top" wrapText="1"/>
    </xf>
    <xf numFmtId="0" fontId="84" fillId="0" borderId="0" xfId="16" applyFont="1" applyAlignment="1">
      <alignment vertical="top"/>
    </xf>
    <xf numFmtId="1" fontId="84" fillId="0" borderId="0" xfId="16" applyNumberFormat="1" applyFont="1" applyAlignment="1">
      <alignment vertical="top"/>
    </xf>
    <xf numFmtId="167" fontId="46" fillId="0" borderId="13" xfId="23" applyNumberFormat="1" applyBorder="1" applyAlignment="1">
      <alignment horizontal="right" vertical="top" wrapText="1"/>
    </xf>
    <xf numFmtId="169" fontId="46" fillId="2" borderId="13" xfId="3" applyNumberFormat="1" applyFont="1" applyFill="1" applyBorder="1" applyAlignment="1">
      <alignment horizontal="left" vertical="top" wrapText="1"/>
    </xf>
    <xf numFmtId="167" fontId="46" fillId="0" borderId="13" xfId="16" quotePrefix="1" applyNumberFormat="1" applyFont="1" applyBorder="1" applyAlignment="1">
      <alignment horizontal="right"/>
    </xf>
    <xf numFmtId="167" fontId="46" fillId="0" borderId="13" xfId="23" applyNumberFormat="1" applyBorder="1"/>
    <xf numFmtId="167" fontId="46" fillId="0" borderId="0" xfId="16" quotePrefix="1" applyNumberFormat="1" applyFont="1" applyAlignment="1">
      <alignment horizontal="right"/>
    </xf>
    <xf numFmtId="167" fontId="46" fillId="0" borderId="38" xfId="23" applyNumberFormat="1" applyBorder="1" applyAlignment="1">
      <alignment horizontal="right" vertical="top" wrapText="1"/>
    </xf>
    <xf numFmtId="3" fontId="46" fillId="0" borderId="1" xfId="16" applyNumberFormat="1" applyFont="1" applyBorder="1" applyAlignment="1">
      <alignment horizontal="center"/>
    </xf>
    <xf numFmtId="180" fontId="46" fillId="0" borderId="38" xfId="16" applyNumberFormat="1" applyFont="1" applyBorder="1"/>
    <xf numFmtId="167" fontId="41" fillId="0" borderId="13" xfId="16" applyNumberFormat="1" applyFont="1" applyBorder="1"/>
    <xf numFmtId="0" fontId="88" fillId="0" borderId="0" xfId="17" applyNumberFormat="1" applyFont="1" applyAlignment="1">
      <alignment vertical="top" wrapText="1"/>
    </xf>
    <xf numFmtId="3" fontId="46" fillId="0" borderId="33" xfId="16" applyNumberFormat="1" applyFont="1" applyBorder="1" applyAlignment="1">
      <alignment horizontal="center"/>
    </xf>
    <xf numFmtId="167" fontId="39" fillId="0" borderId="35" xfId="16" applyNumberFormat="1" applyBorder="1" applyAlignment="1">
      <alignment horizontal="center"/>
    </xf>
    <xf numFmtId="167" fontId="41" fillId="0" borderId="13" xfId="16" applyNumberFormat="1" applyFont="1" applyBorder="1" applyAlignment="1">
      <alignment horizontal="center" vertical="center" wrapText="1"/>
    </xf>
    <xf numFmtId="167" fontId="41" fillId="0" borderId="13" xfId="16" applyNumberFormat="1" applyFont="1" applyBorder="1" applyAlignment="1">
      <alignment vertical="center" wrapText="1"/>
    </xf>
    <xf numFmtId="167" fontId="46" fillId="0" borderId="13" xfId="0" applyFont="1" applyBorder="1" applyAlignment="1">
      <alignment horizontal="center" vertical="center" wrapText="1"/>
    </xf>
    <xf numFmtId="167" fontId="41" fillId="0" borderId="13" xfId="16" applyNumberFormat="1" applyFont="1" applyBorder="1" applyAlignment="1">
      <alignment horizontal="center" vertical="top" wrapText="1"/>
    </xf>
    <xf numFmtId="167" fontId="41" fillId="0" borderId="13" xfId="16" applyNumberFormat="1" applyFont="1" applyBorder="1" applyAlignment="1">
      <alignment horizontal="center" vertical="center"/>
    </xf>
    <xf numFmtId="0" fontId="39" fillId="0" borderId="0" xfId="16" applyAlignment="1">
      <alignment vertical="top" wrapText="1"/>
    </xf>
    <xf numFmtId="169" fontId="36" fillId="2" borderId="35" xfId="3" applyNumberFormat="1" applyFont="1" applyFill="1" applyBorder="1" applyAlignment="1">
      <alignment horizontal="right"/>
    </xf>
    <xf numFmtId="169" fontId="41" fillId="2" borderId="13" xfId="3" applyNumberFormat="1" applyFont="1" applyFill="1" applyBorder="1" applyAlignment="1">
      <alignment horizontal="center" vertical="center" wrapText="1"/>
    </xf>
    <xf numFmtId="169" fontId="41" fillId="0" borderId="13" xfId="3" applyNumberFormat="1" applyFont="1" applyBorder="1" applyAlignment="1">
      <alignment horizontal="center" vertical="center" wrapText="1"/>
    </xf>
    <xf numFmtId="169" fontId="42" fillId="0" borderId="13" xfId="3" applyNumberFormat="1" applyFont="1" applyFill="1" applyBorder="1" applyAlignment="1" applyProtection="1">
      <alignment horizontal="center" vertical="center" wrapText="1"/>
    </xf>
    <xf numFmtId="9" fontId="41" fillId="2" borderId="13" xfId="3" applyFont="1" applyFill="1" applyBorder="1" applyAlignment="1">
      <alignment horizontal="center" vertical="center"/>
    </xf>
    <xf numFmtId="180" fontId="46" fillId="0" borderId="38" xfId="16" applyNumberFormat="1" applyFont="1" applyBorder="1" applyAlignment="1">
      <alignment vertical="top"/>
    </xf>
    <xf numFmtId="167" fontId="46" fillId="0" borderId="13" xfId="16" applyNumberFormat="1" applyFont="1" applyBorder="1" applyAlignment="1">
      <alignment horizontal="right" vertical="top"/>
    </xf>
    <xf numFmtId="2" fontId="83" fillId="0" borderId="13" xfId="16" applyNumberFormat="1" applyFont="1" applyBorder="1" applyAlignment="1">
      <alignment vertical="top"/>
    </xf>
    <xf numFmtId="167" fontId="43" fillId="0" borderId="13" xfId="16" applyNumberFormat="1" applyFont="1" applyBorder="1" applyAlignment="1">
      <alignment horizontal="center"/>
    </xf>
    <xf numFmtId="2" fontId="46" fillId="0" borderId="13" xfId="16" applyNumberFormat="1" applyFont="1" applyBorder="1" applyAlignment="1">
      <alignment horizontal="right" vertical="top"/>
    </xf>
    <xf numFmtId="3" fontId="46" fillId="0" borderId="13" xfId="16" applyNumberFormat="1" applyFont="1" applyBorder="1" applyAlignment="1">
      <alignment horizontal="center"/>
    </xf>
    <xf numFmtId="180" fontId="46" fillId="0" borderId="38" xfId="16" applyNumberFormat="1" applyFont="1" applyBorder="1" applyAlignment="1">
      <alignment wrapText="1"/>
    </xf>
    <xf numFmtId="167" fontId="46" fillId="0" borderId="13" xfId="16" applyNumberFormat="1" applyFont="1" applyBorder="1" applyAlignment="1">
      <alignment horizontal="right"/>
    </xf>
    <xf numFmtId="2" fontId="46" fillId="0" borderId="13" xfId="16" applyNumberFormat="1" applyFont="1" applyBorder="1" applyAlignment="1">
      <alignment horizontal="right"/>
    </xf>
    <xf numFmtId="0" fontId="88" fillId="0" borderId="0" xfId="17" applyNumberFormat="1" applyFont="1" applyAlignment="1">
      <alignment horizontal="left" vertical="top" wrapText="1"/>
    </xf>
    <xf numFmtId="0" fontId="46" fillId="0" borderId="0" xfId="17" applyNumberFormat="1" applyAlignment="1">
      <alignment vertical="top"/>
    </xf>
    <xf numFmtId="180" fontId="46" fillId="0" borderId="0" xfId="16" applyNumberFormat="1" applyFont="1" applyAlignment="1">
      <alignment vertical="top" wrapText="1"/>
    </xf>
    <xf numFmtId="180" fontId="46" fillId="0" borderId="13" xfId="16" applyNumberFormat="1" applyFont="1" applyBorder="1" applyAlignment="1">
      <alignment vertical="top" wrapText="1"/>
    </xf>
    <xf numFmtId="180" fontId="46" fillId="0" borderId="38" xfId="16" applyNumberFormat="1" applyFont="1" applyBorder="1" applyAlignment="1">
      <alignment vertical="top" wrapText="1"/>
    </xf>
    <xf numFmtId="2" fontId="46" fillId="0" borderId="13" xfId="16" applyNumberFormat="1" applyFont="1" applyBorder="1" applyAlignment="1">
      <alignment vertical="top"/>
    </xf>
    <xf numFmtId="167" fontId="43" fillId="0" borderId="13" xfId="16" applyNumberFormat="1" applyFont="1" applyBorder="1" applyAlignment="1">
      <alignment horizontal="right" vertical="top"/>
    </xf>
    <xf numFmtId="0" fontId="82" fillId="0" borderId="0" xfId="17" applyNumberFormat="1" applyFont="1" applyAlignment="1">
      <alignment horizontal="left" vertical="top" wrapText="1"/>
    </xf>
    <xf numFmtId="167" fontId="43" fillId="0" borderId="13" xfId="16" applyNumberFormat="1" applyFont="1" applyBorder="1" applyAlignment="1">
      <alignment horizontal="center" vertical="top"/>
    </xf>
    <xf numFmtId="0" fontId="89" fillId="0" borderId="0" xfId="17" applyNumberFormat="1" applyFont="1" applyAlignment="1">
      <alignment horizontal="left" vertical="top"/>
    </xf>
    <xf numFmtId="180" fontId="46" fillId="0" borderId="2" xfId="16" applyNumberFormat="1" applyFont="1" applyBorder="1" applyAlignment="1">
      <alignment horizontal="left" vertical="center" wrapText="1"/>
    </xf>
    <xf numFmtId="2" fontId="83" fillId="0" borderId="13" xfId="16" applyNumberFormat="1" applyFont="1" applyBorder="1"/>
    <xf numFmtId="167" fontId="43" fillId="0" borderId="36" xfId="16" applyNumberFormat="1" applyFont="1" applyBorder="1" applyAlignment="1">
      <alignment horizontal="center"/>
    </xf>
    <xf numFmtId="167" fontId="46" fillId="0" borderId="36" xfId="16" applyNumberFormat="1" applyFont="1" applyBorder="1" applyAlignment="1">
      <alignment horizontal="center"/>
    </xf>
    <xf numFmtId="180" fontId="46" fillId="0" borderId="13" xfId="16" applyNumberFormat="1" applyFont="1" applyBorder="1" applyAlignment="1">
      <alignment horizontal="left" vertical="top" wrapText="1"/>
    </xf>
    <xf numFmtId="167" fontId="43" fillId="0" borderId="36" xfId="16" applyNumberFormat="1" applyFont="1" applyBorder="1" applyAlignment="1">
      <alignment horizontal="center" vertical="top"/>
    </xf>
    <xf numFmtId="180" fontId="46" fillId="0" borderId="38" xfId="16" applyNumberFormat="1" applyFont="1" applyBorder="1" applyAlignment="1">
      <alignment horizontal="left" vertical="top" wrapText="1"/>
    </xf>
    <xf numFmtId="167" fontId="46" fillId="0" borderId="36" xfId="16" applyNumberFormat="1" applyFont="1" applyBorder="1" applyAlignment="1">
      <alignment horizontal="center" vertical="top"/>
    </xf>
    <xf numFmtId="180" fontId="43" fillId="0" borderId="38" xfId="16" applyNumberFormat="1" applyFont="1" applyBorder="1"/>
    <xf numFmtId="2" fontId="43" fillId="0" borderId="13" xfId="16" applyNumberFormat="1" applyFont="1" applyBorder="1" applyAlignment="1">
      <alignment horizontal="right"/>
    </xf>
    <xf numFmtId="2" fontId="39" fillId="0" borderId="0" xfId="16" applyNumberFormat="1"/>
    <xf numFmtId="3" fontId="39" fillId="0" borderId="0" xfId="16" applyNumberFormat="1"/>
    <xf numFmtId="167" fontId="39" fillId="0" borderId="0" xfId="16" applyNumberFormat="1" applyAlignment="1">
      <alignment horizontal="right"/>
    </xf>
    <xf numFmtId="167" fontId="43" fillId="0" borderId="0" xfId="16" applyNumberFormat="1" applyFont="1" applyAlignment="1">
      <alignment horizontal="center" vertical="top" wrapText="1"/>
    </xf>
    <xf numFmtId="1" fontId="86" fillId="0" borderId="0" xfId="16" applyNumberFormat="1" applyFont="1" applyAlignment="1">
      <alignment horizontal="center"/>
    </xf>
    <xf numFmtId="167" fontId="86" fillId="0" borderId="0" xfId="16" applyNumberFormat="1" applyFont="1" applyAlignment="1">
      <alignment horizontal="left" wrapText="1"/>
    </xf>
    <xf numFmtId="167" fontId="39" fillId="0" borderId="0" xfId="16" applyNumberFormat="1" applyAlignment="1">
      <alignment horizontal="center"/>
    </xf>
    <xf numFmtId="167" fontId="41" fillId="0" borderId="0" xfId="16" applyNumberFormat="1" applyFont="1" applyAlignment="1">
      <alignment horizontal="left" wrapText="1"/>
    </xf>
    <xf numFmtId="167" fontId="41" fillId="0" borderId="0" xfId="16" applyNumberFormat="1" applyFont="1" applyAlignment="1">
      <alignment vertical="top"/>
    </xf>
    <xf numFmtId="167" fontId="41" fillId="0" borderId="0" xfId="16" applyNumberFormat="1" applyFont="1" applyAlignment="1">
      <alignment horizontal="center" vertical="center"/>
    </xf>
    <xf numFmtId="167" fontId="41" fillId="0" borderId="0" xfId="16" quotePrefix="1" applyNumberFormat="1" applyFont="1" applyAlignment="1">
      <alignment horizontal="center" vertical="center"/>
    </xf>
    <xf numFmtId="167" fontId="47" fillId="0" borderId="0" xfId="16" applyNumberFormat="1" applyFont="1" applyAlignment="1">
      <alignment horizontal="center" vertical="center" wrapText="1"/>
    </xf>
    <xf numFmtId="167" fontId="41" fillId="0" borderId="0" xfId="16" quotePrefix="1" applyNumberFormat="1" applyFont="1" applyAlignment="1">
      <alignment horizontal="center"/>
    </xf>
    <xf numFmtId="0" fontId="39" fillId="0" borderId="0" xfId="16" applyAlignment="1">
      <alignment wrapText="1"/>
    </xf>
    <xf numFmtId="167" fontId="41" fillId="0" borderId="0" xfId="16" applyNumberFormat="1" applyFont="1" applyAlignment="1">
      <alignment vertical="center" wrapText="1"/>
    </xf>
    <xf numFmtId="168" fontId="41" fillId="0" borderId="0" xfId="16" applyNumberFormat="1" applyFont="1" applyAlignment="1">
      <alignment horizontal="right" vertical="center"/>
    </xf>
    <xf numFmtId="167" fontId="41" fillId="0" borderId="0" xfId="16" applyNumberFormat="1" applyFont="1" applyAlignment="1">
      <alignment horizontal="right" vertical="center"/>
    </xf>
    <xf numFmtId="168" fontId="41" fillId="0" borderId="0" xfId="16" applyNumberFormat="1" applyFont="1" applyAlignment="1">
      <alignment horizontal="center" vertical="top"/>
    </xf>
    <xf numFmtId="168" fontId="41" fillId="0" borderId="0" xfId="16" applyNumberFormat="1" applyFont="1" applyAlignment="1">
      <alignment horizontal="center" vertical="center"/>
    </xf>
    <xf numFmtId="167" fontId="39" fillId="0" borderId="0" xfId="16" applyNumberFormat="1" applyAlignment="1">
      <alignment wrapText="1"/>
    </xf>
    <xf numFmtId="167" fontId="39" fillId="0" borderId="0" xfId="16" applyNumberFormat="1" applyAlignment="1">
      <alignment horizontal="center" vertical="center"/>
    </xf>
    <xf numFmtId="0" fontId="39" fillId="0" borderId="0" xfId="16" applyAlignment="1">
      <alignment horizontal="center" vertical="center"/>
    </xf>
    <xf numFmtId="0" fontId="39" fillId="0" borderId="0" xfId="16" applyAlignment="1">
      <alignment horizontal="left" vertical="center"/>
    </xf>
    <xf numFmtId="167" fontId="41" fillId="0" borderId="0" xfId="16" quotePrefix="1" applyNumberFormat="1" applyFont="1" applyAlignment="1">
      <alignment horizontal="left"/>
    </xf>
    <xf numFmtId="1" fontId="90" fillId="0" borderId="0" xfId="16" applyNumberFormat="1" applyFont="1" applyAlignment="1">
      <alignment horizontal="right"/>
    </xf>
    <xf numFmtId="167" fontId="47" fillId="0" borderId="0" xfId="16" applyNumberFormat="1" applyFont="1" applyAlignment="1">
      <alignment horizontal="left" wrapText="1"/>
    </xf>
    <xf numFmtId="167" fontId="46" fillId="0" borderId="0" xfId="0" applyFont="1" applyAlignment="1">
      <alignment horizontal="left" vertical="top"/>
    </xf>
    <xf numFmtId="183" fontId="46" fillId="0" borderId="0" xfId="0" applyNumberFormat="1" applyFont="1" applyAlignment="1">
      <alignment horizontal="right"/>
    </xf>
    <xf numFmtId="2" fontId="46" fillId="0" borderId="0" xfId="3" applyNumberFormat="1" applyFont="1" applyBorder="1" applyAlignment="1">
      <alignment horizontal="right"/>
    </xf>
    <xf numFmtId="176" fontId="51" fillId="0" borderId="0" xfId="0" applyNumberFormat="1" applyFont="1"/>
    <xf numFmtId="167" fontId="43" fillId="0" borderId="26" xfId="0" applyFont="1" applyBorder="1" applyAlignment="1">
      <alignment horizontal="center"/>
    </xf>
    <xf numFmtId="167" fontId="43" fillId="0" borderId="27" xfId="0" applyFont="1" applyBorder="1" applyAlignment="1">
      <alignment horizontal="center"/>
    </xf>
    <xf numFmtId="0" fontId="72" fillId="0" borderId="56" xfId="6" applyFont="1" applyBorder="1" applyAlignment="1">
      <alignment horizontal="center" vertical="top" wrapText="1"/>
    </xf>
    <xf numFmtId="167" fontId="68" fillId="0" borderId="13" xfId="6" applyNumberFormat="1" applyFont="1" applyBorder="1" applyAlignment="1">
      <alignment horizontal="center" vertical="center" wrapText="1"/>
    </xf>
    <xf numFmtId="167" fontId="68" fillId="0" borderId="13" xfId="6" applyNumberFormat="1" applyFont="1" applyBorder="1" applyAlignment="1">
      <alignment horizontal="left" vertical="center" wrapText="1"/>
    </xf>
    <xf numFmtId="0" fontId="68" fillId="0" borderId="13" xfId="6" applyFont="1" applyBorder="1" applyAlignment="1">
      <alignment horizontal="center" vertical="center"/>
    </xf>
    <xf numFmtId="0" fontId="68" fillId="0" borderId="0" xfId="6" applyFont="1" applyAlignment="1">
      <alignment vertical="center"/>
    </xf>
    <xf numFmtId="168" fontId="55" fillId="0" borderId="1" xfId="0" applyNumberFormat="1" applyFont="1" applyBorder="1" applyAlignment="1">
      <alignment horizontal="center" vertical="top"/>
    </xf>
    <xf numFmtId="167" fontId="55" fillId="0" borderId="1" xfId="0" applyFont="1" applyBorder="1" applyAlignment="1">
      <alignment horizontal="left" vertical="top"/>
    </xf>
    <xf numFmtId="49" fontId="55" fillId="0" borderId="34" xfId="0" applyNumberFormat="1" applyFont="1" applyBorder="1" applyAlignment="1">
      <alignment horizontal="center" vertical="top"/>
    </xf>
    <xf numFmtId="2" fontId="55" fillId="0" borderId="1" xfId="0" applyNumberFormat="1" applyFont="1" applyBorder="1" applyAlignment="1">
      <alignment horizontal="right" vertical="top"/>
    </xf>
    <xf numFmtId="168" fontId="55" fillId="0" borderId="2" xfId="0" applyNumberFormat="1" applyFont="1" applyBorder="1" applyAlignment="1">
      <alignment horizontal="center" vertical="top"/>
    </xf>
    <xf numFmtId="167" fontId="55" fillId="0" borderId="2" xfId="0" applyFont="1" applyBorder="1" applyAlignment="1">
      <alignment horizontal="left" vertical="top"/>
    </xf>
    <xf numFmtId="49" fontId="55" fillId="0" borderId="0" xfId="0" applyNumberFormat="1" applyFont="1" applyAlignment="1">
      <alignment horizontal="center" vertical="top"/>
    </xf>
    <xf numFmtId="2" fontId="55" fillId="0" borderId="2" xfId="0" applyNumberFormat="1" applyFont="1" applyBorder="1" applyAlignment="1">
      <alignment horizontal="right" vertical="top"/>
    </xf>
    <xf numFmtId="167" fontId="55" fillId="0" borderId="2" xfId="0" applyFont="1" applyBorder="1" applyAlignment="1">
      <alignment vertical="top" wrapText="1"/>
    </xf>
    <xf numFmtId="167" fontId="55" fillId="0" borderId="0" xfId="0" applyFont="1" applyAlignment="1">
      <alignment horizontal="center" vertical="top"/>
    </xf>
    <xf numFmtId="167" fontId="55" fillId="0" borderId="2" xfId="0" applyFont="1" applyBorder="1" applyAlignment="1">
      <alignment vertical="top"/>
    </xf>
    <xf numFmtId="168" fontId="55" fillId="0" borderId="32" xfId="0" applyNumberFormat="1" applyFont="1" applyBorder="1" applyAlignment="1">
      <alignment horizontal="center" vertical="top"/>
    </xf>
    <xf numFmtId="167" fontId="55" fillId="0" borderId="32" xfId="0" applyFont="1" applyBorder="1" applyAlignment="1">
      <alignment horizontal="left" vertical="top"/>
    </xf>
    <xf numFmtId="167" fontId="55" fillId="0" borderId="2" xfId="0" applyFont="1" applyBorder="1" applyAlignment="1">
      <alignment horizontal="center" vertical="top"/>
    </xf>
    <xf numFmtId="167" fontId="55" fillId="0" borderId="32" xfId="0" applyFont="1" applyBorder="1" applyAlignment="1">
      <alignment vertical="top"/>
    </xf>
    <xf numFmtId="167" fontId="55" fillId="0" borderId="32" xfId="0" applyFont="1" applyBorder="1" applyAlignment="1">
      <alignment horizontal="center" vertical="top"/>
    </xf>
    <xf numFmtId="10" fontId="55" fillId="0" borderId="2" xfId="3" applyNumberFormat="1" applyFont="1" applyBorder="1" applyAlignment="1" applyProtection="1">
      <alignment horizontal="right" vertical="top"/>
    </xf>
    <xf numFmtId="168" fontId="55" fillId="0" borderId="33" xfId="0" applyNumberFormat="1" applyFont="1" applyBorder="1" applyAlignment="1">
      <alignment horizontal="center" vertical="top"/>
    </xf>
    <xf numFmtId="167" fontId="55" fillId="0" borderId="35" xfId="0" applyFont="1" applyBorder="1" applyAlignment="1">
      <alignment horizontal="left" vertical="top"/>
    </xf>
    <xf numFmtId="167" fontId="55" fillId="0" borderId="35" xfId="0" applyFont="1" applyBorder="1" applyAlignment="1">
      <alignment horizontal="center" vertical="top"/>
    </xf>
    <xf numFmtId="2" fontId="55" fillId="0" borderId="33" xfId="0" applyNumberFormat="1" applyFont="1" applyBorder="1" applyAlignment="1">
      <alignment horizontal="right" vertical="top"/>
    </xf>
    <xf numFmtId="9" fontId="66" fillId="0" borderId="0" xfId="3" applyFont="1" applyFill="1" applyAlignment="1">
      <alignment vertical="top"/>
    </xf>
    <xf numFmtId="167" fontId="46" fillId="0" borderId="0" xfId="0" applyFont="1" applyAlignment="1">
      <alignment wrapText="1"/>
    </xf>
    <xf numFmtId="167" fontId="76" fillId="0" borderId="13" xfId="0" applyFont="1" applyBorder="1" applyAlignment="1">
      <alignment vertical="top"/>
    </xf>
    <xf numFmtId="0" fontId="66" fillId="0" borderId="0" xfId="6" applyFont="1" applyAlignment="1">
      <alignment horizontal="right"/>
    </xf>
    <xf numFmtId="177" fontId="66" fillId="0" borderId="12" xfId="6" applyNumberFormat="1" applyFont="1" applyBorder="1" applyAlignment="1">
      <alignment horizontal="left" vertical="top"/>
    </xf>
    <xf numFmtId="177" fontId="66" fillId="0" borderId="0" xfId="6" applyNumberFormat="1" applyFont="1" applyAlignment="1">
      <alignment horizontal="left" vertical="top"/>
    </xf>
    <xf numFmtId="167" fontId="76" fillId="0" borderId="13" xfId="0" applyFont="1" applyBorder="1"/>
    <xf numFmtId="167" fontId="0" fillId="0" borderId="34" xfId="0" applyBorder="1"/>
    <xf numFmtId="167" fontId="76" fillId="0" borderId="0" xfId="0" applyFont="1"/>
    <xf numFmtId="167" fontId="103" fillId="0" borderId="0" xfId="0" applyFont="1" applyAlignment="1">
      <alignment vertical="top"/>
    </xf>
    <xf numFmtId="167" fontId="76" fillId="0" borderId="0" xfId="0" applyFont="1" applyAlignment="1">
      <alignment vertical="top"/>
    </xf>
    <xf numFmtId="167" fontId="94" fillId="0" borderId="57" xfId="0" applyFont="1" applyBorder="1" applyAlignment="1">
      <alignment horizontal="center" vertical="top"/>
    </xf>
    <xf numFmtId="167" fontId="94" fillId="0" borderId="58" xfId="0" applyFont="1" applyBorder="1" applyAlignment="1">
      <alignment horizontal="center" vertical="top"/>
    </xf>
    <xf numFmtId="167" fontId="76" fillId="0" borderId="0" xfId="0" applyFont="1" applyAlignment="1">
      <alignment horizontal="center"/>
    </xf>
    <xf numFmtId="167" fontId="97" fillId="0" borderId="13" xfId="0" applyFont="1" applyBorder="1" applyAlignment="1">
      <alignment vertical="top"/>
    </xf>
    <xf numFmtId="167" fontId="97" fillId="0" borderId="13" xfId="0" applyFont="1" applyBorder="1" applyAlignment="1">
      <alignment horizontal="center" vertical="top"/>
    </xf>
    <xf numFmtId="167" fontId="76" fillId="0" borderId="13" xfId="0" applyFont="1" applyBorder="1" applyAlignment="1">
      <alignment horizontal="left"/>
    </xf>
    <xf numFmtId="167" fontId="77" fillId="0" borderId="56" xfId="0" applyFont="1" applyBorder="1"/>
    <xf numFmtId="167" fontId="104" fillId="0" borderId="34" xfId="0" applyFont="1" applyBorder="1"/>
    <xf numFmtId="167" fontId="76" fillId="0" borderId="34" xfId="0" applyFont="1" applyBorder="1"/>
    <xf numFmtId="167" fontId="76" fillId="0" borderId="30" xfId="0" applyFont="1" applyBorder="1"/>
    <xf numFmtId="167" fontId="76" fillId="0" borderId="13" xfId="0" applyFont="1" applyBorder="1" applyAlignment="1">
      <alignment horizontal="center"/>
    </xf>
    <xf numFmtId="168" fontId="76" fillId="0" borderId="13" xfId="0" applyNumberFormat="1" applyFont="1" applyBorder="1"/>
    <xf numFmtId="167" fontId="77" fillId="0" borderId="0" xfId="0" applyFont="1"/>
    <xf numFmtId="167" fontId="100" fillId="0" borderId="0" xfId="0" applyFont="1" applyAlignment="1">
      <alignment vertical="top"/>
    </xf>
    <xf numFmtId="167" fontId="76" fillId="0" borderId="13" xfId="0" applyFont="1" applyBorder="1" applyAlignment="1">
      <alignment horizontal="left" vertical="center"/>
    </xf>
    <xf numFmtId="167" fontId="76" fillId="0" borderId="0" xfId="0" applyFont="1" applyAlignment="1">
      <alignment horizontal="left" vertical="top"/>
    </xf>
    <xf numFmtId="168" fontId="55" fillId="2" borderId="13" xfId="0" applyNumberFormat="1" applyFont="1" applyFill="1" applyBorder="1" applyAlignment="1">
      <alignment horizontal="center"/>
    </xf>
    <xf numFmtId="167" fontId="55" fillId="2" borderId="13" xfId="0" applyFont="1" applyFill="1" applyBorder="1"/>
    <xf numFmtId="10" fontId="46" fillId="2" borderId="13" xfId="3" applyNumberFormat="1" applyFont="1" applyFill="1" applyBorder="1" applyAlignment="1">
      <alignment horizontal="right" vertical="top"/>
    </xf>
    <xf numFmtId="167" fontId="55" fillId="2" borderId="0" xfId="0" applyFont="1" applyFill="1"/>
    <xf numFmtId="167" fontId="76" fillId="0" borderId="13" xfId="0" applyFont="1" applyBorder="1" applyAlignment="1">
      <alignment horizontal="center" vertical="top"/>
    </xf>
    <xf numFmtId="167" fontId="97" fillId="0" borderId="13" xfId="0" applyFont="1" applyBorder="1" applyAlignment="1">
      <alignment vertical="top" wrapText="1"/>
    </xf>
    <xf numFmtId="167" fontId="94" fillId="0" borderId="13" xfId="0" applyFont="1" applyBorder="1" applyAlignment="1">
      <alignment vertical="top"/>
    </xf>
    <xf numFmtId="167" fontId="94" fillId="0" borderId="62" xfId="0" applyFont="1" applyBorder="1" applyAlignment="1">
      <alignment horizontal="center" vertical="top"/>
    </xf>
    <xf numFmtId="167" fontId="77" fillId="0" borderId="0" xfId="0" applyFont="1" applyAlignment="1">
      <alignment wrapText="1"/>
    </xf>
    <xf numFmtId="167" fontId="97" fillId="0" borderId="33" xfId="0" applyFont="1" applyBorder="1" applyAlignment="1">
      <alignment vertical="top"/>
    </xf>
    <xf numFmtId="167" fontId="97" fillId="0" borderId="33" xfId="0" applyFont="1" applyBorder="1" applyAlignment="1">
      <alignment horizontal="center" vertical="top"/>
    </xf>
    <xf numFmtId="168" fontId="97" fillId="4" borderId="33" xfId="0" applyNumberFormat="1" applyFont="1" applyFill="1" applyBorder="1" applyAlignment="1">
      <alignment horizontal="center" vertical="top"/>
    </xf>
    <xf numFmtId="168" fontId="76" fillId="4" borderId="35" xfId="0" applyNumberFormat="1" applyFont="1" applyFill="1" applyBorder="1" applyAlignment="1">
      <alignment horizontal="center" vertical="top"/>
    </xf>
    <xf numFmtId="168" fontId="94" fillId="4" borderId="13" xfId="0" applyNumberFormat="1" applyFont="1" applyFill="1" applyBorder="1" applyAlignment="1">
      <alignment horizontal="center" vertical="top" wrapText="1"/>
    </xf>
    <xf numFmtId="167" fontId="76" fillId="0" borderId="0" xfId="0" applyFont="1" applyAlignment="1">
      <alignment horizontal="left" wrapText="1"/>
    </xf>
    <xf numFmtId="168" fontId="97" fillId="4" borderId="13" xfId="0" applyNumberFormat="1" applyFont="1" applyFill="1" applyBorder="1" applyAlignment="1">
      <alignment horizontal="center" vertical="top"/>
    </xf>
    <xf numFmtId="168" fontId="76" fillId="4" borderId="38" xfId="0" applyNumberFormat="1" applyFont="1" applyFill="1" applyBorder="1" applyAlignment="1">
      <alignment horizontal="center" vertical="top"/>
    </xf>
    <xf numFmtId="167" fontId="97" fillId="4" borderId="13" xfId="0" applyFont="1" applyFill="1" applyBorder="1" applyAlignment="1">
      <alignment horizontal="center" vertical="top"/>
    </xf>
    <xf numFmtId="167" fontId="93" fillId="4" borderId="38" xfId="0" applyFont="1" applyFill="1" applyBorder="1" applyAlignment="1">
      <alignment horizontal="center" vertical="top"/>
    </xf>
    <xf numFmtId="167" fontId="94" fillId="4" borderId="13" xfId="0" applyFont="1" applyFill="1" applyBorder="1" applyAlignment="1">
      <alignment horizontal="center" vertical="top" wrapText="1"/>
    </xf>
    <xf numFmtId="168" fontId="76" fillId="0" borderId="0" xfId="0" applyNumberFormat="1" applyFont="1" applyAlignment="1">
      <alignment horizontal="center" vertical="top"/>
    </xf>
    <xf numFmtId="168" fontId="93" fillId="0" borderId="0" xfId="0" applyNumberFormat="1" applyFont="1" applyAlignment="1">
      <alignment horizontal="center" vertical="top" wrapText="1"/>
    </xf>
    <xf numFmtId="168" fontId="76" fillId="4" borderId="13" xfId="0" applyNumberFormat="1" applyFont="1" applyFill="1" applyBorder="1" applyAlignment="1">
      <alignment horizontal="center" vertical="top" wrapText="1"/>
    </xf>
    <xf numFmtId="168" fontId="76" fillId="4" borderId="38" xfId="0" applyNumberFormat="1" applyFont="1" applyFill="1" applyBorder="1" applyAlignment="1">
      <alignment horizontal="center" vertical="top" wrapText="1"/>
    </xf>
    <xf numFmtId="168" fontId="77" fillId="4" borderId="13" xfId="0" applyNumberFormat="1" applyFont="1" applyFill="1" applyBorder="1" applyAlignment="1">
      <alignment horizontal="center" vertical="top" wrapText="1"/>
    </xf>
    <xf numFmtId="168" fontId="76" fillId="0" borderId="0" xfId="0" applyNumberFormat="1" applyFont="1" applyAlignment="1">
      <alignment horizontal="center" vertical="top" wrapText="1"/>
    </xf>
    <xf numFmtId="167" fontId="97" fillId="4" borderId="13" xfId="0" quotePrefix="1" applyFont="1" applyFill="1" applyBorder="1" applyAlignment="1">
      <alignment horizontal="center" vertical="top"/>
    </xf>
    <xf numFmtId="167" fontId="76" fillId="4" borderId="38" xfId="0" quotePrefix="1" applyFont="1" applyFill="1" applyBorder="1" applyAlignment="1">
      <alignment horizontal="center" vertical="top"/>
    </xf>
    <xf numFmtId="167" fontId="97" fillId="0" borderId="0" xfId="0" quotePrefix="1" applyFont="1" applyAlignment="1">
      <alignment horizontal="center" vertical="top"/>
    </xf>
    <xf numFmtId="167" fontId="97" fillId="4" borderId="13" xfId="0" applyFont="1" applyFill="1" applyBorder="1" applyAlignment="1">
      <alignment horizontal="center"/>
    </xf>
    <xf numFmtId="167" fontId="76" fillId="4" borderId="38" xfId="0" applyFont="1" applyFill="1" applyBorder="1" applyAlignment="1">
      <alignment horizontal="center"/>
    </xf>
    <xf numFmtId="168" fontId="94" fillId="4" borderId="13" xfId="0" applyNumberFormat="1" applyFont="1" applyFill="1" applyBorder="1" applyAlignment="1">
      <alignment horizontal="center"/>
    </xf>
    <xf numFmtId="167" fontId="76" fillId="4" borderId="13" xfId="0" applyFont="1" applyFill="1" applyBorder="1" applyAlignment="1">
      <alignment horizontal="center" vertical="center"/>
    </xf>
    <xf numFmtId="167" fontId="76" fillId="4" borderId="38" xfId="0" applyFont="1" applyFill="1" applyBorder="1" applyAlignment="1">
      <alignment horizontal="center" vertical="center"/>
    </xf>
    <xf numFmtId="167" fontId="77" fillId="4" borderId="13" xfId="0" applyFont="1" applyFill="1" applyBorder="1" applyAlignment="1">
      <alignment horizontal="center"/>
    </xf>
    <xf numFmtId="168" fontId="76" fillId="4" borderId="13" xfId="0" applyNumberFormat="1" applyFont="1" applyFill="1" applyBorder="1"/>
    <xf numFmtId="168" fontId="95" fillId="2" borderId="13" xfId="0" applyNumberFormat="1" applyFont="1" applyFill="1" applyBorder="1"/>
    <xf numFmtId="168" fontId="76" fillId="2" borderId="13" xfId="0" applyNumberFormat="1" applyFont="1" applyFill="1" applyBorder="1"/>
    <xf numFmtId="168" fontId="76" fillId="0" borderId="13" xfId="0" applyNumberFormat="1" applyFont="1" applyBorder="1" applyAlignment="1">
      <alignment horizontal="center"/>
    </xf>
    <xf numFmtId="167" fontId="76" fillId="0" borderId="13" xfId="0" applyFont="1" applyBorder="1" applyAlignment="1">
      <alignment wrapText="1"/>
    </xf>
    <xf numFmtId="167" fontId="76" fillId="4" borderId="13" xfId="0" applyFont="1" applyFill="1" applyBorder="1" applyAlignment="1">
      <alignment vertical="top"/>
    </xf>
    <xf numFmtId="167" fontId="76" fillId="2" borderId="13" xfId="0" applyFont="1" applyFill="1" applyBorder="1" applyAlignment="1">
      <alignment vertical="top"/>
    </xf>
    <xf numFmtId="169" fontId="76" fillId="2" borderId="13" xfId="3" applyNumberFormat="1" applyFont="1" applyFill="1" applyBorder="1" applyAlignment="1" applyProtection="1">
      <alignment vertical="top"/>
    </xf>
    <xf numFmtId="10" fontId="76" fillId="2" borderId="13" xfId="3" applyNumberFormat="1" applyFont="1" applyFill="1" applyBorder="1" applyAlignment="1" applyProtection="1">
      <alignment horizontal="right" vertical="top"/>
    </xf>
    <xf numFmtId="167" fontId="108" fillId="2" borderId="13" xfId="0" applyFont="1" applyFill="1" applyBorder="1"/>
    <xf numFmtId="167" fontId="97" fillId="0" borderId="13" xfId="0" applyFont="1" applyBorder="1" applyAlignment="1">
      <alignment vertical="center"/>
    </xf>
    <xf numFmtId="168" fontId="97" fillId="2" borderId="13" xfId="0" applyNumberFormat="1" applyFont="1" applyFill="1" applyBorder="1" applyAlignment="1">
      <alignment horizontal="center" vertical="center"/>
    </xf>
    <xf numFmtId="167" fontId="97" fillId="2" borderId="13" xfId="0" applyFont="1" applyFill="1" applyBorder="1" applyAlignment="1">
      <alignment horizontal="center" vertical="center"/>
    </xf>
    <xf numFmtId="1" fontId="97" fillId="2" borderId="13" xfId="0" applyNumberFormat="1" applyFont="1" applyFill="1" applyBorder="1" applyAlignment="1">
      <alignment horizontal="center" vertical="center"/>
    </xf>
    <xf numFmtId="167" fontId="76" fillId="0" borderId="13" xfId="0" applyFont="1" applyBorder="1" applyAlignment="1">
      <alignment horizontal="left" vertical="top"/>
    </xf>
    <xf numFmtId="168" fontId="76" fillId="0" borderId="13" xfId="0" applyNumberFormat="1" applyFont="1" applyBorder="1" applyAlignment="1">
      <alignment horizontal="right" vertical="top"/>
    </xf>
    <xf numFmtId="167" fontId="76" fillId="0" borderId="13" xfId="0" quotePrefix="1" applyFont="1" applyBorder="1" applyAlignment="1">
      <alignment horizontal="center" vertical="top"/>
    </xf>
    <xf numFmtId="168" fontId="76" fillId="4" borderId="13" xfId="0" applyNumberFormat="1" applyFont="1" applyFill="1" applyBorder="1" applyAlignment="1">
      <alignment vertical="top"/>
    </xf>
    <xf numFmtId="167" fontId="97" fillId="6" borderId="13" xfId="0" applyFont="1" applyFill="1" applyBorder="1" applyAlignment="1">
      <alignment vertical="top" wrapText="1"/>
    </xf>
    <xf numFmtId="168" fontId="76" fillId="0" borderId="13" xfId="0" applyNumberFormat="1" applyFont="1" applyBorder="1" applyAlignment="1">
      <alignment vertical="top"/>
    </xf>
    <xf numFmtId="167" fontId="77" fillId="0" borderId="13" xfId="0" applyFont="1" applyBorder="1" applyAlignment="1">
      <alignment horizontal="right" vertical="top"/>
    </xf>
    <xf numFmtId="2" fontId="98" fillId="4" borderId="13" xfId="20" quotePrefix="1" applyNumberFormat="1" applyFont="1" applyFill="1" applyBorder="1" applyAlignment="1">
      <alignment horizontal="right"/>
    </xf>
    <xf numFmtId="167" fontId="77" fillId="0" borderId="0" xfId="0" applyFont="1" applyAlignment="1">
      <alignment horizontal="right"/>
    </xf>
    <xf numFmtId="2" fontId="76" fillId="2" borderId="13" xfId="0" quotePrefix="1" applyNumberFormat="1" applyFont="1" applyFill="1" applyBorder="1" applyAlignment="1">
      <alignment horizontal="center" vertical="top"/>
    </xf>
    <xf numFmtId="167" fontId="97" fillId="6" borderId="13" xfId="0" quotePrefix="1" applyFont="1" applyFill="1" applyBorder="1" applyAlignment="1">
      <alignment vertical="top"/>
    </xf>
    <xf numFmtId="2" fontId="98" fillId="4" borderId="2" xfId="20" quotePrefix="1" applyNumberFormat="1" applyFont="1" applyFill="1" applyBorder="1" applyAlignment="1">
      <alignment horizontal="right"/>
    </xf>
    <xf numFmtId="167" fontId="76" fillId="0" borderId="13" xfId="0" applyFont="1" applyBorder="1" applyAlignment="1">
      <alignment horizontal="center" vertical="top" wrapText="1"/>
    </xf>
    <xf numFmtId="9" fontId="97" fillId="4" borderId="13" xfId="3" applyFont="1" applyFill="1" applyBorder="1" applyAlignment="1">
      <alignment vertical="top"/>
    </xf>
    <xf numFmtId="2" fontId="98" fillId="0" borderId="13" xfId="20" quotePrefix="1" applyNumberFormat="1" applyFont="1" applyBorder="1" applyAlignment="1">
      <alignment horizontal="right"/>
    </xf>
    <xf numFmtId="167" fontId="97" fillId="6" borderId="0" xfId="0" applyFont="1" applyFill="1" applyAlignment="1">
      <alignment vertical="top" wrapText="1"/>
    </xf>
    <xf numFmtId="167" fontId="76" fillId="0" borderId="13" xfId="4" applyNumberFormat="1" applyFont="1" applyBorder="1" applyAlignment="1">
      <alignment horizontal="left" vertical="top"/>
    </xf>
    <xf numFmtId="167" fontId="91" fillId="0" borderId="13" xfId="4" applyNumberFormat="1" applyFont="1" applyBorder="1" applyAlignment="1">
      <alignment horizontal="center" vertical="top"/>
    </xf>
    <xf numFmtId="168" fontId="91" fillId="2" borderId="13" xfId="4" applyNumberFormat="1" applyFont="1" applyFill="1" applyBorder="1" applyAlignment="1">
      <alignment vertical="top"/>
    </xf>
    <xf numFmtId="167" fontId="76" fillId="2" borderId="13" xfId="0" applyFont="1" applyFill="1" applyBorder="1"/>
    <xf numFmtId="167" fontId="77" fillId="0" borderId="0" xfId="0" applyFont="1" applyAlignment="1">
      <alignment horizontal="left"/>
    </xf>
    <xf numFmtId="167" fontId="46" fillId="0" borderId="2" xfId="0" applyFont="1" applyBorder="1" applyAlignment="1">
      <alignment horizontal="center" vertical="top"/>
    </xf>
    <xf numFmtId="167" fontId="46" fillId="0" borderId="2" xfId="0" applyFont="1" applyBorder="1" applyAlignment="1">
      <alignment vertical="top"/>
    </xf>
    <xf numFmtId="167" fontId="46" fillId="0" borderId="2" xfId="0" applyFont="1" applyBorder="1" applyAlignment="1">
      <alignment vertical="top" wrapText="1"/>
    </xf>
    <xf numFmtId="167" fontId="43" fillId="0" borderId="13" xfId="0" applyFont="1" applyBorder="1" applyAlignment="1">
      <alignment horizontal="center" vertical="top"/>
    </xf>
    <xf numFmtId="168" fontId="46" fillId="0" borderId="1" xfId="0" applyNumberFormat="1" applyFont="1" applyBorder="1" applyAlignment="1">
      <alignment horizontal="center" vertical="top"/>
    </xf>
    <xf numFmtId="168" fontId="46" fillId="0" borderId="5" xfId="0" applyNumberFormat="1" applyFont="1" applyBorder="1" applyAlignment="1">
      <alignment vertical="top"/>
    </xf>
    <xf numFmtId="168" fontId="46" fillId="0" borderId="2" xfId="0" applyNumberFormat="1" applyFont="1" applyBorder="1" applyAlignment="1">
      <alignment horizontal="center" vertical="top"/>
    </xf>
    <xf numFmtId="167" fontId="46" fillId="0" borderId="5" xfId="0" applyFont="1" applyBorder="1" applyAlignment="1">
      <alignment vertical="top"/>
    </xf>
    <xf numFmtId="168" fontId="46" fillId="0" borderId="5" xfId="3" applyNumberFormat="1" applyFont="1" applyFill="1" applyBorder="1" applyAlignment="1" applyProtection="1">
      <alignment vertical="top"/>
    </xf>
    <xf numFmtId="172" fontId="0" fillId="0" borderId="0" xfId="0" applyNumberFormat="1"/>
    <xf numFmtId="185" fontId="0" fillId="0" borderId="0" xfId="0" applyNumberFormat="1"/>
    <xf numFmtId="167" fontId="0" fillId="0" borderId="5" xfId="0" applyBorder="1" applyAlignment="1">
      <alignment horizontal="center" vertical="top" wrapText="1"/>
    </xf>
    <xf numFmtId="10" fontId="0" fillId="0" borderId="0" xfId="3" applyNumberFormat="1" applyFont="1"/>
    <xf numFmtId="168" fontId="46" fillId="0" borderId="33" xfId="0" applyNumberFormat="1" applyFont="1" applyBorder="1" applyAlignment="1">
      <alignment horizontal="center" vertical="top"/>
    </xf>
    <xf numFmtId="167" fontId="46" fillId="0" borderId="33" xfId="0" applyFont="1" applyBorder="1" applyAlignment="1">
      <alignment vertical="top"/>
    </xf>
    <xf numFmtId="167" fontId="46" fillId="0" borderId="33" xfId="0" applyFont="1" applyBorder="1" applyAlignment="1">
      <alignment horizontal="center" vertical="top"/>
    </xf>
    <xf numFmtId="168" fontId="46" fillId="0" borderId="29" xfId="0" applyNumberFormat="1" applyFont="1" applyBorder="1" applyAlignment="1">
      <alignment vertical="top"/>
    </xf>
    <xf numFmtId="168" fontId="43" fillId="0" borderId="0" xfId="0" applyNumberFormat="1" applyFont="1" applyAlignment="1">
      <alignment horizontal="center"/>
    </xf>
    <xf numFmtId="167" fontId="43" fillId="0" borderId="12" xfId="0" applyFont="1" applyBorder="1" applyAlignment="1">
      <alignment horizontal="left"/>
    </xf>
    <xf numFmtId="167" fontId="0" fillId="0" borderId="13" xfId="0" applyBorder="1" applyAlignment="1">
      <alignment horizontal="center" vertical="top" wrapText="1"/>
    </xf>
    <xf numFmtId="167" fontId="46" fillId="0" borderId="13" xfId="0" applyFont="1" applyBorder="1" applyAlignment="1">
      <alignment horizontal="center" vertical="top" wrapText="1"/>
    </xf>
    <xf numFmtId="167" fontId="0" fillId="0" borderId="32" xfId="0" applyBorder="1" applyAlignment="1">
      <alignment horizontal="center"/>
    </xf>
    <xf numFmtId="168" fontId="46" fillId="0" borderId="2" xfId="0" applyNumberFormat="1" applyFont="1" applyBorder="1" applyAlignment="1">
      <alignment horizontal="center"/>
    </xf>
    <xf numFmtId="168" fontId="0" fillId="0" borderId="5" xfId="0" applyNumberFormat="1" applyBorder="1" applyAlignment="1">
      <alignment horizontal="right" vertical="top" wrapText="1"/>
    </xf>
    <xf numFmtId="167" fontId="0" fillId="0" borderId="5" xfId="0" applyBorder="1" applyAlignment="1">
      <alignment horizontal="right" vertical="top" wrapText="1"/>
    </xf>
    <xf numFmtId="167" fontId="0" fillId="0" borderId="0" xfId="0" applyAlignment="1">
      <alignment horizontal="right" vertical="top" wrapText="1"/>
    </xf>
    <xf numFmtId="168" fontId="46" fillId="0" borderId="2" xfId="0" applyNumberFormat="1" applyFont="1" applyBorder="1" applyAlignment="1">
      <alignment horizontal="center" vertical="top" wrapText="1"/>
    </xf>
    <xf numFmtId="167" fontId="46" fillId="0" borderId="33" xfId="0" applyFont="1" applyBorder="1" applyAlignment="1">
      <alignment horizontal="left" vertical="top"/>
    </xf>
    <xf numFmtId="167" fontId="0" fillId="0" borderId="33" xfId="0" applyBorder="1" applyAlignment="1">
      <alignment horizontal="center" vertical="top" wrapText="1"/>
    </xf>
    <xf numFmtId="168" fontId="0" fillId="0" borderId="29" xfId="0" applyNumberFormat="1" applyBorder="1" applyAlignment="1">
      <alignment horizontal="right" vertical="top" wrapText="1"/>
    </xf>
    <xf numFmtId="167" fontId="0" fillId="0" borderId="33" xfId="0" applyBorder="1" applyAlignment="1">
      <alignment horizontal="right" vertical="top" wrapText="1"/>
    </xf>
    <xf numFmtId="167" fontId="43" fillId="0" borderId="2" xfId="0" applyFont="1" applyBorder="1" applyAlignment="1">
      <alignment horizontal="right"/>
    </xf>
    <xf numFmtId="167" fontId="43" fillId="0" borderId="5" xfId="0" applyFont="1" applyBorder="1" applyAlignment="1">
      <alignment horizontal="right"/>
    </xf>
    <xf numFmtId="168" fontId="43" fillId="0" borderId="2" xfId="0" applyNumberFormat="1" applyFont="1" applyBorder="1" applyAlignment="1">
      <alignment horizontal="right"/>
    </xf>
    <xf numFmtId="167" fontId="43" fillId="0" borderId="1" xfId="0" applyFont="1" applyBorder="1" applyAlignment="1">
      <alignment horizontal="right" vertical="top" wrapText="1"/>
    </xf>
    <xf numFmtId="167" fontId="43" fillId="0" borderId="1" xfId="0" applyFont="1" applyBorder="1" applyAlignment="1">
      <alignment horizontal="center"/>
    </xf>
    <xf numFmtId="167" fontId="43" fillId="0" borderId="1" xfId="0" applyFont="1" applyBorder="1" applyAlignment="1">
      <alignment horizontal="left"/>
    </xf>
    <xf numFmtId="167" fontId="47" fillId="0" borderId="30" xfId="0" applyFont="1" applyBorder="1" applyAlignment="1">
      <alignment horizontal="center"/>
    </xf>
    <xf numFmtId="167" fontId="47" fillId="0" borderId="34" xfId="0" applyFont="1" applyBorder="1" applyAlignment="1">
      <alignment horizontal="right"/>
    </xf>
    <xf numFmtId="167" fontId="47" fillId="0" borderId="1" xfId="0" applyFont="1" applyBorder="1" applyAlignment="1">
      <alignment horizontal="right"/>
    </xf>
    <xf numFmtId="167" fontId="0" fillId="0" borderId="5" xfId="0" applyBorder="1" applyAlignment="1">
      <alignment horizontal="center"/>
    </xf>
    <xf numFmtId="168" fontId="0" fillId="0" borderId="0" xfId="0" applyNumberFormat="1" applyAlignment="1">
      <alignment horizontal="right" vertical="top" wrapText="1"/>
    </xf>
    <xf numFmtId="168" fontId="0" fillId="0" borderId="2" xfId="0" applyNumberFormat="1" applyBorder="1" applyAlignment="1">
      <alignment horizontal="right" vertical="top" wrapText="1"/>
    </xf>
    <xf numFmtId="167" fontId="0" fillId="0" borderId="2" xfId="0" applyBorder="1" applyAlignment="1">
      <alignment horizontal="right" vertical="top" wrapText="1"/>
    </xf>
    <xf numFmtId="168" fontId="0" fillId="0" borderId="2" xfId="0" applyNumberFormat="1" applyBorder="1" applyAlignment="1">
      <alignment horizontal="center"/>
    </xf>
    <xf numFmtId="167" fontId="46" fillId="0" borderId="5" xfId="0" applyFont="1" applyBorder="1" applyAlignment="1">
      <alignment horizontal="center"/>
    </xf>
    <xf numFmtId="172" fontId="0" fillId="0" borderId="2" xfId="0" applyNumberFormat="1" applyBorder="1" applyAlignment="1">
      <alignment horizontal="right" vertical="top" wrapText="1"/>
    </xf>
    <xf numFmtId="167" fontId="0" fillId="0" borderId="0" xfId="0" applyAlignment="1">
      <alignment horizontal="right"/>
    </xf>
    <xf numFmtId="168" fontId="0" fillId="0" borderId="33" xfId="0" applyNumberFormat="1" applyBorder="1" applyAlignment="1">
      <alignment horizontal="center"/>
    </xf>
    <xf numFmtId="167" fontId="46" fillId="0" borderId="33" xfId="0" quotePrefix="1" applyFont="1" applyBorder="1" applyAlignment="1">
      <alignment horizontal="left"/>
    </xf>
    <xf numFmtId="167" fontId="0" fillId="0" borderId="29" xfId="0" applyBorder="1" applyAlignment="1">
      <alignment horizontal="center"/>
    </xf>
    <xf numFmtId="168" fontId="0" fillId="0" borderId="12" xfId="0" applyNumberFormat="1" applyBorder="1" applyAlignment="1">
      <alignment horizontal="right"/>
    </xf>
    <xf numFmtId="168" fontId="0" fillId="0" borderId="33" xfId="0" applyNumberFormat="1" applyBorder="1" applyAlignment="1">
      <alignment horizontal="right"/>
    </xf>
    <xf numFmtId="167" fontId="0" fillId="0" borderId="33" xfId="0" applyBorder="1" applyAlignment="1">
      <alignment horizontal="right"/>
    </xf>
    <xf numFmtId="167" fontId="47" fillId="0" borderId="33" xfId="0" applyFont="1" applyBorder="1" applyAlignment="1">
      <alignment horizontal="center"/>
    </xf>
    <xf numFmtId="167" fontId="43" fillId="0" borderId="29" xfId="0" applyFont="1" applyBorder="1" applyAlignment="1">
      <alignment horizontal="right"/>
    </xf>
    <xf numFmtId="168" fontId="47" fillId="0" borderId="33" xfId="0" applyNumberFormat="1" applyFont="1" applyBorder="1" applyAlignment="1">
      <alignment horizontal="right"/>
    </xf>
    <xf numFmtId="167" fontId="43" fillId="0" borderId="33" xfId="0" applyFont="1" applyBorder="1" applyAlignment="1">
      <alignment horizontal="center"/>
    </xf>
    <xf numFmtId="167" fontId="43" fillId="0" borderId="33" xfId="0" applyFont="1" applyBorder="1" applyAlignment="1">
      <alignment horizontal="left"/>
    </xf>
    <xf numFmtId="168" fontId="43" fillId="0" borderId="33" xfId="0" applyNumberFormat="1" applyFont="1" applyBorder="1" applyAlignment="1">
      <alignment horizontal="right"/>
    </xf>
    <xf numFmtId="168" fontId="43" fillId="0" borderId="33" xfId="0" applyNumberFormat="1" applyFont="1" applyBorder="1" applyAlignment="1">
      <alignment horizontal="center"/>
    </xf>
    <xf numFmtId="167" fontId="99" fillId="6" borderId="0" xfId="0" applyFont="1" applyFill="1"/>
    <xf numFmtId="167" fontId="47" fillId="0" borderId="0" xfId="0" applyFont="1" applyAlignment="1">
      <alignment horizontal="right"/>
    </xf>
    <xf numFmtId="167" fontId="43" fillId="0" borderId="56" xfId="0" applyFont="1" applyBorder="1"/>
    <xf numFmtId="167" fontId="110" fillId="0" borderId="34" xfId="0" applyFont="1" applyBorder="1"/>
    <xf numFmtId="167" fontId="0" fillId="0" borderId="30" xfId="0" applyBorder="1"/>
    <xf numFmtId="167" fontId="0" fillId="0" borderId="13" xfId="0" applyBorder="1"/>
    <xf numFmtId="168" fontId="0" fillId="2" borderId="13" xfId="0" applyNumberFormat="1" applyFill="1" applyBorder="1"/>
    <xf numFmtId="168" fontId="111" fillId="0" borderId="13" xfId="0" applyNumberFormat="1" applyFont="1" applyBorder="1"/>
    <xf numFmtId="168" fontId="0" fillId="0" borderId="13" xfId="0" applyNumberFormat="1" applyBorder="1"/>
    <xf numFmtId="172" fontId="0" fillId="0" borderId="0" xfId="0" applyNumberFormat="1" applyAlignment="1">
      <alignment horizontal="left"/>
    </xf>
    <xf numFmtId="167" fontId="0" fillId="0" borderId="32" xfId="0" applyBorder="1"/>
    <xf numFmtId="167" fontId="0" fillId="0" borderId="5" xfId="0" applyBorder="1"/>
    <xf numFmtId="167" fontId="46" fillId="0" borderId="13" xfId="0" applyFont="1" applyBorder="1" applyAlignment="1">
      <alignment vertical="top"/>
    </xf>
    <xf numFmtId="167" fontId="0" fillId="0" borderId="0" xfId="0" applyAlignment="1">
      <alignment wrapText="1"/>
    </xf>
    <xf numFmtId="10" fontId="0" fillId="0" borderId="13" xfId="3" applyNumberFormat="1" applyFont="1" applyBorder="1" applyAlignment="1">
      <alignment vertical="top"/>
    </xf>
    <xf numFmtId="167" fontId="105" fillId="0" borderId="0" xfId="0" applyFont="1"/>
    <xf numFmtId="167" fontId="111" fillId="0" borderId="0" xfId="0" applyFont="1" applyAlignment="1">
      <alignment wrapText="1"/>
    </xf>
    <xf numFmtId="10" fontId="0" fillId="0" borderId="0" xfId="3" applyNumberFormat="1" applyFont="1" applyBorder="1" applyAlignment="1">
      <alignment vertical="top"/>
    </xf>
    <xf numFmtId="167" fontId="111" fillId="0" borderId="0" xfId="0" applyFont="1"/>
    <xf numFmtId="168" fontId="0" fillId="0" borderId="13" xfId="0" applyNumberFormat="1" applyBorder="1" applyAlignment="1">
      <alignment horizontal="center"/>
    </xf>
    <xf numFmtId="167" fontId="105" fillId="0" borderId="13" xfId="0" applyFont="1" applyBorder="1" applyAlignment="1">
      <alignment wrapText="1"/>
    </xf>
    <xf numFmtId="167" fontId="105" fillId="0" borderId="13" xfId="0" applyFont="1" applyBorder="1" applyAlignment="1">
      <alignment horizontal="center"/>
    </xf>
    <xf numFmtId="167" fontId="105" fillId="0" borderId="13" xfId="0" applyFont="1" applyBorder="1" applyAlignment="1">
      <alignment vertical="top"/>
    </xf>
    <xf numFmtId="169" fontId="105" fillId="0" borderId="13" xfId="3" applyNumberFormat="1" applyFont="1" applyFill="1" applyBorder="1" applyAlignment="1" applyProtection="1">
      <alignment vertical="top"/>
    </xf>
    <xf numFmtId="10" fontId="105" fillId="0" borderId="13" xfId="3" applyNumberFormat="1" applyFont="1" applyFill="1" applyBorder="1" applyAlignment="1" applyProtection="1">
      <alignment horizontal="right" vertical="top"/>
    </xf>
    <xf numFmtId="167" fontId="0" fillId="0" borderId="0" xfId="0" applyAlignment="1">
      <alignment vertical="top"/>
    </xf>
    <xf numFmtId="167" fontId="48" fillId="0" borderId="0" xfId="4" applyNumberFormat="1" applyFont="1" applyAlignment="1">
      <alignment horizontal="left" vertical="top"/>
    </xf>
    <xf numFmtId="167" fontId="40" fillId="0" borderId="0" xfId="4" applyNumberFormat="1" applyAlignment="1">
      <alignment vertical="top"/>
    </xf>
    <xf numFmtId="168" fontId="40" fillId="0" borderId="0" xfId="4" applyNumberFormat="1" applyAlignment="1">
      <alignment horizontal="right" vertical="top"/>
    </xf>
    <xf numFmtId="168" fontId="40" fillId="0" borderId="0" xfId="4" applyNumberFormat="1" applyAlignment="1">
      <alignment horizontal="center" vertical="top"/>
    </xf>
    <xf numFmtId="167" fontId="46" fillId="0" borderId="0" xfId="4" applyNumberFormat="1" applyFont="1" applyAlignment="1">
      <alignment horizontal="left" vertical="top"/>
    </xf>
    <xf numFmtId="167" fontId="30" fillId="0" borderId="0" xfId="4" applyNumberFormat="1" applyFont="1" applyAlignment="1">
      <alignment horizontal="center" vertical="top"/>
    </xf>
    <xf numFmtId="167" fontId="40" fillId="0" borderId="0" xfId="4" applyNumberFormat="1" applyAlignment="1">
      <alignment horizontal="center" vertical="top"/>
    </xf>
    <xf numFmtId="168" fontId="40" fillId="4" borderId="0" xfId="4" applyNumberFormat="1" applyFill="1" applyAlignment="1">
      <alignment vertical="top"/>
    </xf>
    <xf numFmtId="168" fontId="40" fillId="0" borderId="0" xfId="4" applyNumberFormat="1" applyAlignment="1">
      <alignment vertical="top"/>
    </xf>
    <xf numFmtId="167" fontId="46" fillId="0" borderId="0" xfId="4" applyNumberFormat="1" applyFont="1" applyAlignment="1">
      <alignment horizontal="left" vertical="top" wrapText="1"/>
    </xf>
    <xf numFmtId="186" fontId="40" fillId="0" borderId="0" xfId="4" applyNumberFormat="1" applyAlignment="1">
      <alignment horizontal="center" vertical="top"/>
    </xf>
    <xf numFmtId="167" fontId="30" fillId="0" borderId="0" xfId="4" applyNumberFormat="1" applyFont="1" applyAlignment="1">
      <alignment vertical="top"/>
    </xf>
    <xf numFmtId="167" fontId="46" fillId="0" borderId="0" xfId="4" applyNumberFormat="1" applyFont="1" applyAlignment="1">
      <alignment vertical="top"/>
    </xf>
    <xf numFmtId="167" fontId="46" fillId="0" borderId="0" xfId="4" applyNumberFormat="1" applyFont="1" applyAlignment="1">
      <alignment horizontal="center" vertical="top"/>
    </xf>
    <xf numFmtId="167" fontId="43" fillId="0" borderId="0" xfId="4" applyNumberFormat="1" applyFont="1" applyAlignment="1">
      <alignment vertical="top"/>
    </xf>
    <xf numFmtId="167" fontId="97" fillId="6" borderId="0" xfId="0" applyFont="1" applyFill="1"/>
    <xf numFmtId="168" fontId="105" fillId="0" borderId="0" xfId="0" applyNumberFormat="1" applyFont="1" applyAlignment="1">
      <alignment horizontal="right" vertical="top" wrapText="1"/>
    </xf>
    <xf numFmtId="167" fontId="105" fillId="0" borderId="0" xfId="0" applyFont="1" applyAlignment="1">
      <alignment horizontal="right" vertical="top" wrapText="1"/>
    </xf>
    <xf numFmtId="167" fontId="46" fillId="0" borderId="5" xfId="0" applyFont="1" applyBorder="1" applyAlignment="1">
      <alignment horizontal="left" vertical="top" wrapText="1"/>
    </xf>
    <xf numFmtId="167" fontId="112" fillId="0" borderId="0" xfId="0" applyFont="1"/>
    <xf numFmtId="2" fontId="98" fillId="4" borderId="33" xfId="20" quotePrefix="1" applyNumberFormat="1" applyFont="1" applyFill="1" applyBorder="1" applyAlignment="1">
      <alignment vertical="top"/>
    </xf>
    <xf numFmtId="167" fontId="105" fillId="0" borderId="2" xfId="0" applyFont="1" applyBorder="1"/>
    <xf numFmtId="167" fontId="105" fillId="0" borderId="5" xfId="0" applyFont="1" applyBorder="1" applyAlignment="1">
      <alignment horizontal="center"/>
    </xf>
    <xf numFmtId="9" fontId="0" fillId="0" borderId="0" xfId="3" applyFont="1"/>
    <xf numFmtId="10" fontId="46" fillId="0" borderId="46" xfId="0" applyNumberFormat="1" applyFont="1" applyBorder="1"/>
    <xf numFmtId="167" fontId="46" fillId="0" borderId="0" xfId="0" applyFont="1" applyAlignment="1">
      <alignment horizontal="center" vertical="center"/>
    </xf>
    <xf numFmtId="167" fontId="118" fillId="0" borderId="13" xfId="0" applyFont="1" applyBorder="1" applyAlignment="1">
      <alignment vertical="top"/>
    </xf>
    <xf numFmtId="167" fontId="46" fillId="0" borderId="13" xfId="0" applyFont="1" applyBorder="1" applyAlignment="1">
      <alignment horizontal="center" vertical="center"/>
    </xf>
    <xf numFmtId="167" fontId="46" fillId="0" borderId="38" xfId="0" applyFont="1" applyBorder="1" applyAlignment="1">
      <alignment vertical="center"/>
    </xf>
    <xf numFmtId="167" fontId="118" fillId="0" borderId="38" xfId="0" applyFont="1" applyBorder="1" applyAlignment="1">
      <alignment vertical="top"/>
    </xf>
    <xf numFmtId="4" fontId="60" fillId="2" borderId="0" xfId="0" applyNumberFormat="1" applyFont="1" applyFill="1" applyAlignment="1">
      <alignment vertical="top"/>
    </xf>
    <xf numFmtId="167" fontId="51" fillId="2" borderId="0" xfId="0" applyFont="1" applyFill="1" applyAlignment="1">
      <alignment vertical="top"/>
    </xf>
    <xf numFmtId="167" fontId="45" fillId="2" borderId="0" xfId="0" applyFont="1" applyFill="1" applyAlignment="1">
      <alignment horizontal="right" vertical="top"/>
    </xf>
    <xf numFmtId="167" fontId="45" fillId="2" borderId="0" xfId="0" applyFont="1" applyFill="1" applyAlignment="1">
      <alignment vertical="top"/>
    </xf>
    <xf numFmtId="167" fontId="51" fillId="2" borderId="0" xfId="0" applyFont="1" applyFill="1"/>
    <xf numFmtId="176" fontId="51" fillId="2" borderId="0" xfId="0" applyNumberFormat="1" applyFont="1" applyFill="1" applyAlignment="1">
      <alignment vertical="top"/>
    </xf>
    <xf numFmtId="167" fontId="48" fillId="2" borderId="0" xfId="0" applyFont="1" applyFill="1"/>
    <xf numFmtId="169" fontId="51" fillId="2" borderId="0" xfId="0" applyNumberFormat="1" applyFont="1" applyFill="1"/>
    <xf numFmtId="167" fontId="119" fillId="3" borderId="31" xfId="0" applyFont="1" applyFill="1" applyBorder="1"/>
    <xf numFmtId="167" fontId="119" fillId="4" borderId="31" xfId="0" applyFont="1" applyFill="1" applyBorder="1"/>
    <xf numFmtId="9" fontId="51" fillId="0" borderId="0" xfId="3" applyFont="1" applyFill="1" applyProtection="1"/>
    <xf numFmtId="169" fontId="51" fillId="2" borderId="0" xfId="3" applyNumberFormat="1" applyFont="1" applyFill="1" applyProtection="1"/>
    <xf numFmtId="10" fontId="51" fillId="0" borderId="0" xfId="3" applyNumberFormat="1" applyFont="1" applyFill="1"/>
    <xf numFmtId="10" fontId="51" fillId="0" borderId="0" xfId="3" applyNumberFormat="1" applyFont="1" applyFill="1" applyProtection="1"/>
    <xf numFmtId="0" fontId="49" fillId="0" borderId="34" xfId="6" applyFont="1" applyBorder="1" applyAlignment="1">
      <alignment vertical="top"/>
    </xf>
    <xf numFmtId="0" fontId="74" fillId="0" borderId="34" xfId="6" applyFont="1" applyBorder="1" applyAlignment="1">
      <alignment vertical="top" wrapText="1"/>
    </xf>
    <xf numFmtId="2" fontId="69" fillId="0" borderId="34" xfId="6" applyNumberFormat="1" applyFont="1" applyBorder="1" applyAlignment="1">
      <alignment horizontal="center" vertical="top" wrapText="1"/>
    </xf>
    <xf numFmtId="10" fontId="69" fillId="0" borderId="34" xfId="3" applyNumberFormat="1" applyFont="1" applyFill="1" applyBorder="1" applyAlignment="1">
      <alignment horizontal="center" vertical="top" wrapText="1"/>
    </xf>
    <xf numFmtId="169" fontId="69" fillId="0" borderId="34" xfId="3" applyNumberFormat="1" applyFont="1" applyFill="1" applyBorder="1" applyAlignment="1">
      <alignment horizontal="center" vertical="top" wrapText="1"/>
    </xf>
    <xf numFmtId="2" fontId="69" fillId="0" borderId="34" xfId="3" applyNumberFormat="1" applyFont="1" applyFill="1" applyBorder="1" applyAlignment="1">
      <alignment horizontal="center" vertical="top" wrapText="1"/>
    </xf>
    <xf numFmtId="2" fontId="68" fillId="0" borderId="34" xfId="3" applyNumberFormat="1" applyFont="1" applyFill="1" applyBorder="1" applyAlignment="1">
      <alignment horizontal="center" vertical="top" wrapText="1"/>
    </xf>
    <xf numFmtId="0" fontId="68" fillId="0" borderId="35" xfId="35" applyFont="1" applyBorder="1" applyAlignment="1">
      <alignment horizontal="left" vertical="center"/>
    </xf>
    <xf numFmtId="0" fontId="68" fillId="0" borderId="12" xfId="35" applyFont="1" applyBorder="1" applyAlignment="1">
      <alignment horizontal="left" vertical="center"/>
    </xf>
    <xf numFmtId="0" fontId="68" fillId="0" borderId="29" xfId="35" applyFont="1" applyBorder="1" applyAlignment="1">
      <alignment horizontal="left" vertical="center"/>
    </xf>
    <xf numFmtId="0" fontId="72" fillId="0" borderId="13" xfId="35" applyFont="1" applyBorder="1" applyAlignment="1">
      <alignment horizontal="center" vertical="top" wrapText="1"/>
    </xf>
    <xf numFmtId="0" fontId="120" fillId="0" borderId="13" xfId="9" applyFont="1" applyBorder="1" applyAlignment="1">
      <alignment horizontal="left" vertical="top" wrapText="1"/>
    </xf>
    <xf numFmtId="0" fontId="55" fillId="0" borderId="13" xfId="9" applyFont="1" applyBorder="1" applyAlignment="1">
      <alignment horizontal="justify" vertical="top" wrapText="1"/>
    </xf>
    <xf numFmtId="178" fontId="69" fillId="0" borderId="13" xfId="35" applyNumberFormat="1" applyFont="1" applyBorder="1" applyAlignment="1">
      <alignment horizontal="center" vertical="top" wrapText="1"/>
    </xf>
    <xf numFmtId="4" fontId="69" fillId="0" borderId="13" xfId="35" applyNumberFormat="1" applyFont="1" applyBorder="1" applyAlignment="1">
      <alignment horizontal="center" vertical="top" wrapText="1"/>
    </xf>
    <xf numFmtId="2" fontId="69" fillId="0" borderId="13" xfId="35" applyNumberFormat="1" applyFont="1" applyBorder="1" applyAlignment="1">
      <alignment horizontal="center" vertical="top" wrapText="1"/>
    </xf>
    <xf numFmtId="0" fontId="69" fillId="0" borderId="13" xfId="35" applyFont="1" applyBorder="1" applyAlignment="1">
      <alignment horizontal="center" vertical="top" wrapText="1"/>
    </xf>
    <xf numFmtId="167" fontId="69" fillId="0" borderId="13" xfId="35" applyNumberFormat="1" applyFont="1" applyBorder="1" applyAlignment="1">
      <alignment horizontal="center" vertical="top" wrapText="1"/>
    </xf>
    <xf numFmtId="9" fontId="69" fillId="0" borderId="13" xfId="97" applyFont="1" applyFill="1" applyBorder="1" applyAlignment="1">
      <alignment horizontal="center" vertical="top" wrapText="1"/>
    </xf>
    <xf numFmtId="2" fontId="121" fillId="0" borderId="13" xfId="35" applyNumberFormat="1" applyFont="1" applyBorder="1" applyAlignment="1">
      <alignment horizontal="center" vertical="top" wrapText="1"/>
    </xf>
    <xf numFmtId="0" fontId="49" fillId="0" borderId="13" xfId="6" applyFont="1" applyBorder="1" applyAlignment="1">
      <alignment vertical="top"/>
    </xf>
    <xf numFmtId="0" fontId="74" fillId="0" borderId="13" xfId="6" applyFont="1" applyBorder="1" applyAlignment="1">
      <alignment vertical="top" wrapText="1"/>
    </xf>
    <xf numFmtId="0" fontId="72" fillId="0" borderId="0" xfId="6" applyFont="1" applyAlignment="1">
      <alignment horizontal="left" vertical="top" wrapText="1"/>
    </xf>
    <xf numFmtId="179" fontId="69" fillId="0" borderId="0" xfId="6" applyNumberFormat="1" applyFont="1" applyAlignment="1">
      <alignment horizontal="center" vertical="top" wrapText="1"/>
    </xf>
    <xf numFmtId="167" fontId="45" fillId="0" borderId="13" xfId="0" applyFont="1" applyBorder="1" applyAlignment="1">
      <alignment vertical="top" wrapText="1"/>
    </xf>
    <xf numFmtId="0" fontId="68" fillId="0" borderId="13" xfId="6" applyFont="1" applyBorder="1" applyAlignment="1">
      <alignment horizontal="center" vertical="center" wrapText="1"/>
    </xf>
    <xf numFmtId="167" fontId="45" fillId="0" borderId="2" xfId="0" applyFont="1" applyBorder="1" applyAlignment="1">
      <alignment vertical="center"/>
    </xf>
    <xf numFmtId="167" fontId="45" fillId="0" borderId="0" xfId="0" applyFont="1" applyAlignment="1">
      <alignment vertical="center"/>
    </xf>
    <xf numFmtId="167" fontId="49" fillId="0" borderId="13" xfId="0" applyFont="1" applyBorder="1" applyAlignment="1">
      <alignment vertical="center"/>
    </xf>
    <xf numFmtId="167" fontId="49" fillId="0" borderId="7" xfId="0" applyFont="1" applyBorder="1" applyAlignment="1">
      <alignment vertical="center"/>
    </xf>
    <xf numFmtId="167" fontId="45" fillId="0" borderId="33" xfId="0" applyFont="1" applyBorder="1" applyAlignment="1">
      <alignment vertical="center"/>
    </xf>
    <xf numFmtId="167" fontId="45" fillId="0" borderId="7" xfId="0" applyFont="1" applyBorder="1" applyAlignment="1">
      <alignment vertical="center"/>
    </xf>
    <xf numFmtId="167" fontId="43" fillId="0" borderId="46" xfId="0" applyFont="1" applyBorder="1" applyAlignment="1">
      <alignment horizontal="right"/>
    </xf>
    <xf numFmtId="174" fontId="43" fillId="0" borderId="46" xfId="0" applyNumberFormat="1" applyFont="1" applyBorder="1"/>
    <xf numFmtId="188" fontId="43" fillId="0" borderId="46" xfId="0" applyNumberFormat="1" applyFont="1" applyBorder="1"/>
    <xf numFmtId="188" fontId="43" fillId="0" borderId="0" xfId="0" applyNumberFormat="1" applyFont="1"/>
    <xf numFmtId="167" fontId="43" fillId="0" borderId="0" xfId="0" applyFont="1" applyAlignment="1">
      <alignment vertical="center"/>
    </xf>
    <xf numFmtId="167" fontId="43" fillId="0" borderId="0" xfId="0" applyFont="1" applyAlignment="1">
      <alignment horizontal="center" vertical="center"/>
    </xf>
    <xf numFmtId="167" fontId="43" fillId="0" borderId="0" xfId="0" applyFont="1" applyAlignment="1">
      <alignment horizontal="right" vertical="center"/>
    </xf>
    <xf numFmtId="167" fontId="43" fillId="0" borderId="39" xfId="0" applyFont="1" applyBorder="1" applyAlignment="1">
      <alignment vertical="center"/>
    </xf>
    <xf numFmtId="167" fontId="43" fillId="0" borderId="82" xfId="0" applyFont="1" applyBorder="1" applyAlignment="1">
      <alignment horizontal="center" vertical="center"/>
    </xf>
    <xf numFmtId="167" fontId="43" fillId="0" borderId="83" xfId="0" applyFont="1" applyBorder="1" applyAlignment="1">
      <alignment horizontal="center" vertical="center"/>
    </xf>
    <xf numFmtId="167" fontId="43" fillId="0" borderId="84" xfId="0" applyFont="1" applyBorder="1" applyAlignment="1">
      <alignment horizontal="center" vertical="center"/>
    </xf>
    <xf numFmtId="167" fontId="43" fillId="0" borderId="85" xfId="0" applyFont="1" applyBorder="1" applyAlignment="1">
      <alignment horizontal="center" vertical="center"/>
    </xf>
    <xf numFmtId="168" fontId="46" fillId="0" borderId="86" xfId="0" applyNumberFormat="1" applyFont="1" applyBorder="1" applyAlignment="1">
      <alignment horizontal="center" vertical="center"/>
    </xf>
    <xf numFmtId="167" fontId="46" fillId="0" borderId="65" xfId="0" applyFont="1" applyBorder="1" applyAlignment="1">
      <alignment vertical="center"/>
    </xf>
    <xf numFmtId="168" fontId="46" fillId="0" borderId="87" xfId="0" applyNumberFormat="1" applyFont="1" applyBorder="1" applyAlignment="1">
      <alignment horizontal="center" vertical="center"/>
    </xf>
    <xf numFmtId="167" fontId="43" fillId="0" borderId="88" xfId="0" applyFont="1" applyBorder="1" applyAlignment="1">
      <alignment vertical="center"/>
    </xf>
    <xf numFmtId="167" fontId="46" fillId="0" borderId="88" xfId="0" applyFont="1" applyBorder="1" applyAlignment="1">
      <alignment vertical="center"/>
    </xf>
    <xf numFmtId="168" fontId="46" fillId="0" borderId="89" xfId="0" applyNumberFormat="1" applyFont="1" applyBorder="1" applyAlignment="1">
      <alignment horizontal="center" vertical="center"/>
    </xf>
    <xf numFmtId="167" fontId="44" fillId="0" borderId="88" xfId="0" applyFont="1" applyBorder="1" applyAlignment="1">
      <alignment vertical="center"/>
    </xf>
    <xf numFmtId="168" fontId="46" fillId="0" borderId="90" xfId="0" applyNumberFormat="1" applyFont="1" applyBorder="1" applyAlignment="1">
      <alignment horizontal="center" vertical="center"/>
    </xf>
    <xf numFmtId="167" fontId="43" fillId="0" borderId="46" xfId="0" applyFont="1" applyBorder="1" applyAlignment="1">
      <alignment vertical="center"/>
    </xf>
    <xf numFmtId="167" fontId="44" fillId="0" borderId="91" xfId="0" applyFont="1" applyBorder="1" applyAlignment="1">
      <alignment vertical="center"/>
    </xf>
    <xf numFmtId="167" fontId="44" fillId="0" borderId="92" xfId="0" applyFont="1" applyBorder="1" applyAlignment="1">
      <alignment vertical="center"/>
    </xf>
    <xf numFmtId="167" fontId="51" fillId="0" borderId="93" xfId="0" applyFont="1" applyBorder="1" applyAlignment="1">
      <alignment vertical="center"/>
    </xf>
    <xf numFmtId="167" fontId="43" fillId="0" borderId="94" xfId="0" applyFont="1" applyBorder="1" applyAlignment="1">
      <alignment vertical="center"/>
    </xf>
    <xf numFmtId="167" fontId="51" fillId="0" borderId="94" xfId="0" applyFont="1" applyBorder="1" applyAlignment="1">
      <alignment vertical="center"/>
    </xf>
    <xf numFmtId="167" fontId="51" fillId="0" borderId="95" xfId="0" applyFont="1" applyBorder="1" applyAlignment="1">
      <alignment vertical="center"/>
    </xf>
    <xf numFmtId="167" fontId="51" fillId="0" borderId="0" xfId="0" applyFont="1" applyAlignment="1">
      <alignment vertical="center"/>
    </xf>
    <xf numFmtId="167" fontId="44" fillId="0" borderId="0" xfId="0" applyFont="1" applyAlignment="1">
      <alignment horizontal="right" vertical="center"/>
    </xf>
    <xf numFmtId="188" fontId="43" fillId="0" borderId="0" xfId="0" applyNumberFormat="1" applyFont="1" applyAlignment="1">
      <alignment vertical="center"/>
    </xf>
    <xf numFmtId="173" fontId="46" fillId="0" borderId="0" xfId="0" applyNumberFormat="1" applyFont="1" applyAlignment="1">
      <alignment horizontal="left" vertical="center"/>
    </xf>
    <xf numFmtId="167" fontId="51" fillId="0" borderId="0" xfId="0" applyFont="1" applyAlignment="1">
      <alignment horizontal="right" vertical="center"/>
    </xf>
    <xf numFmtId="2" fontId="51" fillId="0" borderId="0" xfId="0" applyNumberFormat="1" applyFont="1" applyAlignment="1">
      <alignment horizontal="left" vertical="center"/>
    </xf>
    <xf numFmtId="167" fontId="51" fillId="0" borderId="0" xfId="0" applyFont="1" applyAlignment="1">
      <alignment horizontal="left" vertical="center"/>
    </xf>
    <xf numFmtId="167" fontId="51" fillId="0" borderId="12" xfId="0" applyFont="1" applyBorder="1" applyAlignment="1">
      <alignment vertical="center"/>
    </xf>
    <xf numFmtId="167" fontId="44" fillId="0" borderId="12" xfId="0" applyFont="1" applyBorder="1" applyAlignment="1">
      <alignment horizontal="right" vertical="center"/>
    </xf>
    <xf numFmtId="175" fontId="43" fillId="0" borderId="12" xfId="0" applyNumberFormat="1" applyFont="1" applyBorder="1" applyAlignment="1">
      <alignment horizontal="left" vertical="center"/>
    </xf>
    <xf numFmtId="174" fontId="44" fillId="0" borderId="12" xfId="0" applyNumberFormat="1" applyFont="1" applyBorder="1" applyAlignment="1">
      <alignment horizontal="right" vertical="center"/>
    </xf>
    <xf numFmtId="167" fontId="43" fillId="0" borderId="12" xfId="0" applyFont="1" applyBorder="1" applyAlignment="1">
      <alignment vertical="center"/>
    </xf>
    <xf numFmtId="169" fontId="46" fillId="0" borderId="12" xfId="3" applyNumberFormat="1" applyFont="1" applyBorder="1" applyAlignment="1">
      <alignment horizontal="center" vertical="center"/>
    </xf>
    <xf numFmtId="9" fontId="46" fillId="0" borderId="12" xfId="3" applyFont="1" applyBorder="1" applyAlignment="1">
      <alignment horizontal="center" vertical="center"/>
    </xf>
    <xf numFmtId="168" fontId="45" fillId="0" borderId="13" xfId="0" applyNumberFormat="1" applyFont="1" applyBorder="1" applyAlignment="1">
      <alignment horizontal="center" vertical="center"/>
    </xf>
    <xf numFmtId="167" fontId="49" fillId="0" borderId="13" xfId="0" applyFont="1" applyBorder="1" applyAlignment="1">
      <alignment horizontal="justify" vertical="center" wrapText="1"/>
    </xf>
    <xf numFmtId="174" fontId="49" fillId="0" borderId="13" xfId="0" applyNumberFormat="1" applyFont="1" applyBorder="1" applyAlignment="1">
      <alignment horizontal="center" vertical="center"/>
    </xf>
    <xf numFmtId="167" fontId="53" fillId="0" borderId="38" xfId="0" applyFont="1" applyBorder="1" applyAlignment="1">
      <alignment vertical="center"/>
    </xf>
    <xf numFmtId="167" fontId="53" fillId="0" borderId="31" xfId="0" applyFont="1" applyBorder="1" applyAlignment="1">
      <alignment vertical="center"/>
    </xf>
    <xf numFmtId="167" fontId="53" fillId="0" borderId="36" xfId="0" applyFont="1" applyBorder="1" applyAlignment="1">
      <alignment vertical="center"/>
    </xf>
    <xf numFmtId="4" fontId="51" fillId="0" borderId="0" xfId="0" applyNumberFormat="1" applyFont="1" applyAlignment="1">
      <alignment vertical="center"/>
    </xf>
    <xf numFmtId="167" fontId="46" fillId="0" borderId="0" xfId="0" applyFont="1" applyAlignment="1">
      <alignment vertical="center" wrapText="1"/>
    </xf>
    <xf numFmtId="167" fontId="0" fillId="0" borderId="0" xfId="0" applyAlignment="1">
      <alignment vertical="center"/>
    </xf>
    <xf numFmtId="167" fontId="50" fillId="0" borderId="31" xfId="0" applyFont="1" applyBorder="1" applyAlignment="1">
      <alignment horizontal="right" vertical="center"/>
    </xf>
    <xf numFmtId="167" fontId="50" fillId="0" borderId="36" xfId="0" applyFont="1" applyBorder="1" applyAlignment="1">
      <alignment horizontal="right" vertical="center"/>
    </xf>
    <xf numFmtId="171" fontId="51" fillId="0" borderId="0" xfId="0" applyNumberFormat="1" applyFont="1" applyAlignment="1">
      <alignment vertical="center"/>
    </xf>
    <xf numFmtId="168" fontId="51" fillId="0" borderId="0" xfId="0" applyNumberFormat="1" applyFont="1" applyAlignment="1">
      <alignment vertical="center"/>
    </xf>
    <xf numFmtId="9" fontId="46" fillId="0" borderId="46" xfId="3" applyFont="1" applyBorder="1"/>
    <xf numFmtId="167" fontId="46" fillId="2" borderId="0" xfId="0" applyFont="1" applyFill="1" applyAlignment="1">
      <alignment horizontal="center"/>
    </xf>
    <xf numFmtId="169" fontId="46" fillId="2" borderId="0" xfId="3" applyNumberFormat="1" applyFont="1" applyFill="1" applyAlignment="1">
      <alignment horizontal="center"/>
    </xf>
    <xf numFmtId="10" fontId="51" fillId="2" borderId="0" xfId="3" applyNumberFormat="1" applyFont="1" applyFill="1" applyAlignment="1">
      <alignment horizontal="center"/>
    </xf>
    <xf numFmtId="9" fontId="46" fillId="0" borderId="0" xfId="3" applyFont="1" applyAlignment="1">
      <alignment horizontal="left"/>
    </xf>
    <xf numFmtId="10" fontId="46" fillId="2" borderId="0" xfId="3" applyNumberFormat="1" applyFont="1" applyFill="1" applyProtection="1"/>
    <xf numFmtId="167" fontId="45" fillId="2" borderId="13" xfId="0" applyFont="1" applyFill="1" applyBorder="1" applyAlignment="1">
      <alignment horizontal="justify" vertical="top" wrapText="1"/>
    </xf>
    <xf numFmtId="0" fontId="46" fillId="0" borderId="0" xfId="22" applyNumberFormat="1"/>
    <xf numFmtId="0" fontId="43" fillId="0" borderId="0" xfId="22" applyNumberFormat="1" applyFont="1" applyAlignment="1">
      <alignment horizontal="right"/>
    </xf>
    <xf numFmtId="0" fontId="46" fillId="0" borderId="0" xfId="22" applyNumberFormat="1" applyAlignment="1">
      <alignment horizontal="left"/>
    </xf>
    <xf numFmtId="0" fontId="46" fillId="0" borderId="0" xfId="22" applyNumberFormat="1" applyAlignment="1">
      <alignment horizontal="center"/>
    </xf>
    <xf numFmtId="0" fontId="46" fillId="0" borderId="0" xfId="22" applyNumberFormat="1" applyAlignment="1">
      <alignment vertical="top"/>
    </xf>
    <xf numFmtId="0" fontId="43" fillId="0" borderId="13" xfId="22" applyNumberFormat="1" applyFont="1" applyBorder="1" applyAlignment="1">
      <alignment horizontal="center" vertical="top"/>
    </xf>
    <xf numFmtId="0" fontId="43" fillId="0" borderId="0" xfId="22" applyNumberFormat="1" applyFont="1" applyAlignment="1">
      <alignment horizontal="center" vertical="top"/>
    </xf>
    <xf numFmtId="0" fontId="46" fillId="0" borderId="0" xfId="22" applyNumberFormat="1" applyAlignment="1">
      <alignment horizontal="center" vertical="top"/>
    </xf>
    <xf numFmtId="2" fontId="46" fillId="0" borderId="0" xfId="22" applyNumberFormat="1" applyAlignment="1">
      <alignment vertical="top"/>
    </xf>
    <xf numFmtId="0" fontId="46" fillId="0" borderId="13" xfId="22" applyNumberFormat="1" applyBorder="1" applyAlignment="1">
      <alignment horizontal="center" vertical="top"/>
    </xf>
    <xf numFmtId="1" fontId="46" fillId="0" borderId="13" xfId="22" applyNumberFormat="1" applyBorder="1" applyAlignment="1">
      <alignment vertical="top"/>
    </xf>
    <xf numFmtId="167" fontId="43" fillId="0" borderId="13" xfId="22" applyFont="1" applyBorder="1" applyAlignment="1">
      <alignment horizontal="center" vertical="top" wrapText="1"/>
    </xf>
    <xf numFmtId="0" fontId="43" fillId="0" borderId="13" xfId="22" applyNumberFormat="1" applyFont="1" applyBorder="1" applyAlignment="1">
      <alignment vertical="top"/>
    </xf>
    <xf numFmtId="2" fontId="46" fillId="0" borderId="0" xfId="22" applyNumberFormat="1"/>
    <xf numFmtId="168" fontId="46" fillId="0" borderId="0" xfId="22" applyNumberFormat="1" applyAlignment="1">
      <alignment vertical="top"/>
    </xf>
    <xf numFmtId="168" fontId="46" fillId="11" borderId="13" xfId="22" applyNumberFormat="1" applyFill="1" applyBorder="1" applyAlignment="1">
      <alignment vertical="top" wrapText="1"/>
    </xf>
    <xf numFmtId="0" fontId="46" fillId="0" borderId="13" xfId="22" applyNumberFormat="1" applyBorder="1" applyAlignment="1">
      <alignment vertical="top"/>
    </xf>
    <xf numFmtId="0" fontId="46" fillId="0" borderId="0" xfId="22" applyNumberFormat="1" applyAlignment="1">
      <alignment horizontal="left" vertical="top" wrapText="1"/>
    </xf>
    <xf numFmtId="1" fontId="46" fillId="0" borderId="0" xfId="22" applyNumberFormat="1"/>
    <xf numFmtId="2" fontId="43" fillId="0" borderId="13" xfId="22" applyNumberFormat="1" applyFont="1" applyBorder="1" applyAlignment="1">
      <alignment vertical="top"/>
    </xf>
    <xf numFmtId="0" fontId="43" fillId="0" borderId="13" xfId="22" applyNumberFormat="1" applyFont="1" applyBorder="1" applyAlignment="1">
      <alignment horizontal="center" vertical="top" wrapText="1"/>
    </xf>
    <xf numFmtId="2" fontId="43" fillId="0" borderId="13" xfId="22" applyNumberFormat="1" applyFont="1" applyBorder="1" applyAlignment="1">
      <alignment horizontal="right" vertical="top" wrapText="1"/>
    </xf>
    <xf numFmtId="2" fontId="46" fillId="0" borderId="0" xfId="22" applyNumberFormat="1" applyAlignment="1">
      <alignment horizontal="left" vertical="top" wrapText="1"/>
    </xf>
    <xf numFmtId="0" fontId="43" fillId="0" borderId="33" xfId="22" applyNumberFormat="1" applyFont="1" applyBorder="1" applyAlignment="1">
      <alignment horizontal="center" vertical="top"/>
    </xf>
    <xf numFmtId="2" fontId="43" fillId="0" borderId="0" xfId="22" applyNumberFormat="1" applyFont="1" applyAlignment="1">
      <alignment vertical="top"/>
    </xf>
    <xf numFmtId="0" fontId="46" fillId="0" borderId="34" xfId="22" applyNumberFormat="1" applyBorder="1"/>
    <xf numFmtId="0" fontId="46" fillId="3" borderId="0" xfId="22" applyNumberFormat="1" applyFill="1"/>
    <xf numFmtId="0" fontId="46" fillId="12" borderId="0" xfId="22" applyNumberFormat="1" applyFill="1"/>
    <xf numFmtId="1" fontId="46" fillId="3" borderId="0" xfId="22" applyNumberFormat="1" applyFill="1"/>
    <xf numFmtId="0" fontId="46" fillId="3" borderId="0" xfId="22" quotePrefix="1" applyNumberFormat="1" applyFill="1"/>
    <xf numFmtId="2" fontId="46" fillId="3" borderId="0" xfId="22" applyNumberFormat="1" applyFill="1"/>
    <xf numFmtId="0" fontId="41" fillId="0" borderId="0" xfId="22" applyNumberFormat="1" applyFont="1"/>
    <xf numFmtId="9" fontId="46" fillId="0" borderId="0" xfId="22" applyNumberFormat="1"/>
    <xf numFmtId="1" fontId="41" fillId="0" borderId="0" xfId="22" applyNumberFormat="1" applyFont="1"/>
    <xf numFmtId="169" fontId="46" fillId="0" borderId="0" xfId="22" applyNumberFormat="1"/>
    <xf numFmtId="0" fontId="41" fillId="0" borderId="0" xfId="22" applyNumberFormat="1" applyFont="1" applyAlignment="1">
      <alignment vertical="top"/>
    </xf>
    <xf numFmtId="0" fontId="47" fillId="0" borderId="0" xfId="22" applyNumberFormat="1" applyFont="1"/>
    <xf numFmtId="0" fontId="43" fillId="0" borderId="0" xfId="22" applyNumberFormat="1" applyFont="1" applyAlignment="1">
      <alignment vertical="top"/>
    </xf>
    <xf numFmtId="0" fontId="48" fillId="0" borderId="0" xfId="22" applyNumberFormat="1" applyFont="1" applyAlignment="1">
      <alignment vertical="top"/>
    </xf>
    <xf numFmtId="0" fontId="46" fillId="0" borderId="13" xfId="22" applyNumberFormat="1" applyBorder="1" applyAlignment="1">
      <alignment horizontal="center" vertical="center"/>
    </xf>
    <xf numFmtId="1" fontId="46" fillId="0" borderId="13" xfId="22" applyNumberFormat="1" applyBorder="1" applyAlignment="1">
      <alignment horizontal="center" vertical="center"/>
    </xf>
    <xf numFmtId="17" fontId="43" fillId="0" borderId="13" xfId="22" applyNumberFormat="1" applyFont="1" applyBorder="1" applyAlignment="1">
      <alignment horizontal="center" vertical="center"/>
    </xf>
    <xf numFmtId="167" fontId="46" fillId="0" borderId="0" xfId="22"/>
    <xf numFmtId="167" fontId="48" fillId="0" borderId="0" xfId="22" applyFont="1"/>
    <xf numFmtId="167" fontId="43" fillId="0" borderId="0" xfId="22" applyFont="1"/>
    <xf numFmtId="167" fontId="46" fillId="0" borderId="0" xfId="22" applyAlignment="1">
      <alignment horizontal="center"/>
    </xf>
    <xf numFmtId="167" fontId="56" fillId="0" borderId="0" xfId="22" applyFont="1"/>
    <xf numFmtId="167" fontId="46" fillId="0" borderId="0" xfId="22" quotePrefix="1"/>
    <xf numFmtId="167" fontId="60" fillId="0" borderId="0" xfId="22" applyFont="1"/>
    <xf numFmtId="171" fontId="60" fillId="0" borderId="0" xfId="22" applyNumberFormat="1" applyFont="1"/>
    <xf numFmtId="167" fontId="46" fillId="0" borderId="0" xfId="22" applyAlignment="1">
      <alignment horizontal="fill"/>
    </xf>
    <xf numFmtId="167" fontId="61" fillId="0" borderId="0" xfId="22" applyFont="1"/>
    <xf numFmtId="172" fontId="46" fillId="0" borderId="0" xfId="22" applyNumberFormat="1"/>
    <xf numFmtId="171" fontId="46" fillId="0" borderId="0" xfId="22" applyNumberFormat="1" applyAlignment="1">
      <alignment horizontal="center"/>
    </xf>
    <xf numFmtId="167" fontId="60" fillId="0" borderId="105" xfId="22" applyFont="1" applyBorder="1"/>
    <xf numFmtId="168" fontId="46" fillId="0" borderId="31" xfId="22" applyNumberFormat="1" applyBorder="1" applyAlignment="1">
      <alignment horizontal="right"/>
    </xf>
    <xf numFmtId="167" fontId="110" fillId="0" borderId="0" xfId="22" applyFont="1"/>
    <xf numFmtId="167" fontId="60" fillId="0" borderId="31" xfId="22" applyFont="1" applyBorder="1"/>
    <xf numFmtId="10" fontId="46" fillId="0" borderId="0" xfId="3" applyNumberFormat="1" applyFont="1" applyFill="1" applyBorder="1" applyAlignment="1" applyProtection="1">
      <alignment horizontal="right"/>
    </xf>
    <xf numFmtId="168" fontId="46" fillId="0" borderId="13" xfId="22" applyNumberFormat="1" applyBorder="1" applyAlignment="1">
      <alignment horizontal="center"/>
    </xf>
    <xf numFmtId="168" fontId="60" fillId="0" borderId="31" xfId="22" applyNumberFormat="1" applyFont="1" applyBorder="1"/>
    <xf numFmtId="168" fontId="60" fillId="0" borderId="36" xfId="22" applyNumberFormat="1" applyFont="1" applyBorder="1"/>
    <xf numFmtId="167" fontId="46" fillId="0" borderId="31" xfId="22" applyBorder="1"/>
    <xf numFmtId="167" fontId="46" fillId="0" borderId="12" xfId="22" applyBorder="1" applyAlignment="1">
      <alignment horizontal="center"/>
    </xf>
    <xf numFmtId="167" fontId="46" fillId="0" borderId="12" xfId="22" applyBorder="1"/>
    <xf numFmtId="167" fontId="46" fillId="0" borderId="31" xfId="22" applyBorder="1" applyAlignment="1">
      <alignment horizontal="center"/>
    </xf>
    <xf numFmtId="168" fontId="46" fillId="0" borderId="0" xfId="22" applyNumberFormat="1"/>
    <xf numFmtId="167" fontId="43" fillId="0" borderId="38" xfId="22" applyFont="1" applyBorder="1"/>
    <xf numFmtId="167" fontId="43" fillId="0" borderId="31" xfId="22" applyFont="1" applyBorder="1" applyAlignment="1">
      <alignment horizontal="center"/>
    </xf>
    <xf numFmtId="167" fontId="43" fillId="0" borderId="36" xfId="22" applyFont="1" applyBorder="1"/>
    <xf numFmtId="167" fontId="46" fillId="0" borderId="0" xfId="22" applyAlignment="1">
      <alignment horizontal="left"/>
    </xf>
    <xf numFmtId="167" fontId="60" fillId="0" borderId="12" xfId="22" applyFont="1" applyBorder="1"/>
    <xf numFmtId="9" fontId="61" fillId="0" borderId="0" xfId="22" applyNumberFormat="1" applyFont="1"/>
    <xf numFmtId="168" fontId="60" fillId="0" borderId="31" xfId="22" applyNumberFormat="1" applyFont="1" applyBorder="1" applyAlignment="1">
      <alignment horizontal="center"/>
    </xf>
    <xf numFmtId="168" fontId="60" fillId="0" borderId="36" xfId="22" applyNumberFormat="1" applyFont="1" applyBorder="1" applyAlignment="1">
      <alignment horizontal="center"/>
    </xf>
    <xf numFmtId="172" fontId="60" fillId="0" borderId="0" xfId="22" applyNumberFormat="1" applyFont="1"/>
    <xf numFmtId="167" fontId="43" fillId="0" borderId="0" xfId="22" applyFont="1" applyAlignment="1">
      <alignment horizontal="right"/>
    </xf>
    <xf numFmtId="167" fontId="60" fillId="0" borderId="41" xfId="22" applyFont="1" applyBorder="1"/>
    <xf numFmtId="167" fontId="60" fillId="0" borderId="42" xfId="22" applyFont="1" applyBorder="1"/>
    <xf numFmtId="167" fontId="60" fillId="0" borderId="43" xfId="22" applyFont="1" applyBorder="1"/>
    <xf numFmtId="167" fontId="60" fillId="0" borderId="44" xfId="22" applyFont="1" applyBorder="1"/>
    <xf numFmtId="167" fontId="46" fillId="0" borderId="13" xfId="22" applyBorder="1"/>
    <xf numFmtId="167" fontId="60" fillId="0" borderId="0" xfId="22" applyFont="1" applyAlignment="1">
      <alignment horizontal="center"/>
    </xf>
    <xf numFmtId="168" fontId="46" fillId="0" borderId="0" xfId="22" applyNumberFormat="1" applyAlignment="1">
      <alignment horizontal="right"/>
    </xf>
    <xf numFmtId="167" fontId="46" fillId="0" borderId="0" xfId="22" applyAlignment="1">
      <alignment horizontal="right"/>
    </xf>
    <xf numFmtId="167" fontId="46" fillId="0" borderId="0" xfId="22" applyAlignment="1">
      <alignment vertical="top"/>
    </xf>
    <xf numFmtId="167" fontId="46" fillId="0" borderId="0" xfId="22" applyAlignment="1">
      <alignment horizontal="center" vertical="top"/>
    </xf>
    <xf numFmtId="167" fontId="60" fillId="0" borderId="0" xfId="22" applyFont="1" applyAlignment="1">
      <alignment vertical="top"/>
    </xf>
    <xf numFmtId="10" fontId="46" fillId="0" borderId="0" xfId="3" applyNumberFormat="1" applyFont="1" applyFill="1" applyBorder="1" applyAlignment="1" applyProtection="1">
      <alignment vertical="top"/>
    </xf>
    <xf numFmtId="168" fontId="46" fillId="0" borderId="0" xfId="22" applyNumberFormat="1" applyAlignment="1">
      <alignment horizontal="right" vertical="top"/>
    </xf>
    <xf numFmtId="167" fontId="46" fillId="0" borderId="0" xfId="22" applyAlignment="1">
      <alignment horizontal="fill" vertical="top"/>
    </xf>
    <xf numFmtId="10" fontId="46" fillId="0" borderId="0" xfId="3" applyNumberFormat="1" applyFont="1" applyAlignment="1">
      <alignment vertical="top"/>
    </xf>
    <xf numFmtId="168" fontId="46" fillId="0" borderId="31" xfId="22" applyNumberFormat="1" applyBorder="1" applyAlignment="1">
      <alignment horizontal="center"/>
    </xf>
    <xf numFmtId="168" fontId="46" fillId="0" borderId="0" xfId="22" applyNumberFormat="1" applyAlignment="1">
      <alignment horizontal="center"/>
    </xf>
    <xf numFmtId="168" fontId="46" fillId="0" borderId="0" xfId="22" applyNumberFormat="1" applyAlignment="1">
      <alignment horizontal="left"/>
    </xf>
    <xf numFmtId="10" fontId="46" fillId="0" borderId="0" xfId="3" applyNumberFormat="1" applyFont="1" applyBorder="1" applyAlignment="1" applyProtection="1">
      <alignment horizontal="right"/>
    </xf>
    <xf numFmtId="167" fontId="49" fillId="0" borderId="0" xfId="22" applyFont="1"/>
    <xf numFmtId="167" fontId="45" fillId="0" borderId="0" xfId="22" applyFont="1" applyAlignment="1">
      <alignment vertical="top"/>
    </xf>
    <xf numFmtId="167" fontId="45" fillId="0" borderId="0" xfId="22" applyFont="1" applyAlignment="1">
      <alignment horizontal="left" vertical="top"/>
    </xf>
    <xf numFmtId="167" fontId="45" fillId="0" borderId="0" xfId="22" applyFont="1" applyAlignment="1">
      <alignment horizontal="center" vertical="top"/>
    </xf>
    <xf numFmtId="1" fontId="45" fillId="0" borderId="56" xfId="22" applyNumberFormat="1" applyFont="1" applyBorder="1" applyAlignment="1">
      <alignment horizontal="center" vertical="top"/>
    </xf>
    <xf numFmtId="167" fontId="45" fillId="0" borderId="1" xfId="22" applyFont="1" applyBorder="1" applyAlignment="1">
      <alignment horizontal="left" vertical="top"/>
    </xf>
    <xf numFmtId="167" fontId="45" fillId="0" borderId="34" xfId="22" applyFont="1" applyBorder="1" applyAlignment="1">
      <alignment horizontal="center" vertical="top"/>
    </xf>
    <xf numFmtId="167" fontId="45" fillId="0" borderId="1" xfId="22" applyFont="1" applyBorder="1" applyAlignment="1">
      <alignment horizontal="right" vertical="top" wrapText="1"/>
    </xf>
    <xf numFmtId="167" fontId="45" fillId="0" borderId="32" xfId="22" applyFont="1" applyBorder="1" applyAlignment="1">
      <alignment horizontal="center"/>
    </xf>
    <xf numFmtId="167" fontId="49" fillId="0" borderId="2" xfId="22" applyFont="1" applyBorder="1"/>
    <xf numFmtId="167" fontId="45" fillId="0" borderId="0" xfId="22" applyFont="1"/>
    <xf numFmtId="167" fontId="45" fillId="0" borderId="2" xfId="22" applyFont="1" applyBorder="1" applyAlignment="1">
      <alignment horizontal="right"/>
    </xf>
    <xf numFmtId="1" fontId="45" fillId="0" borderId="32" xfId="22" applyNumberFormat="1" applyFont="1" applyBorder="1" applyAlignment="1">
      <alignment horizontal="center" vertical="top"/>
    </xf>
    <xf numFmtId="167" fontId="45" fillId="0" borderId="2" xfId="22" applyFont="1" applyBorder="1" applyAlignment="1">
      <alignment horizontal="left" vertical="top"/>
    </xf>
    <xf numFmtId="2" fontId="45" fillId="0" borderId="2" xfId="22" applyNumberFormat="1" applyFont="1" applyBorder="1" applyAlignment="1">
      <alignment horizontal="right" vertical="top"/>
    </xf>
    <xf numFmtId="1" fontId="45" fillId="0" borderId="32" xfId="22" applyNumberFormat="1" applyFont="1" applyBorder="1" applyAlignment="1">
      <alignment horizontal="center"/>
    </xf>
    <xf numFmtId="167" fontId="45" fillId="0" borderId="2" xfId="22" applyFont="1" applyBorder="1" applyAlignment="1">
      <alignment horizontal="left"/>
    </xf>
    <xf numFmtId="167" fontId="45" fillId="0" borderId="0" xfId="22" applyFont="1" applyAlignment="1">
      <alignment horizontal="center"/>
    </xf>
    <xf numFmtId="2" fontId="45" fillId="0" borderId="2" xfId="22" applyNumberFormat="1" applyFont="1" applyBorder="1" applyAlignment="1">
      <alignment horizontal="right"/>
    </xf>
    <xf numFmtId="10" fontId="45" fillId="0" borderId="2" xfId="3" applyNumberFormat="1" applyFont="1" applyBorder="1" applyAlignment="1" applyProtection="1">
      <alignment horizontal="right" vertical="top"/>
    </xf>
    <xf numFmtId="167" fontId="46" fillId="0" borderId="13" xfId="22" applyBorder="1" applyAlignment="1">
      <alignment horizontal="center"/>
    </xf>
    <xf numFmtId="1" fontId="45" fillId="0" borderId="35" xfId="22" applyNumberFormat="1" applyFont="1" applyBorder="1" applyAlignment="1">
      <alignment horizontal="center"/>
    </xf>
    <xf numFmtId="167" fontId="45" fillId="0" borderId="33" xfId="22" applyFont="1" applyBorder="1" applyAlignment="1">
      <alignment horizontal="left"/>
    </xf>
    <xf numFmtId="167" fontId="45" fillId="0" borderId="12" xfId="22" applyFont="1" applyBorder="1" applyAlignment="1">
      <alignment horizontal="center"/>
    </xf>
    <xf numFmtId="2" fontId="45" fillId="0" borderId="33" xfId="22" applyNumberFormat="1" applyFont="1" applyBorder="1" applyAlignment="1">
      <alignment horizontal="right"/>
    </xf>
    <xf numFmtId="167" fontId="46" fillId="0" borderId="13" xfId="22" applyBorder="1" applyAlignment="1">
      <alignment horizontal="center" vertical="top"/>
    </xf>
    <xf numFmtId="167" fontId="46" fillId="0" borderId="0" xfId="22" applyAlignment="1">
      <alignment horizontal="justify" vertical="top" wrapText="1"/>
    </xf>
    <xf numFmtId="167" fontId="43" fillId="0" borderId="0" xfId="22" applyFont="1" applyAlignment="1">
      <alignment vertical="top" wrapText="1"/>
    </xf>
    <xf numFmtId="167" fontId="43" fillId="0" borderId="13" xfId="22" applyFont="1" applyBorder="1"/>
    <xf numFmtId="167" fontId="43" fillId="0" borderId="13" xfId="22" applyFont="1" applyBorder="1" applyAlignment="1">
      <alignment horizontal="center"/>
    </xf>
    <xf numFmtId="10" fontId="43" fillId="0" borderId="13" xfId="3" applyNumberFormat="1" applyFont="1" applyBorder="1"/>
    <xf numFmtId="9" fontId="0" fillId="0" borderId="13" xfId="3" applyFont="1" applyBorder="1" applyAlignment="1">
      <alignment horizontal="center"/>
    </xf>
    <xf numFmtId="167" fontId="43" fillId="0" borderId="13" xfId="22" applyFont="1" applyBorder="1" applyAlignment="1">
      <alignment horizontal="left"/>
    </xf>
    <xf numFmtId="10" fontId="43" fillId="0" borderId="13" xfId="3" applyNumberFormat="1" applyFont="1" applyFill="1" applyBorder="1"/>
    <xf numFmtId="10" fontId="0" fillId="0" borderId="13" xfId="3" applyNumberFormat="1" applyFont="1" applyBorder="1"/>
    <xf numFmtId="2" fontId="0" fillId="0" borderId="13" xfId="3" applyNumberFormat="1" applyFont="1" applyBorder="1"/>
    <xf numFmtId="10" fontId="60" fillId="2" borderId="0" xfId="3" applyNumberFormat="1" applyFont="1" applyFill="1" applyProtection="1"/>
    <xf numFmtId="167" fontId="46" fillId="2" borderId="0" xfId="22" applyFill="1"/>
    <xf numFmtId="167" fontId="60" fillId="2" borderId="0" xfId="22" applyFont="1" applyFill="1"/>
    <xf numFmtId="167" fontId="110" fillId="2" borderId="0" xfId="22" applyFont="1" applyFill="1"/>
    <xf numFmtId="167" fontId="46" fillId="2" borderId="31" xfId="22" applyFill="1" applyBorder="1"/>
    <xf numFmtId="9" fontId="144" fillId="0" borderId="0" xfId="22" applyNumberFormat="1" applyFont="1"/>
    <xf numFmtId="167" fontId="144" fillId="0" borderId="0" xfId="22" applyFont="1"/>
    <xf numFmtId="167" fontId="61" fillId="0" borderId="38" xfId="22" applyFont="1" applyBorder="1"/>
    <xf numFmtId="167" fontId="60" fillId="0" borderId="0" xfId="22" applyFont="1" applyAlignment="1">
      <alignment vertical="center"/>
    </xf>
    <xf numFmtId="167" fontId="43" fillId="2" borderId="0" xfId="22" applyFont="1" applyFill="1"/>
    <xf numFmtId="10" fontId="46" fillId="0" borderId="13" xfId="3" applyNumberFormat="1" applyFont="1" applyBorder="1"/>
    <xf numFmtId="167" fontId="44" fillId="0" borderId="8" xfId="0" applyFont="1" applyBorder="1" applyAlignment="1">
      <alignment horizontal="centerContinuous" vertical="center"/>
    </xf>
    <xf numFmtId="167" fontId="46" fillId="0" borderId="6" xfId="0" applyFont="1" applyBorder="1" applyAlignment="1">
      <alignment horizontal="centerContinuous" vertical="center"/>
    </xf>
    <xf numFmtId="167" fontId="44" fillId="0" borderId="22" xfId="0" applyFont="1" applyBorder="1" applyAlignment="1">
      <alignment horizontal="centerContinuous" vertical="center"/>
    </xf>
    <xf numFmtId="167" fontId="44" fillId="0" borderId="7" xfId="0" applyFont="1" applyBorder="1" applyAlignment="1">
      <alignment horizontal="centerContinuous" vertical="center"/>
    </xf>
    <xf numFmtId="167" fontId="44" fillId="0" borderId="53" xfId="0" applyFont="1" applyBorder="1" applyAlignment="1">
      <alignment horizontal="centerContinuous" vertical="center"/>
    </xf>
    <xf numFmtId="167" fontId="48" fillId="0" borderId="0" xfId="0" applyFont="1" applyAlignment="1">
      <alignment vertical="center"/>
    </xf>
    <xf numFmtId="167" fontId="44" fillId="0" borderId="30" xfId="0" applyFont="1" applyBorder="1" applyAlignment="1">
      <alignment horizontal="center"/>
    </xf>
    <xf numFmtId="167" fontId="0" fillId="0" borderId="13" xfId="0" applyBorder="1" applyAlignment="1">
      <alignment vertical="center"/>
    </xf>
    <xf numFmtId="9" fontId="51" fillId="0" borderId="0" xfId="3" applyFont="1"/>
    <xf numFmtId="1" fontId="46" fillId="2" borderId="13" xfId="22" applyNumberFormat="1" applyFill="1" applyBorder="1" applyAlignment="1">
      <alignment vertical="top"/>
    </xf>
    <xf numFmtId="2" fontId="43" fillId="0" borderId="33" xfId="22" applyNumberFormat="1" applyFont="1" applyBorder="1" applyAlignment="1">
      <alignment vertical="top"/>
    </xf>
    <xf numFmtId="167" fontId="69" fillId="0" borderId="1" xfId="6" applyNumberFormat="1" applyFont="1" applyBorder="1" applyAlignment="1">
      <alignment horizontal="center" vertical="top" wrapText="1"/>
    </xf>
    <xf numFmtId="9" fontId="69" fillId="0" borderId="1" xfId="3" applyFont="1" applyFill="1" applyBorder="1" applyAlignment="1">
      <alignment horizontal="center" vertical="top" wrapText="1"/>
    </xf>
    <xf numFmtId="0" fontId="69" fillId="0" borderId="0" xfId="6" applyFont="1" applyAlignment="1">
      <alignment horizontal="right" vertical="center" wrapText="1"/>
    </xf>
    <xf numFmtId="0" fontId="69" fillId="0" borderId="0" xfId="6" applyFont="1" applyAlignment="1">
      <alignment horizontal="right" vertical="center"/>
    </xf>
    <xf numFmtId="0" fontId="72" fillId="2" borderId="1" xfId="6" applyFont="1" applyFill="1" applyBorder="1" applyAlignment="1">
      <alignment horizontal="center" vertical="top" wrapText="1"/>
    </xf>
    <xf numFmtId="0" fontId="68" fillId="0" borderId="55" xfId="6" applyFont="1" applyBorder="1" applyAlignment="1">
      <alignment horizontal="left" vertical="center" wrapText="1"/>
    </xf>
    <xf numFmtId="0" fontId="76" fillId="0" borderId="1" xfId="0" applyNumberFormat="1" applyFont="1" applyBorder="1" applyAlignment="1">
      <alignment horizontal="left" vertical="center" wrapText="1"/>
    </xf>
    <xf numFmtId="0" fontId="76" fillId="0" borderId="13" xfId="0" applyNumberFormat="1" applyFont="1" applyBorder="1" applyAlignment="1">
      <alignment horizontal="left" vertical="center" wrapText="1"/>
    </xf>
    <xf numFmtId="0" fontId="79" fillId="0" borderId="13" xfId="0" applyNumberFormat="1" applyFont="1" applyBorder="1" applyAlignment="1">
      <alignment vertical="center" wrapText="1"/>
    </xf>
    <xf numFmtId="0" fontId="80" fillId="0" borderId="1" xfId="0" applyNumberFormat="1" applyFont="1" applyBorder="1" applyAlignment="1">
      <alignment horizontal="left" vertical="center" wrapText="1"/>
    </xf>
    <xf numFmtId="178" fontId="76" fillId="0" borderId="13" xfId="0" applyNumberFormat="1" applyFont="1" applyBorder="1" applyAlignment="1">
      <alignment horizontal="right" vertical="center" wrapText="1"/>
    </xf>
    <xf numFmtId="187" fontId="72" fillId="0" borderId="13" xfId="6" applyNumberFormat="1" applyFont="1" applyBorder="1" applyAlignment="1">
      <alignment horizontal="center" vertical="center" wrapText="1"/>
    </xf>
    <xf numFmtId="4" fontId="72" fillId="0" borderId="13" xfId="6" applyNumberFormat="1" applyFont="1" applyBorder="1" applyAlignment="1">
      <alignment horizontal="center" vertical="center" wrapText="1"/>
    </xf>
    <xf numFmtId="0" fontId="69" fillId="0" borderId="13" xfId="6" applyFont="1" applyBorder="1" applyAlignment="1">
      <alignment horizontal="center" vertical="center" wrapText="1"/>
    </xf>
    <xf numFmtId="2" fontId="69" fillId="0" borderId="13" xfId="6" applyNumberFormat="1" applyFont="1" applyBorder="1" applyAlignment="1">
      <alignment horizontal="center" vertical="center" wrapText="1"/>
    </xf>
    <xf numFmtId="2" fontId="72" fillId="0" borderId="38" xfId="6" applyNumberFormat="1" applyFont="1" applyBorder="1" applyAlignment="1">
      <alignment horizontal="center" vertical="center" wrapText="1"/>
    </xf>
    <xf numFmtId="0" fontId="69" fillId="0" borderId="1" xfId="6" applyFont="1" applyBorder="1" applyAlignment="1">
      <alignment horizontal="center" vertical="center" wrapText="1"/>
    </xf>
    <xf numFmtId="2" fontId="69" fillId="0" borderId="1" xfId="6" applyNumberFormat="1" applyFont="1" applyBorder="1" applyAlignment="1">
      <alignment horizontal="center" vertical="center" wrapText="1"/>
    </xf>
    <xf numFmtId="164" fontId="76" fillId="0" borderId="13" xfId="0" applyNumberFormat="1" applyFont="1" applyBorder="1" applyAlignment="1">
      <alignment horizontal="right" vertical="center" wrapText="1"/>
    </xf>
    <xf numFmtId="178" fontId="76" fillId="0" borderId="13" xfId="0" applyNumberFormat="1" applyFont="1" applyBorder="1" applyAlignment="1">
      <alignment horizontal="right" vertical="center"/>
    </xf>
    <xf numFmtId="0" fontId="66" fillId="0" borderId="13" xfId="6" applyFont="1" applyBorder="1" applyAlignment="1">
      <alignment vertical="center"/>
    </xf>
    <xf numFmtId="178" fontId="80" fillId="0" borderId="13" xfId="0" applyNumberFormat="1" applyFont="1" applyBorder="1" applyAlignment="1">
      <alignment horizontal="right" vertical="center"/>
    </xf>
    <xf numFmtId="2" fontId="146" fillId="0" borderId="13" xfId="6" applyNumberFormat="1" applyFont="1" applyBorder="1" applyAlignment="1">
      <alignment horizontal="center" vertical="center" wrapText="1"/>
    </xf>
    <xf numFmtId="178" fontId="69" fillId="0" borderId="13" xfId="6" applyNumberFormat="1" applyFont="1" applyBorder="1" applyAlignment="1">
      <alignment horizontal="center" vertical="center" wrapText="1"/>
    </xf>
    <xf numFmtId="4" fontId="69" fillId="0" borderId="13" xfId="6" applyNumberFormat="1" applyFont="1" applyBorder="1" applyAlignment="1">
      <alignment horizontal="center" vertical="center" wrapText="1"/>
    </xf>
    <xf numFmtId="2" fontId="69" fillId="0" borderId="38" xfId="6" applyNumberFormat="1" applyFont="1" applyBorder="1" applyAlignment="1">
      <alignment horizontal="center" vertical="center" wrapText="1"/>
    </xf>
    <xf numFmtId="2" fontId="68" fillId="0" borderId="1" xfId="6" applyNumberFormat="1" applyFont="1" applyBorder="1" applyAlignment="1">
      <alignment horizontal="center" vertical="center" wrapText="1"/>
    </xf>
    <xf numFmtId="179" fontId="69" fillId="0" borderId="13" xfId="6" applyNumberFormat="1" applyFont="1" applyBorder="1" applyAlignment="1">
      <alignment horizontal="center" vertical="center" wrapText="1"/>
    </xf>
    <xf numFmtId="10" fontId="69" fillId="0" borderId="13" xfId="3" applyNumberFormat="1" applyFont="1" applyFill="1" applyBorder="1" applyAlignment="1">
      <alignment horizontal="center" vertical="center" wrapText="1"/>
    </xf>
    <xf numFmtId="169" fontId="69" fillId="0" borderId="13" xfId="3" applyNumberFormat="1" applyFont="1" applyFill="1" applyBorder="1" applyAlignment="1">
      <alignment horizontal="center" vertical="center" wrapText="1"/>
    </xf>
    <xf numFmtId="2" fontId="69" fillId="0" borderId="13" xfId="3" applyNumberFormat="1" applyFont="1" applyFill="1" applyBorder="1" applyAlignment="1">
      <alignment horizontal="center" vertical="center" wrapText="1"/>
    </xf>
    <xf numFmtId="2" fontId="68" fillId="0" borderId="13" xfId="3" applyNumberFormat="1" applyFont="1" applyFill="1" applyBorder="1" applyAlignment="1">
      <alignment horizontal="center" vertical="center" wrapText="1"/>
    </xf>
    <xf numFmtId="0" fontId="63" fillId="0" borderId="55" xfId="6" applyFont="1" applyBorder="1" applyAlignment="1">
      <alignment vertical="top"/>
    </xf>
    <xf numFmtId="167" fontId="45" fillId="0" borderId="13" xfId="0" applyFont="1" applyBorder="1" applyAlignment="1">
      <alignment horizontal="justify" vertical="center" wrapText="1"/>
    </xf>
    <xf numFmtId="167" fontId="53" fillId="2" borderId="12" xfId="0" applyFont="1" applyFill="1" applyBorder="1" applyAlignment="1">
      <alignment vertical="top"/>
    </xf>
    <xf numFmtId="167" fontId="53" fillId="2" borderId="36" xfId="0" applyFont="1" applyFill="1" applyBorder="1"/>
    <xf numFmtId="167" fontId="53" fillId="2" borderId="36" xfId="0" applyFont="1" applyFill="1" applyBorder="1" applyAlignment="1">
      <alignment vertical="center"/>
    </xf>
    <xf numFmtId="0" fontId="68" fillId="2" borderId="0" xfId="6" applyFont="1" applyFill="1" applyAlignment="1">
      <alignment horizontal="left" vertical="center" indent="1"/>
    </xf>
    <xf numFmtId="4" fontId="51" fillId="2" borderId="0" xfId="0" applyNumberFormat="1" applyFont="1" applyFill="1"/>
    <xf numFmtId="167" fontId="51" fillId="2" borderId="0" xfId="0" applyFont="1" applyFill="1" applyAlignment="1">
      <alignment horizontal="center" vertical="center"/>
    </xf>
    <xf numFmtId="9" fontId="51" fillId="0" borderId="12" xfId="3" applyFont="1" applyBorder="1" applyAlignment="1" applyProtection="1">
      <alignment horizontal="left"/>
    </xf>
    <xf numFmtId="169" fontId="51" fillId="2" borderId="0" xfId="3" applyNumberFormat="1" applyFont="1" applyFill="1"/>
    <xf numFmtId="167" fontId="53" fillId="9" borderId="12" xfId="0" applyFont="1" applyFill="1" applyBorder="1" applyAlignment="1">
      <alignment vertical="top"/>
    </xf>
    <xf numFmtId="167" fontId="46" fillId="2" borderId="46" xfId="0" applyFont="1" applyFill="1" applyBorder="1"/>
    <xf numFmtId="167" fontId="50" fillId="0" borderId="38" xfId="0" applyFont="1" applyBorder="1" applyAlignment="1">
      <alignment horizontal="center" vertical="center"/>
    </xf>
    <xf numFmtId="167" fontId="50" fillId="0" borderId="31" xfId="0" applyFont="1" applyBorder="1" applyAlignment="1">
      <alignment horizontal="center" vertical="center"/>
    </xf>
    <xf numFmtId="2" fontId="50" fillId="0" borderId="31" xfId="0" applyNumberFormat="1" applyFont="1" applyBorder="1" applyAlignment="1">
      <alignment horizontal="center" vertical="center"/>
    </xf>
    <xf numFmtId="2" fontId="50" fillId="0" borderId="36" xfId="0" applyNumberFormat="1" applyFont="1" applyBorder="1" applyAlignment="1">
      <alignment horizontal="center" vertical="center"/>
    </xf>
    <xf numFmtId="167" fontId="50" fillId="0" borderId="8" xfId="0" applyFont="1" applyBorder="1" applyAlignment="1">
      <alignment horizontal="center" vertical="center"/>
    </xf>
    <xf numFmtId="167" fontId="102" fillId="0" borderId="0" xfId="0" applyFont="1"/>
    <xf numFmtId="167" fontId="49" fillId="0" borderId="13" xfId="0" applyFont="1" applyBorder="1" applyAlignment="1">
      <alignment horizontal="center" vertical="center"/>
    </xf>
    <xf numFmtId="167" fontId="50" fillId="0" borderId="13" xfId="0" applyFont="1" applyBorder="1" applyAlignment="1">
      <alignment horizontal="center" vertical="center"/>
    </xf>
    <xf numFmtId="167" fontId="49" fillId="0" borderId="13" xfId="0" applyFont="1" applyBorder="1" applyAlignment="1">
      <alignment horizontal="right" vertical="center"/>
    </xf>
    <xf numFmtId="167" fontId="147" fillId="0" borderId="0" xfId="0" applyFont="1"/>
    <xf numFmtId="167" fontId="145" fillId="0" borderId="13" xfId="0" applyFont="1" applyBorder="1" applyAlignment="1">
      <alignment horizontal="center" vertical="center"/>
    </xf>
    <xf numFmtId="168" fontId="45" fillId="0" borderId="29" xfId="0" applyNumberFormat="1" applyFont="1" applyBorder="1" applyAlignment="1">
      <alignment horizontal="center" vertical="top" wrapText="1"/>
    </xf>
    <xf numFmtId="167" fontId="44" fillId="0" borderId="33" xfId="0" applyFont="1" applyBorder="1" applyAlignment="1">
      <alignment horizontal="center" wrapText="1"/>
    </xf>
    <xf numFmtId="167" fontId="46" fillId="0" borderId="0" xfId="0" applyFont="1" applyAlignment="1">
      <alignment horizontal="right" vertical="top"/>
    </xf>
    <xf numFmtId="168" fontId="46" fillId="0" borderId="0" xfId="0" applyNumberFormat="1" applyFont="1" applyAlignment="1">
      <alignment horizontal="right" vertical="top"/>
    </xf>
    <xf numFmtId="2" fontId="46" fillId="0" borderId="0" xfId="0" applyNumberFormat="1" applyFont="1" applyAlignment="1">
      <alignment vertical="top"/>
    </xf>
    <xf numFmtId="1" fontId="46" fillId="0" borderId="0" xfId="0" applyNumberFormat="1" applyFont="1" applyAlignment="1">
      <alignment vertical="top"/>
    </xf>
    <xf numFmtId="168" fontId="46" fillId="0" borderId="0" xfId="0" applyNumberFormat="1" applyFont="1" applyAlignment="1">
      <alignment horizontal="left" vertical="top"/>
    </xf>
    <xf numFmtId="167" fontId="43" fillId="0" borderId="0" xfId="0" applyFont="1" applyAlignment="1">
      <alignment horizontal="left" vertical="top"/>
    </xf>
    <xf numFmtId="43" fontId="0" fillId="0" borderId="0" xfId="0" applyNumberFormat="1" applyAlignment="1">
      <alignment horizontal="right"/>
    </xf>
    <xf numFmtId="168" fontId="77" fillId="0" borderId="107" xfId="0" applyNumberFormat="1" applyFont="1" applyBorder="1" applyAlignment="1">
      <alignment horizontal="center" vertical="top" wrapText="1"/>
    </xf>
    <xf numFmtId="0" fontId="77" fillId="0" borderId="107" xfId="0" applyNumberFormat="1" applyFont="1" applyBorder="1" applyAlignment="1">
      <alignment horizontal="center" vertical="top" wrapText="1"/>
    </xf>
    <xf numFmtId="167" fontId="77" fillId="0" borderId="107" xfId="0" applyFont="1" applyBorder="1" applyAlignment="1">
      <alignment horizontal="center" vertical="top" wrapText="1"/>
    </xf>
    <xf numFmtId="0" fontId="148" fillId="0" borderId="107" xfId="0" applyNumberFormat="1" applyFont="1" applyBorder="1" applyAlignment="1" applyProtection="1">
      <alignment horizontal="center" vertical="top" wrapText="1"/>
      <protection locked="0"/>
    </xf>
    <xf numFmtId="167" fontId="118" fillId="0" borderId="107" xfId="0" applyFont="1" applyBorder="1" applyAlignment="1" applyProtection="1">
      <alignment vertical="top"/>
      <protection locked="0"/>
    </xf>
    <xf numFmtId="0" fontId="148" fillId="0" borderId="107" xfId="0" applyNumberFormat="1" applyFont="1" applyBorder="1" applyAlignment="1">
      <alignment horizontal="left" vertical="top" wrapText="1"/>
    </xf>
    <xf numFmtId="0" fontId="150" fillId="0" borderId="107" xfId="0" applyNumberFormat="1" applyFont="1" applyBorder="1" applyAlignment="1" applyProtection="1">
      <alignment horizontal="center" vertical="top" wrapText="1"/>
      <protection locked="0"/>
    </xf>
    <xf numFmtId="167" fontId="150" fillId="0" borderId="107" xfId="0" applyFont="1" applyBorder="1" applyAlignment="1" applyProtection="1">
      <alignment horizontal="right" vertical="top" wrapText="1"/>
      <protection locked="0"/>
    </xf>
    <xf numFmtId="0" fontId="148" fillId="0" borderId="107" xfId="0" applyNumberFormat="1" applyFont="1" applyBorder="1" applyAlignment="1">
      <alignment horizontal="center" vertical="top" wrapText="1"/>
    </xf>
    <xf numFmtId="0" fontId="150" fillId="0" borderId="107" xfId="0" applyNumberFormat="1" applyFont="1" applyBorder="1" applyAlignment="1">
      <alignment vertical="top" wrapText="1"/>
    </xf>
    <xf numFmtId="0" fontId="150" fillId="0" borderId="107" xfId="0" applyNumberFormat="1" applyFont="1" applyBorder="1" applyAlignment="1">
      <alignment horizontal="center" vertical="top" wrapText="1"/>
    </xf>
    <xf numFmtId="167" fontId="150" fillId="0" borderId="107" xfId="0" applyFont="1" applyBorder="1" applyAlignment="1">
      <alignment horizontal="right" vertical="top" wrapText="1"/>
    </xf>
    <xf numFmtId="167" fontId="148" fillId="0" borderId="107" xfId="0" applyFont="1" applyBorder="1" applyAlignment="1">
      <alignment horizontal="left" vertical="top"/>
    </xf>
    <xf numFmtId="0" fontId="118" fillId="0" borderId="107" xfId="0" applyNumberFormat="1" applyFont="1" applyBorder="1" applyAlignment="1">
      <alignment horizontal="center" vertical="top" wrapText="1"/>
    </xf>
    <xf numFmtId="0" fontId="153" fillId="0" borderId="107" xfId="0" applyNumberFormat="1" applyFont="1" applyBorder="1" applyAlignment="1">
      <alignment vertical="top" wrapText="1"/>
    </xf>
    <xf numFmtId="0" fontId="153" fillId="0" borderId="107" xfId="0" applyNumberFormat="1" applyFont="1" applyBorder="1" applyAlignment="1">
      <alignment horizontal="center" vertical="top" wrapText="1"/>
    </xf>
    <xf numFmtId="168" fontId="153" fillId="0" borderId="107" xfId="0" applyNumberFormat="1" applyFont="1" applyBorder="1" applyAlignment="1">
      <alignment horizontal="right" vertical="top" wrapText="1"/>
    </xf>
    <xf numFmtId="167" fontId="153" fillId="0" borderId="107" xfId="0" applyFont="1" applyBorder="1" applyAlignment="1">
      <alignment horizontal="right" vertical="top" wrapText="1"/>
    </xf>
    <xf numFmtId="167" fontId="118" fillId="0" borderId="107" xfId="0" applyFont="1" applyBorder="1" applyAlignment="1">
      <alignment vertical="top" wrapText="1"/>
    </xf>
    <xf numFmtId="0" fontId="153" fillId="0" borderId="107" xfId="0" quotePrefix="1" applyNumberFormat="1" applyFont="1" applyBorder="1" applyAlignment="1">
      <alignment vertical="top" wrapText="1"/>
    </xf>
    <xf numFmtId="167" fontId="118" fillId="0" borderId="0" xfId="0" applyFont="1" applyAlignment="1">
      <alignment horizontal="right" vertical="center"/>
    </xf>
    <xf numFmtId="167" fontId="118" fillId="0" borderId="0" xfId="0" applyFont="1" applyAlignment="1">
      <alignment vertical="center"/>
    </xf>
    <xf numFmtId="167" fontId="118" fillId="0" borderId="107" xfId="0" applyFont="1" applyBorder="1" applyAlignment="1">
      <alignment horizontal="left" vertical="top" wrapText="1"/>
    </xf>
    <xf numFmtId="0" fontId="153" fillId="0" borderId="107" xfId="0" applyNumberFormat="1" applyFont="1" applyBorder="1" applyAlignment="1">
      <alignment horizontal="center" vertical="top"/>
    </xf>
    <xf numFmtId="168" fontId="153" fillId="0" borderId="107" xfId="0" applyNumberFormat="1" applyFont="1" applyBorder="1" applyAlignment="1">
      <alignment horizontal="right" vertical="top"/>
    </xf>
    <xf numFmtId="167" fontId="118" fillId="0" borderId="107" xfId="0" applyFont="1" applyBorder="1" applyAlignment="1" applyProtection="1">
      <alignment vertical="top" wrapText="1"/>
      <protection locked="0"/>
    </xf>
    <xf numFmtId="168" fontId="150" fillId="0" borderId="107" xfId="0" applyNumberFormat="1" applyFont="1" applyBorder="1" applyAlignment="1">
      <alignment horizontal="right" vertical="top" wrapText="1"/>
    </xf>
    <xf numFmtId="167" fontId="150" fillId="0" borderId="107" xfId="0" applyFont="1" applyBorder="1" applyAlignment="1">
      <alignment horizontal="left" vertical="top" wrapText="1"/>
    </xf>
    <xf numFmtId="168" fontId="148" fillId="5" borderId="107" xfId="0" applyNumberFormat="1" applyFont="1" applyFill="1" applyBorder="1" applyAlignment="1">
      <alignment horizontal="center" vertical="top"/>
    </xf>
    <xf numFmtId="167" fontId="148" fillId="5" borderId="107" xfId="0" applyFont="1" applyFill="1" applyBorder="1" applyAlignment="1">
      <alignment horizontal="left" vertical="top"/>
    </xf>
    <xf numFmtId="167" fontId="148" fillId="5" borderId="107" xfId="0" applyFont="1" applyFill="1" applyBorder="1" applyAlignment="1">
      <alignment horizontal="center" vertical="top"/>
    </xf>
    <xf numFmtId="168" fontId="148" fillId="5" borderId="107" xfId="0" applyNumberFormat="1" applyFont="1" applyFill="1" applyBorder="1" applyAlignment="1">
      <alignment horizontal="right" vertical="top"/>
    </xf>
    <xf numFmtId="167" fontId="148" fillId="5" borderId="107" xfId="0" applyFont="1" applyFill="1" applyBorder="1" applyAlignment="1">
      <alignment horizontal="right" vertical="top" wrapText="1"/>
    </xf>
    <xf numFmtId="167" fontId="148" fillId="5" borderId="107" xfId="0" applyFont="1" applyFill="1" applyBorder="1" applyAlignment="1">
      <alignment horizontal="left" vertical="top" wrapText="1"/>
    </xf>
    <xf numFmtId="168" fontId="153" fillId="0" borderId="107" xfId="0" applyNumberFormat="1" applyFont="1" applyBorder="1" applyAlignment="1">
      <alignment horizontal="center" vertical="top" wrapText="1"/>
    </xf>
    <xf numFmtId="167" fontId="153" fillId="0" borderId="107" xfId="0" applyFont="1" applyBorder="1" applyAlignment="1">
      <alignment vertical="top" wrapText="1"/>
    </xf>
    <xf numFmtId="167" fontId="153" fillId="0" borderId="107" xfId="0" applyFont="1" applyBorder="1" applyAlignment="1">
      <alignment horizontal="center" vertical="top" wrapText="1"/>
    </xf>
    <xf numFmtId="168" fontId="118" fillId="0" borderId="107" xfId="14" applyNumberFormat="1" applyFont="1" applyBorder="1" applyAlignment="1">
      <alignment horizontal="right" vertical="top"/>
    </xf>
    <xf numFmtId="2" fontId="118" fillId="0" borderId="107" xfId="14" applyNumberFormat="1" applyFont="1" applyBorder="1" applyAlignment="1">
      <alignment horizontal="right" vertical="top"/>
    </xf>
    <xf numFmtId="0" fontId="118" fillId="0" borderId="107" xfId="14" applyFont="1" applyBorder="1" applyAlignment="1">
      <alignment horizontal="left" vertical="top" wrapText="1"/>
    </xf>
    <xf numFmtId="167" fontId="155" fillId="0" borderId="107" xfId="0" applyFont="1" applyBorder="1" applyAlignment="1">
      <alignment vertical="top"/>
    </xf>
    <xf numFmtId="167" fontId="155" fillId="0" borderId="107" xfId="0" applyFont="1" applyBorder="1" applyAlignment="1">
      <alignment horizontal="center" vertical="top"/>
    </xf>
    <xf numFmtId="168" fontId="46" fillId="0" borderId="107" xfId="0" applyNumberFormat="1" applyFont="1" applyBorder="1" applyAlignment="1">
      <alignment horizontal="right" vertical="top"/>
    </xf>
    <xf numFmtId="167" fontId="46" fillId="0" borderId="107" xfId="0" applyFont="1" applyBorder="1" applyAlignment="1">
      <alignment horizontal="right" vertical="top"/>
    </xf>
    <xf numFmtId="167" fontId="46" fillId="0" borderId="107" xfId="0" applyFont="1" applyBorder="1" applyAlignment="1">
      <alignment vertical="top"/>
    </xf>
    <xf numFmtId="167" fontId="46" fillId="0" borderId="107" xfId="0" applyFont="1" applyBorder="1" applyAlignment="1">
      <alignment horizontal="center" vertical="top"/>
    </xf>
    <xf numFmtId="167" fontId="153" fillId="0" borderId="107" xfId="0" applyFont="1" applyBorder="1" applyAlignment="1">
      <alignment horizontal="left" vertical="top" wrapText="1"/>
    </xf>
    <xf numFmtId="167" fontId="125" fillId="0" borderId="107" xfId="0" applyFont="1" applyBorder="1" applyAlignment="1">
      <alignment horizontal="center" vertical="top"/>
    </xf>
    <xf numFmtId="167" fontId="46" fillId="0" borderId="107" xfId="0" applyFont="1" applyBorder="1" applyAlignment="1">
      <alignment vertical="top" wrapText="1"/>
    </xf>
    <xf numFmtId="167" fontId="46" fillId="0" borderId="107" xfId="0" applyFont="1" applyBorder="1" applyAlignment="1">
      <alignment horizontal="left" vertical="top"/>
    </xf>
    <xf numFmtId="167" fontId="118" fillId="0" borderId="107" xfId="0" applyFont="1" applyBorder="1" applyAlignment="1">
      <alignment horizontal="left" vertical="top"/>
    </xf>
    <xf numFmtId="168" fontId="118" fillId="5" borderId="107" xfId="0" applyNumberFormat="1" applyFont="1" applyFill="1" applyBorder="1" applyAlignment="1">
      <alignment horizontal="center" vertical="top"/>
    </xf>
    <xf numFmtId="167" fontId="118" fillId="5" borderId="107" xfId="0" applyFont="1" applyFill="1" applyBorder="1" applyAlignment="1">
      <alignment horizontal="center" vertical="top" wrapText="1"/>
    </xf>
    <xf numFmtId="168" fontId="153" fillId="5" borderId="107" xfId="0" applyNumberFormat="1" applyFont="1" applyFill="1" applyBorder="1" applyAlignment="1">
      <alignment horizontal="center" vertical="top" wrapText="1"/>
    </xf>
    <xf numFmtId="168" fontId="118" fillId="5" borderId="107" xfId="0" applyNumberFormat="1" applyFont="1" applyFill="1" applyBorder="1" applyAlignment="1">
      <alignment horizontal="right" vertical="top"/>
    </xf>
    <xf numFmtId="2" fontId="148" fillId="5" borderId="107" xfId="0" applyNumberFormat="1" applyFont="1" applyFill="1" applyBorder="1" applyAlignment="1">
      <alignment horizontal="right" vertical="top"/>
    </xf>
    <xf numFmtId="167" fontId="118" fillId="5" borderId="107" xfId="0" applyFont="1" applyFill="1" applyBorder="1" applyAlignment="1">
      <alignment horizontal="left" vertical="top" wrapText="1"/>
    </xf>
    <xf numFmtId="167" fontId="43" fillId="0" borderId="107" xfId="0" applyFont="1" applyBorder="1" applyAlignment="1">
      <alignment horizontal="left" vertical="top"/>
    </xf>
    <xf numFmtId="167" fontId="43" fillId="0" borderId="107" xfId="0" applyFont="1" applyBorder="1" applyAlignment="1">
      <alignment horizontal="right" vertical="top"/>
    </xf>
    <xf numFmtId="2" fontId="118" fillId="5" borderId="107" xfId="0" applyNumberFormat="1" applyFont="1" applyFill="1" applyBorder="1" applyAlignment="1">
      <alignment horizontal="right" vertical="top"/>
    </xf>
    <xf numFmtId="0" fontId="157" fillId="0" borderId="107" xfId="0" applyNumberFormat="1" applyFont="1" applyBorder="1" applyAlignment="1">
      <alignment horizontal="center" vertical="top"/>
    </xf>
    <xf numFmtId="0" fontId="156" fillId="0" borderId="107" xfId="0" applyNumberFormat="1" applyFont="1" applyBorder="1" applyAlignment="1">
      <alignment vertical="top" wrapText="1"/>
    </xf>
    <xf numFmtId="2" fontId="158" fillId="0" borderId="107" xfId="0" applyNumberFormat="1" applyFont="1" applyBorder="1" applyAlignment="1">
      <alignment horizontal="center" vertical="top"/>
    </xf>
    <xf numFmtId="1" fontId="158" fillId="0" borderId="107" xfId="0" applyNumberFormat="1" applyFont="1" applyBorder="1" applyAlignment="1">
      <alignment horizontal="center" vertical="top"/>
    </xf>
    <xf numFmtId="167" fontId="158" fillId="0" borderId="107" xfId="0" applyFont="1" applyBorder="1" applyAlignment="1">
      <alignment horizontal="right" vertical="top"/>
    </xf>
    <xf numFmtId="167" fontId="157" fillId="0" borderId="107" xfId="0" applyFont="1" applyBorder="1" applyAlignment="1">
      <alignment horizontal="right" vertical="top"/>
    </xf>
    <xf numFmtId="167" fontId="158" fillId="0" borderId="107" xfId="0" applyFont="1" applyBorder="1" applyAlignment="1">
      <alignment vertical="top" wrapText="1"/>
    </xf>
    <xf numFmtId="0" fontId="158" fillId="0" borderId="107" xfId="0" applyNumberFormat="1" applyFont="1" applyBorder="1" applyAlignment="1">
      <alignment horizontal="center" vertical="top"/>
    </xf>
    <xf numFmtId="2" fontId="118" fillId="0" borderId="107" xfId="0" applyNumberFormat="1" applyFont="1" applyBorder="1" applyAlignment="1">
      <alignment horizontal="center" vertical="top"/>
    </xf>
    <xf numFmtId="1" fontId="118" fillId="0" borderId="107" xfId="0" applyNumberFormat="1" applyFont="1" applyBorder="1" applyAlignment="1">
      <alignment horizontal="center" vertical="top"/>
    </xf>
    <xf numFmtId="168" fontId="118" fillId="0" borderId="107" xfId="0" applyNumberFormat="1" applyFont="1" applyBorder="1" applyAlignment="1">
      <alignment horizontal="right" vertical="top"/>
    </xf>
    <xf numFmtId="167" fontId="158" fillId="0" borderId="107" xfId="0" applyFont="1" applyBorder="1" applyAlignment="1">
      <alignment horizontal="center" vertical="top" wrapText="1"/>
    </xf>
    <xf numFmtId="167" fontId="118" fillId="0" borderId="107" xfId="0" applyFont="1" applyBorder="1" applyAlignment="1">
      <alignment horizontal="right" vertical="top"/>
    </xf>
    <xf numFmtId="167" fontId="148" fillId="4" borderId="107" xfId="0" applyFont="1" applyFill="1" applyBorder="1" applyAlignment="1">
      <alignment horizontal="right" vertical="top" wrapText="1"/>
    </xf>
    <xf numFmtId="167" fontId="148" fillId="4" borderId="107" xfId="0" applyFont="1" applyFill="1" applyBorder="1" applyAlignment="1">
      <alignment horizontal="left" vertical="top" wrapText="1"/>
    </xf>
    <xf numFmtId="167" fontId="148" fillId="0" borderId="107" xfId="0" applyFont="1" applyBorder="1" applyAlignment="1">
      <alignment horizontal="center" vertical="top" wrapText="1"/>
    </xf>
    <xf numFmtId="167" fontId="148" fillId="0" borderId="107" xfId="0" applyFont="1" applyBorder="1" applyAlignment="1">
      <alignment horizontal="right" vertical="top" wrapText="1"/>
    </xf>
    <xf numFmtId="167" fontId="159" fillId="0" borderId="0" xfId="0" applyFont="1" applyAlignment="1">
      <alignment vertical="top"/>
    </xf>
    <xf numFmtId="167" fontId="159" fillId="0" borderId="0" xfId="0" applyFont="1"/>
    <xf numFmtId="167" fontId="157" fillId="0" borderId="107" xfId="0" applyFont="1" applyBorder="1" applyAlignment="1">
      <alignment vertical="top"/>
    </xf>
    <xf numFmtId="167" fontId="158" fillId="0" borderId="107" xfId="0" applyFont="1" applyBorder="1" applyAlignment="1">
      <alignment horizontal="center" vertical="top"/>
    </xf>
    <xf numFmtId="167" fontId="159" fillId="0" borderId="0" xfId="0" applyFont="1" applyAlignment="1">
      <alignment horizontal="center" wrapText="1"/>
    </xf>
    <xf numFmtId="167" fontId="158" fillId="0" borderId="107" xfId="0" applyFont="1" applyBorder="1" applyAlignment="1">
      <alignment horizontal="justify" vertical="top"/>
    </xf>
    <xf numFmtId="167" fontId="148" fillId="0" borderId="107" xfId="0" applyFont="1" applyBorder="1" applyAlignment="1">
      <alignment horizontal="left" vertical="top" wrapText="1"/>
    </xf>
    <xf numFmtId="167" fontId="161" fillId="0" borderId="107" xfId="0" applyFont="1" applyBorder="1" applyAlignment="1">
      <alignment vertical="top"/>
    </xf>
    <xf numFmtId="167" fontId="127" fillId="0" borderId="107" xfId="141" applyFont="1" applyBorder="1" applyAlignment="1">
      <alignment horizontal="left" vertical="top" wrapText="1"/>
    </xf>
    <xf numFmtId="167" fontId="162" fillId="0" borderId="107" xfId="141" applyFont="1" applyBorder="1" applyAlignment="1">
      <alignment horizontal="center" vertical="top" wrapText="1"/>
    </xf>
    <xf numFmtId="167" fontId="159" fillId="0" borderId="107" xfId="141" applyFont="1" applyBorder="1" applyAlignment="1">
      <alignment horizontal="center" vertical="top" wrapText="1"/>
    </xf>
    <xf numFmtId="167" fontId="159" fillId="0" borderId="0" xfId="0" applyFont="1" applyAlignment="1">
      <alignment wrapText="1"/>
    </xf>
    <xf numFmtId="49" fontId="150" fillId="0" borderId="107" xfId="0" applyNumberFormat="1" applyFont="1" applyBorder="1" applyAlignment="1">
      <alignment horizontal="center" vertical="top" wrapText="1"/>
    </xf>
    <xf numFmtId="168" fontId="118" fillId="0" borderId="107" xfId="0" applyNumberFormat="1" applyFont="1" applyBorder="1" applyAlignment="1">
      <alignment horizontal="center" vertical="top" wrapText="1"/>
    </xf>
    <xf numFmtId="49" fontId="153" fillId="0" borderId="107" xfId="0" applyNumberFormat="1" applyFont="1" applyBorder="1" applyAlignment="1">
      <alignment vertical="top" wrapText="1"/>
    </xf>
    <xf numFmtId="49" fontId="153" fillId="0" borderId="107" xfId="0" applyNumberFormat="1" applyFont="1" applyBorder="1" applyAlignment="1">
      <alignment horizontal="center" vertical="top" wrapText="1"/>
    </xf>
    <xf numFmtId="167" fontId="127" fillId="0" borderId="107" xfId="0" applyFont="1" applyBorder="1" applyAlignment="1">
      <alignment horizontal="center" vertical="top" wrapText="1"/>
    </xf>
    <xf numFmtId="167" fontId="126" fillId="0" borderId="107" xfId="141" applyFont="1" applyBorder="1" applyAlignment="1">
      <alignment horizontal="left" vertical="top" wrapText="1"/>
    </xf>
    <xf numFmtId="167" fontId="118" fillId="0" borderId="107" xfId="141" applyFont="1" applyBorder="1" applyAlignment="1">
      <alignment horizontal="center" vertical="top" wrapText="1"/>
    </xf>
    <xf numFmtId="167" fontId="118" fillId="0" borderId="107" xfId="0" applyFont="1" applyBorder="1" applyAlignment="1">
      <alignment horizontal="right" vertical="top" wrapText="1"/>
    </xf>
    <xf numFmtId="167" fontId="46" fillId="0" borderId="0" xfId="0" applyFont="1" applyAlignment="1">
      <alignment horizontal="center" vertical="top"/>
    </xf>
    <xf numFmtId="167" fontId="148" fillId="0" borderId="0" xfId="0" applyFont="1" applyAlignment="1">
      <alignment horizontal="center" wrapText="1"/>
    </xf>
    <xf numFmtId="167" fontId="148" fillId="0" borderId="0" xfId="0" applyFont="1" applyAlignment="1">
      <alignment horizontal="left" wrapText="1"/>
    </xf>
    <xf numFmtId="167" fontId="148" fillId="0" borderId="0" xfId="0" applyFont="1" applyAlignment="1">
      <alignment horizontal="right" wrapText="1"/>
    </xf>
    <xf numFmtId="167" fontId="118" fillId="0" borderId="0" xfId="0" applyFont="1" applyAlignment="1">
      <alignment horizontal="center" wrapText="1"/>
    </xf>
    <xf numFmtId="167" fontId="118" fillId="0" borderId="0" xfId="0" applyFont="1" applyAlignment="1">
      <alignment wrapText="1"/>
    </xf>
    <xf numFmtId="167" fontId="118" fillId="0" borderId="0" xfId="0" applyFont="1" applyAlignment="1">
      <alignment horizontal="right" wrapText="1"/>
    </xf>
    <xf numFmtId="167" fontId="118" fillId="0" borderId="0" xfId="0" applyFont="1" applyAlignment="1">
      <alignment horizontal="left" wrapText="1"/>
    </xf>
    <xf numFmtId="167" fontId="159" fillId="0" borderId="0" xfId="141" applyFont="1" applyAlignment="1">
      <alignment horizontal="left" wrapText="1"/>
    </xf>
    <xf numFmtId="167" fontId="159" fillId="0" borderId="0" xfId="141" applyFont="1" applyAlignment="1">
      <alignment horizontal="center" wrapText="1"/>
    </xf>
    <xf numFmtId="2" fontId="159" fillId="0" borderId="0" xfId="141" applyNumberFormat="1" applyFont="1" applyAlignment="1">
      <alignment horizontal="center" wrapText="1"/>
    </xf>
    <xf numFmtId="2" fontId="159" fillId="0" borderId="0" xfId="141" applyNumberFormat="1" applyFont="1" applyAlignment="1">
      <alignment horizontal="right" wrapText="1"/>
    </xf>
    <xf numFmtId="2" fontId="164" fillId="0" borderId="0" xfId="142" applyNumberFormat="1" applyFont="1" applyAlignment="1" applyProtection="1">
      <alignment horizontal="left"/>
      <protection locked="0"/>
    </xf>
    <xf numFmtId="2" fontId="159" fillId="0" borderId="0" xfId="141" applyNumberFormat="1" applyFont="1" applyAlignment="1">
      <alignment horizontal="left" wrapText="1"/>
    </xf>
    <xf numFmtId="167" fontId="148" fillId="0" borderId="0" xfId="0" applyFont="1" applyAlignment="1">
      <alignment wrapText="1"/>
    </xf>
    <xf numFmtId="185" fontId="148" fillId="0" borderId="0" xfId="0" applyNumberFormat="1" applyFont="1" applyAlignment="1">
      <alignment horizontal="right" wrapText="1"/>
    </xf>
    <xf numFmtId="186" fontId="118" fillId="0" borderId="0" xfId="0" applyNumberFormat="1" applyFont="1" applyAlignment="1">
      <alignment horizontal="center" wrapText="1"/>
    </xf>
    <xf numFmtId="2" fontId="118" fillId="0" borderId="0" xfId="0" applyNumberFormat="1" applyFont="1" applyAlignment="1">
      <alignment horizontal="right" wrapText="1"/>
    </xf>
    <xf numFmtId="167" fontId="118" fillId="0" borderId="0" xfId="0" applyFont="1"/>
    <xf numFmtId="168" fontId="46" fillId="0" borderId="0" xfId="0" applyNumberFormat="1" applyFont="1" applyAlignment="1">
      <alignment horizontal="center" vertical="top"/>
    </xf>
    <xf numFmtId="9" fontId="51" fillId="0" borderId="0" xfId="3" applyFont="1" applyFill="1" applyBorder="1" applyAlignment="1">
      <alignment horizontal="center" vertical="center"/>
    </xf>
    <xf numFmtId="9" fontId="51" fillId="0" borderId="0" xfId="3" applyFont="1" applyFill="1" applyBorder="1"/>
    <xf numFmtId="169" fontId="51" fillId="2" borderId="0" xfId="0" applyNumberFormat="1" applyFont="1" applyFill="1" applyAlignment="1">
      <alignment horizontal="center"/>
    </xf>
    <xf numFmtId="0" fontId="165" fillId="0" borderId="109" xfId="0" applyNumberFormat="1" applyFont="1" applyBorder="1" applyAlignment="1">
      <alignment horizontal="right" vertical="top" wrapText="1"/>
    </xf>
    <xf numFmtId="0" fontId="165" fillId="0" borderId="110" xfId="0" applyNumberFormat="1" applyFont="1" applyBorder="1" applyAlignment="1">
      <alignment horizontal="right" vertical="top" wrapText="1"/>
    </xf>
    <xf numFmtId="0" fontId="165" fillId="0" borderId="108" xfId="0" applyNumberFormat="1" applyFont="1" applyBorder="1" applyAlignment="1">
      <alignment horizontal="right" vertical="top" wrapText="1"/>
    </xf>
    <xf numFmtId="2" fontId="148" fillId="3" borderId="107" xfId="0" applyNumberFormat="1" applyFont="1" applyFill="1" applyBorder="1" applyAlignment="1">
      <alignment horizontal="right" vertical="top"/>
    </xf>
    <xf numFmtId="167" fontId="118" fillId="3" borderId="107" xfId="0" applyFont="1" applyFill="1" applyBorder="1" applyAlignment="1">
      <alignment horizontal="left" vertical="top" wrapText="1"/>
    </xf>
    <xf numFmtId="168" fontId="118" fillId="3" borderId="107" xfId="0" applyNumberFormat="1" applyFont="1" applyFill="1" applyBorder="1" applyAlignment="1">
      <alignment horizontal="center" vertical="top"/>
    </xf>
    <xf numFmtId="167" fontId="148" fillId="4" borderId="107" xfId="0" applyFont="1" applyFill="1" applyBorder="1" applyAlignment="1">
      <alignment horizontal="center" vertical="top" wrapText="1"/>
    </xf>
    <xf numFmtId="167" fontId="158" fillId="4" borderId="107" xfId="0" applyFont="1" applyFill="1" applyBorder="1" applyAlignment="1">
      <alignment vertical="top" wrapText="1"/>
    </xf>
    <xf numFmtId="0" fontId="148" fillId="4" borderId="107" xfId="0" applyNumberFormat="1" applyFont="1" applyFill="1" applyBorder="1" applyAlignment="1" applyProtection="1">
      <alignment horizontal="center" vertical="top" wrapText="1"/>
      <protection locked="0"/>
    </xf>
    <xf numFmtId="167" fontId="118" fillId="4" borderId="107" xfId="0" applyFont="1" applyFill="1" applyBorder="1" applyAlignment="1" applyProtection="1">
      <alignment vertical="top"/>
      <protection locked="0"/>
    </xf>
    <xf numFmtId="49" fontId="153" fillId="2" borderId="107" xfId="0" applyNumberFormat="1" applyFont="1" applyFill="1" applyBorder="1" applyAlignment="1">
      <alignment horizontal="center" vertical="top" wrapText="1"/>
    </xf>
    <xf numFmtId="1" fontId="118" fillId="2" borderId="107" xfId="14" applyNumberFormat="1" applyFont="1" applyFill="1" applyBorder="1" applyAlignment="1">
      <alignment horizontal="right" vertical="top"/>
    </xf>
    <xf numFmtId="168" fontId="158" fillId="2" borderId="107" xfId="0" applyNumberFormat="1" applyFont="1" applyFill="1" applyBorder="1" applyAlignment="1">
      <alignment horizontal="right" vertical="top"/>
    </xf>
    <xf numFmtId="167" fontId="46" fillId="2" borderId="107" xfId="0" applyFont="1" applyFill="1" applyBorder="1" applyAlignment="1">
      <alignment vertical="top" wrapText="1"/>
    </xf>
    <xf numFmtId="167" fontId="118" fillId="0" borderId="107" xfId="0" applyFont="1" applyBorder="1" applyAlignment="1">
      <alignment horizontal="right" vertical="center"/>
    </xf>
    <xf numFmtId="168" fontId="118" fillId="2" borderId="107" xfId="0" applyNumberFormat="1" applyFont="1" applyFill="1" applyBorder="1" applyAlignment="1">
      <alignment horizontal="right" vertical="top"/>
    </xf>
    <xf numFmtId="168" fontId="153" fillId="2" borderId="107" xfId="0" applyNumberFormat="1" applyFont="1" applyFill="1" applyBorder="1" applyAlignment="1">
      <alignment horizontal="right" vertical="top"/>
    </xf>
    <xf numFmtId="167" fontId="114" fillId="0" borderId="0" xfId="22" applyFont="1"/>
    <xf numFmtId="167" fontId="116" fillId="7" borderId="80" xfId="22" applyFont="1" applyFill="1" applyBorder="1" applyAlignment="1">
      <alignment vertical="center" wrapText="1"/>
    </xf>
    <xf numFmtId="167" fontId="41" fillId="8" borderId="80" xfId="22" applyFont="1" applyFill="1" applyBorder="1" applyAlignment="1">
      <alignment vertical="center" wrapText="1"/>
    </xf>
    <xf numFmtId="167" fontId="117" fillId="8" borderId="80" xfId="22" applyFont="1" applyFill="1" applyBorder="1" applyAlignment="1">
      <alignment vertical="center" wrapText="1"/>
    </xf>
    <xf numFmtId="167" fontId="73" fillId="8" borderId="80" xfId="22" applyFont="1" applyFill="1" applyBorder="1" applyAlignment="1">
      <alignment vertical="center" wrapText="1"/>
    </xf>
    <xf numFmtId="167" fontId="47" fillId="8" borderId="80" xfId="22" applyFont="1" applyFill="1" applyBorder="1" applyAlignment="1">
      <alignment vertical="center" wrapText="1"/>
    </xf>
    <xf numFmtId="167" fontId="47" fillId="6" borderId="0" xfId="22" applyFont="1" applyFill="1" applyAlignment="1">
      <alignment horizontal="left" vertical="center"/>
    </xf>
    <xf numFmtId="167" fontId="41" fillId="6" borderId="0" xfId="22" applyFont="1" applyFill="1" applyAlignment="1">
      <alignment horizontal="left" vertical="center" wrapText="1"/>
    </xf>
    <xf numFmtId="167" fontId="46" fillId="4" borderId="0" xfId="22" applyFill="1"/>
    <xf numFmtId="167" fontId="122" fillId="0" borderId="0" xfId="22" applyFont="1" applyAlignment="1">
      <alignment horizontal="left" vertical="center"/>
    </xf>
    <xf numFmtId="167" fontId="123" fillId="0" borderId="0" xfId="22" applyFont="1" applyAlignment="1">
      <alignment horizontal="left" vertical="center" wrapText="1"/>
    </xf>
    <xf numFmtId="167" fontId="124" fillId="7" borderId="80" xfId="22" applyFont="1" applyFill="1" applyBorder="1" applyAlignment="1">
      <alignment vertical="center" wrapText="1"/>
    </xf>
    <xf numFmtId="167" fontId="46" fillId="0" borderId="0" xfId="22" applyAlignment="1">
      <alignment vertical="center"/>
    </xf>
    <xf numFmtId="167" fontId="118" fillId="2" borderId="107" xfId="0" applyFont="1" applyFill="1" applyBorder="1" applyAlignment="1" applyProtection="1">
      <alignment vertical="top" wrapText="1"/>
      <protection locked="0"/>
    </xf>
    <xf numFmtId="167" fontId="118" fillId="2" borderId="107" xfId="0" applyFont="1" applyFill="1" applyBorder="1" applyAlignment="1">
      <alignment horizontal="left" vertical="top" wrapText="1"/>
    </xf>
    <xf numFmtId="167" fontId="159" fillId="2" borderId="0" xfId="0" applyFont="1" applyFill="1" applyAlignment="1">
      <alignment vertical="top" wrapText="1"/>
    </xf>
    <xf numFmtId="168" fontId="0" fillId="2" borderId="0" xfId="0" applyNumberFormat="1" applyFill="1"/>
    <xf numFmtId="168" fontId="159" fillId="2" borderId="0" xfId="0" applyNumberFormat="1" applyFont="1" applyFill="1" applyAlignment="1">
      <alignment vertical="top"/>
    </xf>
    <xf numFmtId="167" fontId="77" fillId="0" borderId="110" xfId="0" applyFont="1" applyBorder="1" applyAlignment="1">
      <alignment horizontal="center" vertical="top" wrapText="1"/>
    </xf>
    <xf numFmtId="167" fontId="76" fillId="4" borderId="110" xfId="0" applyFont="1" applyFill="1" applyBorder="1" applyAlignment="1" applyProtection="1">
      <alignment vertical="top"/>
      <protection locked="0"/>
    </xf>
    <xf numFmtId="167" fontId="76" fillId="0" borderId="111" xfId="0" applyFont="1" applyBorder="1" applyAlignment="1" applyProtection="1">
      <alignment vertical="top"/>
      <protection locked="0"/>
    </xf>
    <xf numFmtId="167" fontId="77" fillId="0" borderId="110" xfId="0" applyFont="1" applyBorder="1" applyAlignment="1">
      <alignment vertical="top"/>
    </xf>
    <xf numFmtId="167" fontId="153" fillId="0" borderId="110" xfId="0" applyFont="1" applyBorder="1" applyAlignment="1">
      <alignment horizontal="right" vertical="top" wrapText="1"/>
    </xf>
    <xf numFmtId="167" fontId="118" fillId="0" borderId="110" xfId="0" applyFont="1" applyBorder="1" applyAlignment="1">
      <alignment vertical="top"/>
    </xf>
    <xf numFmtId="167" fontId="76" fillId="0" borderId="110" xfId="0" applyFont="1" applyBorder="1" applyAlignment="1">
      <alignment vertical="top"/>
    </xf>
    <xf numFmtId="167" fontId="76" fillId="0" borderId="110" xfId="0" applyFont="1" applyBorder="1" applyAlignment="1">
      <alignment vertical="top" wrapText="1"/>
    </xf>
    <xf numFmtId="167" fontId="46" fillId="2" borderId="109" xfId="0" applyFont="1" applyFill="1" applyBorder="1" applyAlignment="1">
      <alignment vertical="top" wrapText="1"/>
    </xf>
    <xf numFmtId="167" fontId="46" fillId="0" borderId="109" xfId="0" applyFont="1" applyBorder="1" applyAlignment="1">
      <alignment vertical="top"/>
    </xf>
    <xf numFmtId="167" fontId="0" fillId="0" borderId="107" xfId="0" applyBorder="1"/>
    <xf numFmtId="167" fontId="159" fillId="0" borderId="107" xfId="0" applyFont="1" applyBorder="1"/>
    <xf numFmtId="168" fontId="153" fillId="2" borderId="107" xfId="0" applyNumberFormat="1" applyFont="1" applyFill="1" applyBorder="1" applyAlignment="1">
      <alignment horizontal="right" vertical="top" wrapText="1"/>
    </xf>
    <xf numFmtId="167" fontId="118" fillId="2" borderId="107" xfId="0" applyFont="1" applyFill="1" applyBorder="1" applyAlignment="1">
      <alignment vertical="top" wrapText="1"/>
    </xf>
    <xf numFmtId="168" fontId="46" fillId="2" borderId="107" xfId="0" applyNumberFormat="1" applyFont="1" applyFill="1" applyBorder="1" applyAlignment="1">
      <alignment horizontal="right" vertical="top"/>
    </xf>
    <xf numFmtId="167" fontId="159" fillId="2" borderId="107" xfId="0" applyFont="1" applyFill="1" applyBorder="1"/>
    <xf numFmtId="167" fontId="159" fillId="2" borderId="107" xfId="0" applyFont="1" applyFill="1" applyBorder="1" applyAlignment="1">
      <alignment vertical="top"/>
    </xf>
    <xf numFmtId="167" fontId="46" fillId="2" borderId="107" xfId="0" applyFont="1" applyFill="1" applyBorder="1" applyAlignment="1">
      <alignment vertical="top"/>
    </xf>
    <xf numFmtId="168" fontId="77" fillId="0" borderId="107" xfId="96" applyNumberFormat="1" applyFont="1" applyFill="1" applyBorder="1" applyAlignment="1">
      <alignment horizontal="center" vertical="top" wrapText="1"/>
    </xf>
    <xf numFmtId="43" fontId="77" fillId="0" borderId="107" xfId="96" applyNumberFormat="1" applyFont="1" applyFill="1" applyBorder="1" applyAlignment="1">
      <alignment horizontal="center" vertical="top" wrapText="1"/>
    </xf>
    <xf numFmtId="167" fontId="77" fillId="0" borderId="0" xfId="0" applyFont="1" applyAlignment="1">
      <alignment horizontal="center" vertical="top" wrapText="1"/>
    </xf>
    <xf numFmtId="167" fontId="149" fillId="0" borderId="0" xfId="145" applyNumberFormat="1" applyFont="1" applyAlignment="1">
      <alignment vertical="center" wrapText="1"/>
    </xf>
    <xf numFmtId="167" fontId="151" fillId="0" borderId="0" xfId="145" applyNumberFormat="1" applyFont="1" applyAlignment="1">
      <alignment vertical="center" wrapText="1"/>
    </xf>
    <xf numFmtId="167" fontId="152" fillId="0" borderId="0" xfId="145" applyNumberFormat="1" applyFont="1" applyAlignment="1">
      <alignment vertical="center" wrapText="1"/>
    </xf>
    <xf numFmtId="167" fontId="167" fillId="0" borderId="0" xfId="145" applyNumberFormat="1" applyFont="1" applyAlignment="1">
      <alignment vertical="center" wrapText="1"/>
    </xf>
    <xf numFmtId="167" fontId="118" fillId="0" borderId="0" xfId="0" applyFont="1" applyAlignment="1">
      <alignment horizontal="left" vertical="top" wrapText="1"/>
    </xf>
    <xf numFmtId="167" fontId="118" fillId="2" borderId="0" xfId="0" applyFont="1" applyFill="1" applyAlignment="1">
      <alignment horizontal="left" vertical="top" wrapText="1"/>
    </xf>
    <xf numFmtId="167" fontId="46" fillId="2" borderId="0" xfId="0" applyFont="1" applyFill="1" applyAlignment="1">
      <alignment vertical="top" wrapText="1"/>
    </xf>
    <xf numFmtId="43" fontId="46" fillId="0" borderId="107" xfId="96" applyNumberFormat="1" applyFont="1" applyFill="1" applyBorder="1" applyAlignment="1">
      <alignment horizontal="right" vertical="top"/>
    </xf>
    <xf numFmtId="167" fontId="159" fillId="2" borderId="0" xfId="0" applyFont="1" applyFill="1"/>
    <xf numFmtId="43" fontId="43" fillId="0" borderId="107" xfId="96" applyNumberFormat="1" applyFont="1" applyFill="1" applyBorder="1" applyAlignment="1">
      <alignment horizontal="right" vertical="top"/>
    </xf>
    <xf numFmtId="168" fontId="46" fillId="0" borderId="0" xfId="96" applyNumberFormat="1" applyFont="1" applyFill="1" applyBorder="1" applyAlignment="1">
      <alignment horizontal="center" vertical="top"/>
    </xf>
    <xf numFmtId="43" fontId="46" fillId="0" borderId="0" xfId="96" applyNumberFormat="1" applyFont="1" applyFill="1" applyBorder="1" applyAlignment="1">
      <alignment horizontal="right" vertical="top"/>
    </xf>
    <xf numFmtId="168" fontId="46" fillId="0" borderId="0" xfId="96" applyNumberFormat="1" applyFont="1" applyFill="1" applyAlignment="1">
      <alignment horizontal="center" vertical="top"/>
    </xf>
    <xf numFmtId="43" fontId="46" fillId="0" borderId="0" xfId="96" applyNumberFormat="1" applyFont="1" applyFill="1" applyAlignment="1">
      <alignment horizontal="right" vertical="top"/>
    </xf>
    <xf numFmtId="168" fontId="77" fillId="0" borderId="107" xfId="146" applyNumberFormat="1" applyFont="1" applyFill="1" applyBorder="1" applyAlignment="1">
      <alignment horizontal="center" vertical="top" wrapText="1"/>
    </xf>
    <xf numFmtId="43" fontId="77" fillId="0" borderId="107" xfId="146" applyNumberFormat="1" applyFont="1" applyFill="1" applyBorder="1" applyAlignment="1">
      <alignment horizontal="center" vertical="top" wrapText="1"/>
    </xf>
    <xf numFmtId="167" fontId="77" fillId="0" borderId="108" xfId="0" applyFont="1" applyBorder="1" applyAlignment="1">
      <alignment horizontal="center" vertical="top" wrapText="1"/>
    </xf>
    <xf numFmtId="167" fontId="77" fillId="2" borderId="107" xfId="0" applyFont="1" applyFill="1" applyBorder="1" applyAlignment="1">
      <alignment horizontal="center" vertical="top" wrapText="1"/>
    </xf>
    <xf numFmtId="167" fontId="149" fillId="0" borderId="0" xfId="147" applyNumberFormat="1" applyFont="1" applyAlignment="1">
      <alignment vertical="center" wrapText="1"/>
    </xf>
    <xf numFmtId="167" fontId="151" fillId="0" borderId="0" xfId="147" applyNumberFormat="1" applyFont="1" applyAlignment="1">
      <alignment vertical="center" wrapText="1"/>
    </xf>
    <xf numFmtId="167" fontId="152" fillId="0" borderId="0" xfId="147" applyNumberFormat="1" applyFont="1" applyAlignment="1">
      <alignment vertical="center" wrapText="1"/>
    </xf>
    <xf numFmtId="167" fontId="46" fillId="0" borderId="107" xfId="0" applyFont="1" applyBorder="1" applyAlignment="1">
      <alignment vertical="center"/>
    </xf>
    <xf numFmtId="167" fontId="118" fillId="0" borderId="107" xfId="0" applyFont="1" applyBorder="1" applyAlignment="1">
      <alignment horizontal="left" vertical="center" wrapText="1"/>
    </xf>
    <xf numFmtId="167" fontId="118" fillId="0" borderId="107" xfId="0" applyFont="1" applyBorder="1" applyAlignment="1">
      <alignment horizontal="left" vertical="center"/>
    </xf>
    <xf numFmtId="176" fontId="46" fillId="0" borderId="107" xfId="0" applyNumberFormat="1" applyFont="1" applyBorder="1" applyAlignment="1">
      <alignment vertical="top"/>
    </xf>
    <xf numFmtId="167" fontId="76" fillId="0" borderId="109" xfId="0" applyFont="1" applyBorder="1" applyAlignment="1">
      <alignment vertical="top"/>
    </xf>
    <xf numFmtId="167" fontId="76" fillId="0" borderId="109" xfId="0" applyFont="1" applyBorder="1" applyAlignment="1">
      <alignment vertical="top" wrapText="1"/>
    </xf>
    <xf numFmtId="167" fontId="76" fillId="0" borderId="107" xfId="0" applyFont="1" applyBorder="1" applyAlignment="1">
      <alignment vertical="top" wrapText="1"/>
    </xf>
    <xf numFmtId="168" fontId="158" fillId="0" borderId="107" xfId="0" applyNumberFormat="1" applyFont="1" applyBorder="1" applyAlignment="1">
      <alignment horizontal="right" vertical="top"/>
    </xf>
    <xf numFmtId="1" fontId="158" fillId="2" borderId="107" xfId="0" applyNumberFormat="1" applyFont="1" applyFill="1" applyBorder="1" applyAlignment="1">
      <alignment horizontal="center" vertical="top"/>
    </xf>
    <xf numFmtId="43" fontId="46" fillId="0" borderId="107" xfId="146" applyNumberFormat="1" applyFont="1" applyFill="1" applyBorder="1" applyAlignment="1">
      <alignment horizontal="right" vertical="top"/>
    </xf>
    <xf numFmtId="43" fontId="43" fillId="0" borderId="107" xfId="146" applyNumberFormat="1" applyFont="1" applyFill="1" applyBorder="1" applyAlignment="1">
      <alignment horizontal="right" vertical="top"/>
    </xf>
    <xf numFmtId="1" fontId="118" fillId="0" borderId="107" xfId="14" applyNumberFormat="1" applyFont="1" applyBorder="1" applyAlignment="1">
      <alignment horizontal="right" vertical="top"/>
    </xf>
    <xf numFmtId="167" fontId="43" fillId="0" borderId="107" xfId="0" applyFont="1" applyBorder="1" applyAlignment="1">
      <alignment horizontal="center" vertical="center"/>
    </xf>
    <xf numFmtId="167" fontId="43" fillId="0" borderId="107" xfId="0" applyFont="1" applyBorder="1" applyAlignment="1">
      <alignment vertical="top"/>
    </xf>
    <xf numFmtId="167" fontId="148" fillId="0" borderId="107" xfId="0" applyFont="1" applyBorder="1" applyAlignment="1">
      <alignment horizontal="center" wrapText="1"/>
    </xf>
    <xf numFmtId="167" fontId="118" fillId="0" borderId="107" xfId="0" applyFont="1" applyBorder="1" applyAlignment="1">
      <alignment horizontal="left" wrapText="1"/>
    </xf>
    <xf numFmtId="167" fontId="148" fillId="0" borderId="107" xfId="0" applyFont="1" applyBorder="1" applyAlignment="1">
      <alignment horizontal="right" wrapText="1"/>
    </xf>
    <xf numFmtId="167" fontId="159" fillId="0" borderId="107" xfId="0" applyFont="1" applyBorder="1" applyAlignment="1">
      <alignment vertical="center" wrapText="1"/>
    </xf>
    <xf numFmtId="168" fontId="46" fillId="0" borderId="0" xfId="146" applyNumberFormat="1" applyFont="1" applyFill="1" applyBorder="1" applyAlignment="1">
      <alignment horizontal="center" vertical="top"/>
    </xf>
    <xf numFmtId="43" fontId="46" fillId="0" borderId="0" xfId="146" applyNumberFormat="1" applyFont="1" applyFill="1" applyBorder="1" applyAlignment="1">
      <alignment horizontal="right" vertical="top"/>
    </xf>
    <xf numFmtId="168" fontId="46" fillId="0" borderId="0" xfId="146" applyNumberFormat="1" applyFont="1" applyFill="1" applyAlignment="1">
      <alignment horizontal="center" vertical="top"/>
    </xf>
    <xf numFmtId="43" fontId="46" fillId="0" borderId="0" xfId="146" applyNumberFormat="1" applyFont="1" applyFill="1" applyAlignment="1">
      <alignment horizontal="right" vertical="top"/>
    </xf>
    <xf numFmtId="2" fontId="43" fillId="0" borderId="107" xfId="141" applyNumberFormat="1" applyFont="1" applyBorder="1" applyAlignment="1">
      <alignment horizontal="center" vertical="center" wrapText="1"/>
    </xf>
    <xf numFmtId="2" fontId="43" fillId="0" borderId="107" xfId="141" applyNumberFormat="1" applyFont="1" applyBorder="1" applyAlignment="1">
      <alignment horizontal="right" vertical="center" wrapText="1"/>
    </xf>
    <xf numFmtId="10" fontId="159" fillId="0" borderId="107" xfId="3" applyNumberFormat="1" applyFont="1" applyFill="1" applyBorder="1" applyAlignment="1">
      <alignment horizontal="center" vertical="top" wrapText="1"/>
    </xf>
    <xf numFmtId="167" fontId="76" fillId="4" borderId="108" xfId="0" applyFont="1" applyFill="1" applyBorder="1" applyAlignment="1" applyProtection="1">
      <alignment vertical="top"/>
      <protection locked="0"/>
    </xf>
    <xf numFmtId="167" fontId="159" fillId="4" borderId="0" xfId="0" applyFont="1" applyFill="1" applyAlignment="1">
      <alignment vertical="top"/>
    </xf>
    <xf numFmtId="167" fontId="159" fillId="0" borderId="107" xfId="141" applyFont="1" applyBorder="1" applyAlignment="1">
      <alignment horizontal="left" wrapText="1"/>
    </xf>
    <xf numFmtId="167" fontId="43" fillId="3" borderId="107" xfId="0" applyFont="1" applyFill="1" applyBorder="1" applyAlignment="1">
      <alignment horizontal="right" vertical="top"/>
    </xf>
    <xf numFmtId="167" fontId="159" fillId="3" borderId="107" xfId="141" applyFont="1" applyFill="1" applyBorder="1" applyAlignment="1">
      <alignment horizontal="left" wrapText="1"/>
    </xf>
    <xf numFmtId="167" fontId="118" fillId="0" borderId="107" xfId="0" applyFont="1" applyBorder="1" applyAlignment="1">
      <alignment wrapText="1"/>
    </xf>
    <xf numFmtId="167" fontId="118" fillId="3" borderId="107" xfId="0" applyFont="1" applyFill="1" applyBorder="1" applyAlignment="1">
      <alignment wrapText="1"/>
    </xf>
    <xf numFmtId="168" fontId="118" fillId="0" borderId="107" xfId="0" applyNumberFormat="1" applyFont="1" applyBorder="1" applyAlignment="1">
      <alignment horizontal="center" vertical="top"/>
    </xf>
    <xf numFmtId="2" fontId="118" fillId="0" borderId="107" xfId="0" applyNumberFormat="1" applyFont="1" applyBorder="1" applyAlignment="1">
      <alignment horizontal="right" vertical="top"/>
    </xf>
    <xf numFmtId="168" fontId="118" fillId="0" borderId="107" xfId="0" applyNumberFormat="1" applyFont="1" applyBorder="1" applyAlignment="1">
      <alignment horizontal="center" vertical="center" wrapText="1"/>
    </xf>
    <xf numFmtId="167" fontId="118" fillId="0" borderId="107" xfId="0" applyFont="1" applyBorder="1" applyAlignment="1">
      <alignment horizontal="center" vertical="center" wrapText="1"/>
    </xf>
    <xf numFmtId="167" fontId="118" fillId="0" borderId="107" xfId="0" applyFont="1" applyBorder="1" applyAlignment="1">
      <alignment horizontal="right" vertical="center" wrapText="1"/>
    </xf>
    <xf numFmtId="167" fontId="118" fillId="0" borderId="107" xfId="0" applyFont="1" applyBorder="1" applyAlignment="1">
      <alignment horizontal="center" wrapText="1"/>
    </xf>
    <xf numFmtId="167" fontId="118" fillId="0" borderId="107" xfId="0" applyFont="1" applyBorder="1" applyAlignment="1">
      <alignment horizontal="right" wrapText="1"/>
    </xf>
    <xf numFmtId="0" fontId="24" fillId="0" borderId="0" xfId="148"/>
    <xf numFmtId="3" fontId="43" fillId="0" borderId="0" xfId="148" applyNumberFormat="1" applyFont="1"/>
    <xf numFmtId="180" fontId="46" fillId="0" borderId="0" xfId="148" applyNumberFormat="1" applyFont="1" applyAlignment="1">
      <alignment horizontal="right"/>
    </xf>
    <xf numFmtId="167" fontId="46" fillId="0" borderId="0" xfId="148" applyNumberFormat="1" applyFont="1" applyAlignment="1">
      <alignment horizontal="left"/>
    </xf>
    <xf numFmtId="167" fontId="43" fillId="0" borderId="0" xfId="148" applyNumberFormat="1" applyFont="1" applyAlignment="1">
      <alignment horizontal="left"/>
    </xf>
    <xf numFmtId="167" fontId="43" fillId="0" borderId="0" xfId="148" applyNumberFormat="1" applyFont="1"/>
    <xf numFmtId="167" fontId="24" fillId="0" borderId="0" xfId="148" applyNumberFormat="1"/>
    <xf numFmtId="168" fontId="24" fillId="0" borderId="0" xfId="148" applyNumberFormat="1"/>
    <xf numFmtId="3" fontId="43" fillId="0" borderId="46" xfId="148" applyNumberFormat="1" applyFont="1" applyBorder="1"/>
    <xf numFmtId="180" fontId="46" fillId="0" borderId="46" xfId="148" applyNumberFormat="1" applyFont="1" applyBorder="1" applyAlignment="1">
      <alignment horizontal="right"/>
    </xf>
    <xf numFmtId="167" fontId="46" fillId="0" borderId="46" xfId="148" applyNumberFormat="1" applyFont="1" applyBorder="1" applyAlignment="1">
      <alignment horizontal="left"/>
    </xf>
    <xf numFmtId="167" fontId="77" fillId="0" borderId="46" xfId="148" applyNumberFormat="1" applyFont="1" applyBorder="1" applyAlignment="1">
      <alignment horizontal="right"/>
    </xf>
    <xf numFmtId="3" fontId="43" fillId="0" borderId="66" xfId="148" applyNumberFormat="1" applyFont="1" applyBorder="1" applyAlignment="1">
      <alignment horizontal="center" vertical="center"/>
    </xf>
    <xf numFmtId="180" fontId="43" fillId="0" borderId="79" xfId="148" applyNumberFormat="1" applyFont="1" applyBorder="1" applyAlignment="1">
      <alignment horizontal="center" vertical="center"/>
    </xf>
    <xf numFmtId="180" fontId="43" fillId="2" borderId="79" xfId="148" applyNumberFormat="1" applyFont="1" applyFill="1" applyBorder="1" applyAlignment="1">
      <alignment horizontal="center" vertical="center"/>
    </xf>
    <xf numFmtId="167" fontId="43" fillId="2" borderId="79" xfId="23" applyNumberFormat="1" applyFont="1" applyFill="1" applyBorder="1" applyAlignment="1">
      <alignment horizontal="center" vertical="center"/>
    </xf>
    <xf numFmtId="180" fontId="43" fillId="0" borderId="66" xfId="148" applyNumberFormat="1" applyFont="1" applyBorder="1" applyAlignment="1">
      <alignment horizontal="center" vertical="center"/>
    </xf>
    <xf numFmtId="167" fontId="43" fillId="0" borderId="0" xfId="23" applyNumberFormat="1" applyFont="1" applyAlignment="1">
      <alignment vertical="center" wrapText="1"/>
    </xf>
    <xf numFmtId="167" fontId="46" fillId="0" borderId="0" xfId="23" applyNumberFormat="1" applyAlignment="1">
      <alignment vertical="center"/>
    </xf>
    <xf numFmtId="167" fontId="43" fillId="0" borderId="0" xfId="148" applyNumberFormat="1" applyFont="1" applyAlignment="1">
      <alignment horizontal="left" vertical="center"/>
    </xf>
    <xf numFmtId="167" fontId="24" fillId="0" borderId="0" xfId="148" applyNumberFormat="1" applyAlignment="1">
      <alignment vertical="center"/>
    </xf>
    <xf numFmtId="182" fontId="46" fillId="0" borderId="0" xfId="23" applyNumberFormat="1" applyAlignment="1">
      <alignment horizontal="center" vertical="center"/>
    </xf>
    <xf numFmtId="0" fontId="24" fillId="0" borderId="0" xfId="148" applyAlignment="1">
      <alignment vertical="center"/>
    </xf>
    <xf numFmtId="167" fontId="47" fillId="0" borderId="0" xfId="148" applyNumberFormat="1" applyFont="1" applyAlignment="1">
      <alignment horizontal="right" vertical="center"/>
    </xf>
    <xf numFmtId="3" fontId="46" fillId="0" borderId="2" xfId="148" applyNumberFormat="1" applyFont="1" applyBorder="1" applyAlignment="1">
      <alignment horizontal="center" vertical="top"/>
    </xf>
    <xf numFmtId="180" fontId="46" fillId="0" borderId="2" xfId="148" applyNumberFormat="1" applyFont="1" applyBorder="1" applyAlignment="1">
      <alignment horizontal="left" vertical="top" wrapText="1"/>
    </xf>
    <xf numFmtId="167" fontId="46" fillId="0" borderId="32" xfId="148" applyNumberFormat="1" applyFont="1" applyBorder="1" applyAlignment="1">
      <alignment vertical="top"/>
    </xf>
    <xf numFmtId="180" fontId="46" fillId="0" borderId="32" xfId="23" applyNumberFormat="1" applyBorder="1" applyAlignment="1">
      <alignment vertical="top" wrapText="1"/>
    </xf>
    <xf numFmtId="190" fontId="46" fillId="0" borderId="2" xfId="148" applyNumberFormat="1" applyFont="1" applyBorder="1" applyAlignment="1">
      <alignment vertical="top"/>
    </xf>
    <xf numFmtId="0" fontId="83" fillId="0" borderId="0" xfId="148" applyFont="1" applyAlignment="1">
      <alignment vertical="top"/>
    </xf>
    <xf numFmtId="167" fontId="48" fillId="0" borderId="0" xfId="148" applyNumberFormat="1" applyFont="1"/>
    <xf numFmtId="1" fontId="24" fillId="0" borderId="0" xfId="148" applyNumberFormat="1" applyAlignment="1">
      <alignment vertical="top"/>
    </xf>
    <xf numFmtId="167" fontId="24" fillId="0" borderId="0" xfId="148" applyNumberFormat="1" applyAlignment="1">
      <alignment vertical="top"/>
    </xf>
    <xf numFmtId="176" fontId="46" fillId="0" borderId="2" xfId="149" applyBorder="1" applyAlignment="1">
      <alignment vertical="top" wrapText="1"/>
    </xf>
    <xf numFmtId="2" fontId="46" fillId="0" borderId="0" xfId="148" applyNumberFormat="1" applyFont="1" applyAlignment="1">
      <alignment vertical="top"/>
    </xf>
    <xf numFmtId="1" fontId="24" fillId="0" borderId="0" xfId="148" applyNumberFormat="1" applyAlignment="1">
      <alignment horizontal="center" vertical="top"/>
    </xf>
    <xf numFmtId="167" fontId="43" fillId="0" borderId="0" xfId="148" applyNumberFormat="1" applyFont="1" applyAlignment="1">
      <alignment horizontal="center" vertical="top"/>
    </xf>
    <xf numFmtId="167" fontId="24" fillId="0" borderId="0" xfId="148" applyNumberFormat="1" applyAlignment="1">
      <alignment horizontal="center" vertical="top"/>
    </xf>
    <xf numFmtId="167" fontId="24" fillId="0" borderId="0" xfId="148" applyNumberFormat="1" applyAlignment="1">
      <alignment horizontal="right" vertical="top"/>
    </xf>
    <xf numFmtId="167" fontId="24" fillId="0" borderId="0" xfId="148" applyNumberFormat="1" applyAlignment="1">
      <alignment horizontal="left"/>
    </xf>
    <xf numFmtId="167" fontId="24" fillId="0" borderId="0" xfId="148" applyNumberFormat="1" applyAlignment="1">
      <alignment horizontal="left" vertical="top" wrapText="1"/>
    </xf>
    <xf numFmtId="180" fontId="46" fillId="0" borderId="2" xfId="148" applyNumberFormat="1" applyFont="1" applyBorder="1" applyAlignment="1">
      <alignment vertical="top"/>
    </xf>
    <xf numFmtId="167" fontId="46" fillId="0" borderId="0" xfId="148" applyNumberFormat="1" applyFont="1" applyAlignment="1">
      <alignment vertical="top"/>
    </xf>
    <xf numFmtId="167" fontId="47" fillId="0" borderId="0" xfId="148" applyNumberFormat="1" applyFont="1" applyAlignment="1">
      <alignment horizontal="center"/>
    </xf>
    <xf numFmtId="167" fontId="47" fillId="0" borderId="0" xfId="148" applyNumberFormat="1" applyFont="1"/>
    <xf numFmtId="167" fontId="41" fillId="0" borderId="0" xfId="148" applyNumberFormat="1" applyFont="1" applyAlignment="1">
      <alignment horizontal="center"/>
    </xf>
    <xf numFmtId="167" fontId="86" fillId="0" borderId="0" xfId="148" applyNumberFormat="1" applyFont="1" applyAlignment="1">
      <alignment vertical="top"/>
    </xf>
    <xf numFmtId="0" fontId="24" fillId="0" borderId="0" xfId="148" applyAlignment="1">
      <alignment vertical="top"/>
    </xf>
    <xf numFmtId="180" fontId="46" fillId="0" borderId="2" xfId="148" applyNumberFormat="1" applyFont="1" applyBorder="1" applyAlignment="1">
      <alignment vertical="top" wrapText="1"/>
    </xf>
    <xf numFmtId="167" fontId="46" fillId="0" borderId="32" xfId="148" applyNumberFormat="1" applyFont="1" applyBorder="1" applyAlignment="1">
      <alignment vertical="top" wrapText="1"/>
    </xf>
    <xf numFmtId="1" fontId="41" fillId="0" borderId="0" xfId="148" applyNumberFormat="1" applyFont="1" applyAlignment="1">
      <alignment horizontal="center" vertical="top"/>
    </xf>
    <xf numFmtId="167" fontId="55" fillId="0" borderId="0" xfId="148" applyNumberFormat="1" applyFont="1" applyAlignment="1">
      <alignment vertical="top" wrapText="1"/>
    </xf>
    <xf numFmtId="167" fontId="55" fillId="0" borderId="0" xfId="148" applyNumberFormat="1" applyFont="1" applyAlignment="1">
      <alignment horizontal="center" vertical="top" wrapText="1"/>
    </xf>
    <xf numFmtId="168" fontId="55" fillId="0" borderId="0" xfId="148" applyNumberFormat="1" applyFont="1" applyAlignment="1">
      <alignment horizontal="center" vertical="top" wrapText="1"/>
    </xf>
    <xf numFmtId="168" fontId="55" fillId="0" borderId="0" xfId="148" applyNumberFormat="1" applyFont="1" applyAlignment="1">
      <alignment vertical="top" wrapText="1"/>
    </xf>
    <xf numFmtId="168" fontId="24" fillId="0" borderId="0" xfId="148" applyNumberFormat="1" applyAlignment="1">
      <alignment horizontal="center"/>
    </xf>
    <xf numFmtId="0" fontId="24" fillId="0" borderId="0" xfId="148" applyAlignment="1">
      <alignment horizontal="center" vertical="top"/>
    </xf>
    <xf numFmtId="180" fontId="46" fillId="0" borderId="2" xfId="150" applyNumberFormat="1" applyFont="1" applyBorder="1" applyAlignment="1">
      <alignment vertical="top" wrapText="1"/>
    </xf>
    <xf numFmtId="2" fontId="46" fillId="0" borderId="32" xfId="148" applyNumberFormat="1" applyFont="1" applyBorder="1" applyAlignment="1">
      <alignment vertical="top"/>
    </xf>
    <xf numFmtId="1" fontId="41" fillId="0" borderId="0" xfId="148" applyNumberFormat="1" applyFont="1" applyAlignment="1">
      <alignment horizontal="center"/>
    </xf>
    <xf numFmtId="0" fontId="24" fillId="0" borderId="0" xfId="148" applyAlignment="1">
      <alignment horizontal="center"/>
    </xf>
    <xf numFmtId="2" fontId="83" fillId="0" borderId="0" xfId="148" applyNumberFormat="1" applyFont="1" applyAlignment="1">
      <alignment horizontal="center" vertical="top"/>
    </xf>
    <xf numFmtId="167" fontId="41" fillId="0" borderId="0" xfId="148" applyNumberFormat="1" applyFont="1" applyAlignment="1">
      <alignment horizontal="right"/>
    </xf>
    <xf numFmtId="2" fontId="46" fillId="0" borderId="32" xfId="23" applyNumberFormat="1" applyBorder="1" applyAlignment="1">
      <alignment horizontal="center" vertical="top"/>
    </xf>
    <xf numFmtId="2" fontId="46" fillId="0" borderId="2" xfId="23" applyNumberFormat="1" applyBorder="1" applyAlignment="1">
      <alignment horizontal="center" vertical="top"/>
    </xf>
    <xf numFmtId="167" fontId="41" fillId="0" borderId="0" xfId="148" applyNumberFormat="1" applyFont="1" applyAlignment="1">
      <alignment horizontal="left" vertical="top" wrapText="1"/>
    </xf>
    <xf numFmtId="168" fontId="24" fillId="0" borderId="0" xfId="148" applyNumberFormat="1" applyAlignment="1">
      <alignment horizontal="center" vertical="top"/>
    </xf>
    <xf numFmtId="167" fontId="41" fillId="0" borderId="0" xfId="148" applyNumberFormat="1" applyFont="1" applyAlignment="1">
      <alignment horizontal="right" vertical="top"/>
    </xf>
    <xf numFmtId="3" fontId="46" fillId="0" borderId="33" xfId="150" applyNumberFormat="1" applyFont="1" applyBorder="1" applyAlignment="1">
      <alignment horizontal="center" vertical="top"/>
    </xf>
    <xf numFmtId="180" fontId="46" fillId="0" borderId="33" xfId="150" applyNumberFormat="1" applyFont="1" applyBorder="1" applyAlignment="1">
      <alignment vertical="top" wrapText="1"/>
    </xf>
    <xf numFmtId="2" fontId="46" fillId="0" borderId="29" xfId="23" applyNumberFormat="1" applyBorder="1" applyAlignment="1">
      <alignment vertical="top"/>
    </xf>
    <xf numFmtId="2" fontId="46" fillId="0" borderId="33" xfId="23" applyNumberFormat="1" applyBorder="1" applyAlignment="1">
      <alignment vertical="top"/>
    </xf>
    <xf numFmtId="1" fontId="41" fillId="0" borderId="0" xfId="150" applyNumberFormat="1" applyFont="1" applyAlignment="1">
      <alignment horizontal="center" vertical="top"/>
    </xf>
    <xf numFmtId="167" fontId="41" fillId="0" borderId="0" xfId="150" applyNumberFormat="1" applyFont="1" applyAlignment="1">
      <alignment horizontal="left" vertical="top" wrapText="1"/>
    </xf>
    <xf numFmtId="167" fontId="24" fillId="0" borderId="0" xfId="150" applyNumberFormat="1" applyAlignment="1">
      <alignment horizontal="center" vertical="top"/>
    </xf>
    <xf numFmtId="168" fontId="24" fillId="0" borderId="0" xfId="150" applyNumberFormat="1" applyAlignment="1">
      <alignment horizontal="center" vertical="top"/>
    </xf>
    <xf numFmtId="167" fontId="24" fillId="0" borderId="0" xfId="150" applyNumberFormat="1" applyAlignment="1">
      <alignment horizontal="right" vertical="top"/>
    </xf>
    <xf numFmtId="0" fontId="24" fillId="0" borderId="0" xfId="150"/>
    <xf numFmtId="167" fontId="41" fillId="0" borderId="0" xfId="150" applyNumberFormat="1" applyFont="1" applyAlignment="1">
      <alignment horizontal="right" vertical="top"/>
    </xf>
    <xf numFmtId="168" fontId="24" fillId="0" borderId="0" xfId="150" applyNumberFormat="1" applyAlignment="1">
      <alignment horizontal="center"/>
    </xf>
    <xf numFmtId="0" fontId="24" fillId="0" borderId="0" xfId="150" applyAlignment="1">
      <alignment horizontal="center"/>
    </xf>
    <xf numFmtId="167" fontId="24" fillId="0" borderId="0" xfId="150" applyNumberFormat="1"/>
    <xf numFmtId="3" fontId="46" fillId="0" borderId="33" xfId="148" applyNumberFormat="1" applyFont="1" applyBorder="1" applyAlignment="1">
      <alignment horizontal="center" vertical="top"/>
    </xf>
    <xf numFmtId="180" fontId="43" fillId="0" borderId="33" xfId="148" applyNumberFormat="1" applyFont="1" applyBorder="1" applyAlignment="1">
      <alignment horizontal="right" vertical="top" wrapText="1"/>
    </xf>
    <xf numFmtId="167" fontId="43" fillId="0" borderId="32" xfId="148" applyNumberFormat="1" applyFont="1" applyBorder="1" applyAlignment="1">
      <alignment vertical="top"/>
    </xf>
    <xf numFmtId="180" fontId="43" fillId="0" borderId="32" xfId="148" applyNumberFormat="1" applyFont="1" applyBorder="1" applyAlignment="1">
      <alignment vertical="top"/>
    </xf>
    <xf numFmtId="167" fontId="43" fillId="0" borderId="112" xfId="148" applyNumberFormat="1" applyFont="1" applyBorder="1" applyAlignment="1">
      <alignment vertical="top"/>
    </xf>
    <xf numFmtId="2" fontId="43" fillId="0" borderId="112" xfId="23" applyNumberFormat="1" applyFont="1" applyBorder="1" applyAlignment="1">
      <alignment vertical="top"/>
    </xf>
    <xf numFmtId="1" fontId="41" fillId="0" borderId="0" xfId="148" applyNumberFormat="1" applyFont="1" applyAlignment="1">
      <alignment horizontal="right"/>
    </xf>
    <xf numFmtId="167" fontId="47" fillId="0" borderId="0" xfId="148" applyNumberFormat="1" applyFont="1" applyAlignment="1">
      <alignment horizontal="right" wrapText="1"/>
    </xf>
    <xf numFmtId="168" fontId="47" fillId="0" borderId="0" xfId="148" applyNumberFormat="1" applyFont="1" applyAlignment="1">
      <alignment horizontal="right"/>
    </xf>
    <xf numFmtId="3" fontId="46" fillId="0" borderId="2" xfId="148" applyNumberFormat="1" applyFont="1" applyBorder="1" applyAlignment="1">
      <alignment horizontal="right" vertical="top"/>
    </xf>
    <xf numFmtId="180" fontId="46" fillId="0" borderId="0" xfId="148" applyNumberFormat="1" applyFont="1" applyAlignment="1">
      <alignment vertical="top"/>
    </xf>
    <xf numFmtId="167" fontId="46" fillId="0" borderId="2" xfId="149" applyNumberFormat="1" applyBorder="1" applyAlignment="1">
      <alignment vertical="top"/>
    </xf>
    <xf numFmtId="167" fontId="47" fillId="0" borderId="0" xfId="148" applyNumberFormat="1" applyFont="1" applyAlignment="1">
      <alignment horizontal="left"/>
    </xf>
    <xf numFmtId="167" fontId="41" fillId="0" borderId="0" xfId="148" applyNumberFormat="1" applyFont="1" applyAlignment="1">
      <alignment horizontal="left"/>
    </xf>
    <xf numFmtId="3" fontId="24" fillId="0" borderId="2" xfId="148" applyNumberFormat="1" applyBorder="1" applyAlignment="1">
      <alignment horizontal="right" vertical="top"/>
    </xf>
    <xf numFmtId="167" fontId="47" fillId="0" borderId="0" xfId="148" applyNumberFormat="1" applyFont="1" applyAlignment="1">
      <alignment horizontal="right"/>
    </xf>
    <xf numFmtId="167" fontId="85" fillId="0" borderId="0" xfId="148" applyNumberFormat="1" applyFont="1"/>
    <xf numFmtId="167" fontId="46" fillId="0" borderId="35" xfId="148" applyNumberFormat="1" applyFont="1" applyBorder="1" applyAlignment="1">
      <alignment vertical="top"/>
    </xf>
    <xf numFmtId="167" fontId="46" fillId="0" borderId="33" xfId="149" applyNumberFormat="1" applyBorder="1" applyAlignment="1">
      <alignment vertical="top"/>
    </xf>
    <xf numFmtId="167" fontId="41" fillId="0" borderId="0" xfId="148" applyNumberFormat="1" applyFont="1"/>
    <xf numFmtId="3" fontId="24" fillId="0" borderId="35" xfId="148" applyNumberFormat="1" applyBorder="1" applyAlignment="1">
      <alignment horizontal="right" vertical="top"/>
    </xf>
    <xf numFmtId="180" fontId="43" fillId="0" borderId="107" xfId="148" applyNumberFormat="1" applyFont="1" applyBorder="1" applyAlignment="1">
      <alignment horizontal="right" vertical="top" wrapText="1"/>
    </xf>
    <xf numFmtId="172" fontId="46" fillId="0" borderId="2" xfId="149" applyNumberFormat="1" applyBorder="1" applyAlignment="1">
      <alignment vertical="top"/>
    </xf>
    <xf numFmtId="167" fontId="41" fillId="0" borderId="0" xfId="148" applyNumberFormat="1" applyFont="1" applyAlignment="1">
      <alignment wrapText="1"/>
    </xf>
    <xf numFmtId="167" fontId="41" fillId="0" borderId="0" xfId="148" applyNumberFormat="1" applyFont="1" applyAlignment="1">
      <alignment horizontal="center" vertical="top"/>
    </xf>
    <xf numFmtId="3" fontId="46" fillId="0" borderId="107" xfId="148" applyNumberFormat="1" applyFont="1" applyBorder="1" applyAlignment="1">
      <alignment horizontal="center" vertical="top"/>
    </xf>
    <xf numFmtId="180" fontId="43" fillId="0" borderId="107" xfId="148" applyNumberFormat="1" applyFont="1" applyBorder="1" applyAlignment="1">
      <alignment vertical="top"/>
    </xf>
    <xf numFmtId="167" fontId="43" fillId="0" borderId="107" xfId="148" applyNumberFormat="1" applyFont="1" applyBorder="1" applyAlignment="1">
      <alignment vertical="top"/>
    </xf>
    <xf numFmtId="190" fontId="43" fillId="0" borderId="107" xfId="148" applyNumberFormat="1" applyFont="1" applyBorder="1" applyAlignment="1">
      <alignment vertical="top"/>
    </xf>
    <xf numFmtId="168" fontId="41" fillId="0" borderId="0" xfId="148" applyNumberFormat="1" applyFont="1" applyAlignment="1">
      <alignment horizontal="right"/>
    </xf>
    <xf numFmtId="3" fontId="46" fillId="0" borderId="113" xfId="148" applyNumberFormat="1" applyFont="1" applyBorder="1" applyAlignment="1">
      <alignment horizontal="center" vertical="top"/>
    </xf>
    <xf numFmtId="180" fontId="46" fillId="0" borderId="5" xfId="148" applyNumberFormat="1" applyFont="1" applyBorder="1" applyAlignment="1">
      <alignment vertical="top"/>
    </xf>
    <xf numFmtId="167" fontId="46" fillId="0" borderId="2" xfId="148" applyNumberFormat="1" applyFont="1" applyBorder="1" applyAlignment="1">
      <alignment vertical="top"/>
    </xf>
    <xf numFmtId="167" fontId="43" fillId="0" borderId="107" xfId="23" applyNumberFormat="1" applyFont="1" applyBorder="1" applyAlignment="1">
      <alignment vertical="top"/>
    </xf>
    <xf numFmtId="167" fontId="46" fillId="0" borderId="0" xfId="148" applyNumberFormat="1" applyFont="1" applyAlignment="1">
      <alignment horizontal="right"/>
    </xf>
    <xf numFmtId="180" fontId="46" fillId="0" borderId="107" xfId="148" applyNumberFormat="1" applyFont="1" applyBorder="1" applyAlignment="1">
      <alignment horizontal="right"/>
    </xf>
    <xf numFmtId="167" fontId="46" fillId="2" borderId="107" xfId="23" applyNumberFormat="1" applyFill="1" applyBorder="1" applyAlignment="1">
      <alignment horizontal="left" vertical="top"/>
    </xf>
    <xf numFmtId="167" fontId="46" fillId="2" borderId="107" xfId="148" applyNumberFormat="1" applyFont="1" applyFill="1" applyBorder="1" applyAlignment="1">
      <alignment horizontal="right" vertical="top"/>
    </xf>
    <xf numFmtId="0" fontId="82" fillId="5" borderId="0" xfId="149" applyNumberFormat="1" applyFont="1" applyFill="1" applyAlignment="1">
      <alignment horizontal="left" vertical="top" wrapText="1"/>
    </xf>
    <xf numFmtId="0" fontId="85" fillId="0" borderId="0" xfId="148" applyFont="1" applyAlignment="1">
      <alignment vertical="top"/>
    </xf>
    <xf numFmtId="167" fontId="46" fillId="2" borderId="107" xfId="148" quotePrefix="1" applyNumberFormat="1" applyFont="1" applyFill="1" applyBorder="1" applyAlignment="1">
      <alignment horizontal="right" vertical="top"/>
    </xf>
    <xf numFmtId="0" fontId="84" fillId="0" borderId="0" xfId="148" applyFont="1" applyAlignment="1">
      <alignment vertical="top" wrapText="1"/>
    </xf>
    <xf numFmtId="0" fontId="84" fillId="0" borderId="0" xfId="148" applyFont="1" applyAlignment="1">
      <alignment vertical="top"/>
    </xf>
    <xf numFmtId="1" fontId="84" fillId="0" borderId="0" xfId="148" applyNumberFormat="1" applyFont="1" applyAlignment="1">
      <alignment vertical="top"/>
    </xf>
    <xf numFmtId="167" fontId="46" fillId="0" borderId="107" xfId="23" applyNumberFormat="1" applyBorder="1" applyAlignment="1">
      <alignment horizontal="right" vertical="top" wrapText="1"/>
    </xf>
    <xf numFmtId="169" fontId="46" fillId="2" borderId="107" xfId="3" applyNumberFormat="1" applyFont="1" applyFill="1" applyBorder="1" applyAlignment="1">
      <alignment horizontal="left" vertical="top" wrapText="1"/>
    </xf>
    <xf numFmtId="167" fontId="46" fillId="0" borderId="107" xfId="148" quotePrefix="1" applyNumberFormat="1" applyFont="1" applyBorder="1" applyAlignment="1">
      <alignment horizontal="right"/>
    </xf>
    <xf numFmtId="167" fontId="46" fillId="0" borderId="107" xfId="23" applyNumberFormat="1" applyBorder="1"/>
    <xf numFmtId="167" fontId="46" fillId="0" borderId="0" xfId="148" quotePrefix="1" applyNumberFormat="1" applyFont="1" applyAlignment="1">
      <alignment horizontal="right"/>
    </xf>
    <xf numFmtId="167" fontId="46" fillId="0" borderId="109" xfId="23" applyNumberFormat="1" applyBorder="1" applyAlignment="1">
      <alignment horizontal="right" vertical="top" wrapText="1"/>
    </xf>
    <xf numFmtId="3" fontId="46" fillId="0" borderId="113" xfId="148" applyNumberFormat="1" applyFont="1" applyBorder="1" applyAlignment="1">
      <alignment horizontal="center"/>
    </xf>
    <xf numFmtId="180" fontId="46" fillId="0" borderId="109" xfId="148" applyNumberFormat="1" applyFont="1" applyBorder="1"/>
    <xf numFmtId="167" fontId="41" fillId="0" borderId="107" xfId="148" applyNumberFormat="1" applyFont="1" applyBorder="1"/>
    <xf numFmtId="0" fontId="88" fillId="0" borderId="0" xfId="149" applyNumberFormat="1" applyFont="1" applyAlignment="1">
      <alignment vertical="top" wrapText="1"/>
    </xf>
    <xf numFmtId="3" fontId="46" fillId="0" borderId="33" xfId="148" applyNumberFormat="1" applyFont="1" applyBorder="1" applyAlignment="1">
      <alignment horizontal="center"/>
    </xf>
    <xf numFmtId="167" fontId="24" fillId="0" borderId="35" xfId="148" applyNumberFormat="1" applyBorder="1" applyAlignment="1">
      <alignment horizontal="center"/>
    </xf>
    <xf numFmtId="167" fontId="41" fillId="0" borderId="107" xfId="148" applyNumberFormat="1" applyFont="1" applyBorder="1" applyAlignment="1">
      <alignment horizontal="center" vertical="center" wrapText="1"/>
    </xf>
    <xf numFmtId="167" fontId="41" fillId="0" borderId="107" xfId="148" applyNumberFormat="1" applyFont="1" applyBorder="1" applyAlignment="1">
      <alignment vertical="center" wrapText="1"/>
    </xf>
    <xf numFmtId="167" fontId="46" fillId="0" borderId="107" xfId="0" applyFont="1" applyBorder="1" applyAlignment="1">
      <alignment horizontal="center" vertical="center" wrapText="1"/>
    </xf>
    <xf numFmtId="167" fontId="41" fillId="0" borderId="107" xfId="148" applyNumberFormat="1" applyFont="1" applyBorder="1" applyAlignment="1">
      <alignment horizontal="center" vertical="top" wrapText="1"/>
    </xf>
    <xf numFmtId="167" fontId="41" fillId="0" borderId="107" xfId="148" applyNumberFormat="1" applyFont="1" applyBorder="1" applyAlignment="1">
      <alignment horizontal="center" vertical="center"/>
    </xf>
    <xf numFmtId="0" fontId="24" fillId="0" borderId="0" xfId="148" applyAlignment="1">
      <alignment vertical="top" wrapText="1"/>
    </xf>
    <xf numFmtId="169" fontId="24" fillId="2" borderId="35" xfId="3" applyNumberFormat="1" applyFont="1" applyFill="1" applyBorder="1" applyAlignment="1">
      <alignment horizontal="right"/>
    </xf>
    <xf numFmtId="169" fontId="41" fillId="2" borderId="107" xfId="3" applyNumberFormat="1" applyFont="1" applyFill="1" applyBorder="1" applyAlignment="1">
      <alignment horizontal="center" vertical="center" wrapText="1"/>
    </xf>
    <xf numFmtId="169" fontId="41" fillId="0" borderId="107" xfId="3" applyNumberFormat="1" applyFont="1" applyBorder="1" applyAlignment="1">
      <alignment horizontal="center" vertical="center" wrapText="1"/>
    </xf>
    <xf numFmtId="169" fontId="42" fillId="0" borderId="107" xfId="3" applyNumberFormat="1" applyFont="1" applyFill="1" applyBorder="1" applyAlignment="1" applyProtection="1">
      <alignment horizontal="center" vertical="center" wrapText="1"/>
    </xf>
    <xf numFmtId="9" fontId="41" fillId="2" borderId="107" xfId="3" applyFont="1" applyFill="1" applyBorder="1" applyAlignment="1">
      <alignment horizontal="center" vertical="center"/>
    </xf>
    <xf numFmtId="180" fontId="46" fillId="0" borderId="109" xfId="148" applyNumberFormat="1" applyFont="1" applyBorder="1" applyAlignment="1">
      <alignment vertical="top"/>
    </xf>
    <xf numFmtId="167" fontId="46" fillId="0" borderId="107" xfId="148" applyNumberFormat="1" applyFont="1" applyBorder="1" applyAlignment="1">
      <alignment horizontal="right" vertical="top"/>
    </xf>
    <xf numFmtId="2" fontId="83" fillId="0" borderId="107" xfId="148" applyNumberFormat="1" applyFont="1" applyBorder="1" applyAlignment="1">
      <alignment vertical="top"/>
    </xf>
    <xf numFmtId="167" fontId="43" fillId="0" borderId="107" xfId="148" applyNumberFormat="1" applyFont="1" applyBorder="1" applyAlignment="1">
      <alignment horizontal="center"/>
    </xf>
    <xf numFmtId="2" fontId="46" fillId="0" borderId="107" xfId="148" applyNumberFormat="1" applyFont="1" applyBorder="1" applyAlignment="1">
      <alignment horizontal="right" vertical="top"/>
    </xf>
    <xf numFmtId="3" fontId="46" fillId="0" borderId="107" xfId="148" applyNumberFormat="1" applyFont="1" applyBorder="1" applyAlignment="1">
      <alignment horizontal="center"/>
    </xf>
    <xf numFmtId="180" fontId="46" fillId="0" borderId="109" xfId="148" applyNumberFormat="1" applyFont="1" applyBorder="1" applyAlignment="1">
      <alignment wrapText="1"/>
    </xf>
    <xf numFmtId="167" fontId="46" fillId="0" borderId="107" xfId="148" applyNumberFormat="1" applyFont="1" applyBorder="1" applyAlignment="1">
      <alignment horizontal="right"/>
    </xf>
    <xf numFmtId="2" fontId="46" fillId="0" borderId="107" xfId="148" applyNumberFormat="1" applyFont="1" applyBorder="1" applyAlignment="1">
      <alignment horizontal="right"/>
    </xf>
    <xf numFmtId="172" fontId="46" fillId="2" borderId="107" xfId="148" applyNumberFormat="1" applyFont="1" applyFill="1" applyBorder="1" applyAlignment="1">
      <alignment horizontal="right" vertical="top"/>
    </xf>
    <xf numFmtId="186" fontId="46" fillId="0" borderId="107" xfId="148" applyNumberFormat="1" applyFont="1" applyBorder="1" applyAlignment="1">
      <alignment horizontal="right"/>
    </xf>
    <xf numFmtId="0" fontId="88" fillId="0" borderId="0" xfId="149" applyNumberFormat="1" applyFont="1" applyAlignment="1">
      <alignment horizontal="left" vertical="top" wrapText="1"/>
    </xf>
    <xf numFmtId="0" fontId="46" fillId="0" borderId="0" xfId="149" applyNumberFormat="1" applyAlignment="1">
      <alignment vertical="top"/>
    </xf>
    <xf numFmtId="180" fontId="46" fillId="0" borderId="0" xfId="148" applyNumberFormat="1" applyFont="1" applyAlignment="1">
      <alignment vertical="top" wrapText="1"/>
    </xf>
    <xf numFmtId="180" fontId="46" fillId="0" borderId="107" xfId="148" applyNumberFormat="1" applyFont="1" applyBorder="1" applyAlignment="1">
      <alignment vertical="top" wrapText="1"/>
    </xf>
    <xf numFmtId="180" fontId="46" fillId="0" borderId="109" xfId="148" applyNumberFormat="1" applyFont="1" applyBorder="1" applyAlignment="1">
      <alignment vertical="top" wrapText="1"/>
    </xf>
    <xf numFmtId="167" fontId="43" fillId="0" borderId="107" xfId="148" applyNumberFormat="1" applyFont="1" applyBorder="1" applyAlignment="1">
      <alignment horizontal="right" vertical="top"/>
    </xf>
    <xf numFmtId="0" fontId="82" fillId="0" borderId="0" xfId="149" applyNumberFormat="1" applyFont="1" applyAlignment="1">
      <alignment horizontal="left" vertical="top" wrapText="1"/>
    </xf>
    <xf numFmtId="2" fontId="46" fillId="0" borderId="107" xfId="148" applyNumberFormat="1" applyFont="1" applyBorder="1" applyAlignment="1">
      <alignment vertical="top"/>
    </xf>
    <xf numFmtId="2" fontId="46" fillId="2" borderId="107" xfId="148" applyNumberFormat="1" applyFont="1" applyFill="1" applyBorder="1" applyAlignment="1">
      <alignment vertical="top"/>
    </xf>
    <xf numFmtId="167" fontId="43" fillId="0" borderId="107" xfId="148" applyNumberFormat="1" applyFont="1" applyBorder="1" applyAlignment="1">
      <alignment horizontal="center" vertical="top"/>
    </xf>
    <xf numFmtId="0" fontId="89" fillId="0" borderId="0" xfId="149" applyNumberFormat="1" applyFont="1" applyAlignment="1">
      <alignment horizontal="left" vertical="top"/>
    </xf>
    <xf numFmtId="180" fontId="46" fillId="0" borderId="2" xfId="148" applyNumberFormat="1" applyFont="1" applyBorder="1" applyAlignment="1">
      <alignment horizontal="left" vertical="center" wrapText="1"/>
    </xf>
    <xf numFmtId="2" fontId="83" fillId="0" borderId="107" xfId="148" applyNumberFormat="1" applyFont="1" applyBorder="1"/>
    <xf numFmtId="167" fontId="43" fillId="0" borderId="108" xfId="148" applyNumberFormat="1" applyFont="1" applyBorder="1" applyAlignment="1">
      <alignment horizontal="center"/>
    </xf>
    <xf numFmtId="0" fontId="24" fillId="0" borderId="107" xfId="148" applyBorder="1"/>
    <xf numFmtId="180" fontId="46" fillId="0" borderId="107" xfId="148" applyNumberFormat="1" applyFont="1" applyBorder="1" applyAlignment="1">
      <alignment horizontal="left" vertical="top" wrapText="1"/>
    </xf>
    <xf numFmtId="167" fontId="43" fillId="0" borderId="108" xfId="148" applyNumberFormat="1" applyFont="1" applyBorder="1" applyAlignment="1">
      <alignment horizontal="center" vertical="top"/>
    </xf>
    <xf numFmtId="167" fontId="46" fillId="0" borderId="108" xfId="148" applyNumberFormat="1" applyFont="1" applyBorder="1" applyAlignment="1">
      <alignment horizontal="center"/>
    </xf>
    <xf numFmtId="180" fontId="46" fillId="0" borderId="109" xfId="148" applyNumberFormat="1" applyFont="1" applyBorder="1" applyAlignment="1">
      <alignment horizontal="left" vertical="top" wrapText="1"/>
    </xf>
    <xf numFmtId="2" fontId="83" fillId="2" borderId="107" xfId="148" applyNumberFormat="1" applyFont="1" applyFill="1" applyBorder="1" applyAlignment="1">
      <alignment vertical="top"/>
    </xf>
    <xf numFmtId="2" fontId="46" fillId="0" borderId="108" xfId="148" applyNumberFormat="1" applyFont="1" applyBorder="1" applyAlignment="1">
      <alignment horizontal="right" vertical="top"/>
    </xf>
    <xf numFmtId="167" fontId="46" fillId="0" borderId="108" xfId="148" applyNumberFormat="1" applyFont="1" applyBorder="1" applyAlignment="1">
      <alignment horizontal="center" vertical="top"/>
    </xf>
    <xf numFmtId="180" fontId="43" fillId="0" borderId="109" xfId="148" applyNumberFormat="1" applyFont="1" applyBorder="1"/>
    <xf numFmtId="2" fontId="43" fillId="0" borderId="107" xfId="148" applyNumberFormat="1" applyFont="1" applyBorder="1" applyAlignment="1">
      <alignment horizontal="right"/>
    </xf>
    <xf numFmtId="2" fontId="24" fillId="0" borderId="0" xfId="148" applyNumberFormat="1"/>
    <xf numFmtId="3" fontId="24" fillId="0" borderId="0" xfId="148" applyNumberFormat="1"/>
    <xf numFmtId="167" fontId="24" fillId="0" borderId="0" xfId="148" applyNumberFormat="1" applyAlignment="1">
      <alignment horizontal="right"/>
    </xf>
    <xf numFmtId="167" fontId="43" fillId="0" borderId="0" xfId="148" applyNumberFormat="1" applyFont="1" applyAlignment="1">
      <alignment horizontal="center" vertical="top" wrapText="1"/>
    </xf>
    <xf numFmtId="167" fontId="24" fillId="2" borderId="0" xfId="148" applyNumberFormat="1" applyFill="1"/>
    <xf numFmtId="1" fontId="86" fillId="0" borderId="0" xfId="148" applyNumberFormat="1" applyFont="1" applyAlignment="1">
      <alignment horizontal="center"/>
    </xf>
    <xf numFmtId="167" fontId="86" fillId="0" borderId="0" xfId="148" applyNumberFormat="1" applyFont="1" applyAlignment="1">
      <alignment horizontal="left" wrapText="1"/>
    </xf>
    <xf numFmtId="167" fontId="24" fillId="0" borderId="0" xfId="148" applyNumberFormat="1" applyAlignment="1">
      <alignment horizontal="center"/>
    </xf>
    <xf numFmtId="167" fontId="41" fillId="0" borderId="0" xfId="148" applyNumberFormat="1" applyFont="1" applyAlignment="1">
      <alignment horizontal="left" wrapText="1"/>
    </xf>
    <xf numFmtId="167" fontId="41" fillId="0" borderId="0" xfId="148" applyNumberFormat="1" applyFont="1" applyAlignment="1">
      <alignment vertical="top"/>
    </xf>
    <xf numFmtId="167" fontId="41" fillId="0" borderId="0" xfId="148" applyNumberFormat="1" applyFont="1" applyAlignment="1">
      <alignment horizontal="center" vertical="center"/>
    </xf>
    <xf numFmtId="167" fontId="41" fillId="0" borderId="0" xfId="148" quotePrefix="1" applyNumberFormat="1" applyFont="1" applyAlignment="1">
      <alignment horizontal="center" vertical="center"/>
    </xf>
    <xf numFmtId="167" fontId="47" fillId="0" borderId="0" xfId="148" applyNumberFormat="1" applyFont="1" applyAlignment="1">
      <alignment horizontal="center" vertical="center" wrapText="1"/>
    </xf>
    <xf numFmtId="167" fontId="41" fillId="0" borderId="0" xfId="148" quotePrefix="1" applyNumberFormat="1" applyFont="1" applyAlignment="1">
      <alignment horizontal="center"/>
    </xf>
    <xf numFmtId="0" fontId="24" fillId="0" borderId="0" xfId="148" applyAlignment="1">
      <alignment wrapText="1"/>
    </xf>
    <xf numFmtId="167" fontId="41" fillId="0" borderId="0" xfId="148" applyNumberFormat="1" applyFont="1" applyAlignment="1">
      <alignment vertical="center" wrapText="1"/>
    </xf>
    <xf numFmtId="168" fontId="41" fillId="0" borderId="0" xfId="148" applyNumberFormat="1" applyFont="1" applyAlignment="1">
      <alignment horizontal="right" vertical="center"/>
    </xf>
    <xf numFmtId="167" fontId="41" fillId="0" borderId="0" xfId="148" applyNumberFormat="1" applyFont="1" applyAlignment="1">
      <alignment horizontal="right" vertical="center"/>
    </xf>
    <xf numFmtId="168" fontId="41" fillId="0" borderId="0" xfId="148" applyNumberFormat="1" applyFont="1" applyAlignment="1">
      <alignment horizontal="center" vertical="top"/>
    </xf>
    <xf numFmtId="168" fontId="41" fillId="0" borderId="0" xfId="148" applyNumberFormat="1" applyFont="1" applyAlignment="1">
      <alignment horizontal="center" vertical="center"/>
    </xf>
    <xf numFmtId="167" fontId="24" fillId="0" borderId="0" xfId="148" applyNumberFormat="1" applyAlignment="1">
      <alignment wrapText="1"/>
    </xf>
    <xf numFmtId="167" fontId="24" fillId="0" borderId="0" xfId="148" applyNumberFormat="1" applyAlignment="1">
      <alignment horizontal="center" vertical="center"/>
    </xf>
    <xf numFmtId="0" fontId="24" fillId="0" borderId="0" xfId="148" applyAlignment="1">
      <alignment horizontal="center" vertical="center"/>
    </xf>
    <xf numFmtId="0" fontId="24" fillId="0" borderId="0" xfId="148" applyAlignment="1">
      <alignment horizontal="left" vertical="center"/>
    </xf>
    <xf numFmtId="167" fontId="41" fillId="0" borderId="0" xfId="148" quotePrefix="1" applyNumberFormat="1" applyFont="1" applyAlignment="1">
      <alignment horizontal="left"/>
    </xf>
    <xf numFmtId="1" fontId="90" fillId="0" borderId="0" xfId="148" applyNumberFormat="1" applyFont="1" applyAlignment="1">
      <alignment horizontal="right"/>
    </xf>
    <xf numFmtId="167" fontId="47" fillId="0" borderId="0" xfId="148" applyNumberFormat="1" applyFont="1" applyAlignment="1">
      <alignment horizontal="left" wrapText="1"/>
    </xf>
    <xf numFmtId="167" fontId="46" fillId="2" borderId="0" xfId="23" applyNumberFormat="1" applyFill="1" applyAlignment="1">
      <alignment horizontal="right" vertical="center"/>
    </xf>
    <xf numFmtId="0" fontId="23" fillId="0" borderId="0" xfId="154"/>
    <xf numFmtId="168" fontId="77" fillId="0" borderId="0" xfId="154" applyNumberFormat="1" applyFont="1" applyAlignment="1">
      <alignment horizontal="center" vertical="center"/>
    </xf>
    <xf numFmtId="0" fontId="150" fillId="0" borderId="107" xfId="154" applyFont="1" applyBorder="1" applyAlignment="1">
      <alignment horizontal="center" wrapText="1"/>
    </xf>
    <xf numFmtId="0" fontId="150" fillId="0" borderId="0" xfId="154" applyFont="1" applyAlignment="1">
      <alignment horizontal="center" wrapText="1"/>
    </xf>
    <xf numFmtId="0" fontId="126" fillId="0" borderId="64" xfId="154" applyFont="1" applyBorder="1" applyAlignment="1">
      <alignment horizontal="justify" vertical="center" wrapText="1"/>
    </xf>
    <xf numFmtId="0" fontId="153" fillId="0" borderId="65" xfId="154" applyFont="1" applyBorder="1" applyAlignment="1">
      <alignment horizontal="justify" vertical="center" wrapText="1"/>
    </xf>
    <xf numFmtId="0" fontId="153" fillId="0" borderId="65" xfId="154" applyFont="1" applyBorder="1" applyAlignment="1">
      <alignment horizontal="center" vertical="center" wrapText="1"/>
    </xf>
    <xf numFmtId="0" fontId="153" fillId="0" borderId="55" xfId="154" applyFont="1" applyBorder="1" applyAlignment="1">
      <alignment horizontal="justify" vertical="center" wrapText="1"/>
    </xf>
    <xf numFmtId="0" fontId="153" fillId="0" borderId="107" xfId="154" applyFont="1" applyBorder="1" applyAlignment="1">
      <alignment horizontal="justify" vertical="center" wrapText="1"/>
    </xf>
    <xf numFmtId="0" fontId="153" fillId="0" borderId="107" xfId="154" applyFont="1" applyBorder="1" applyAlignment="1">
      <alignment horizontal="center" vertical="center" wrapText="1"/>
    </xf>
    <xf numFmtId="0" fontId="153" fillId="0" borderId="113" xfId="154" applyFont="1" applyBorder="1" applyAlignment="1">
      <alignment horizontal="justify" vertical="center" wrapText="1"/>
    </xf>
    <xf numFmtId="0" fontId="85" fillId="0" borderId="0" xfId="154" applyFont="1"/>
    <xf numFmtId="0" fontId="150" fillId="0" borderId="33" xfId="154" applyFont="1" applyBorder="1" applyAlignment="1">
      <alignment horizontal="center" wrapText="1"/>
    </xf>
    <xf numFmtId="0" fontId="153" fillId="0" borderId="33" xfId="154" applyFont="1" applyBorder="1" applyAlignment="1">
      <alignment horizontal="center" vertical="center" wrapText="1"/>
    </xf>
    <xf numFmtId="0" fontId="150" fillId="0" borderId="58" xfId="154" applyFont="1" applyBorder="1" applyAlignment="1">
      <alignment horizontal="justify" vertical="center" wrapText="1"/>
    </xf>
    <xf numFmtId="0" fontId="150" fillId="0" borderId="107" xfId="154" applyFont="1" applyBorder="1" applyAlignment="1">
      <alignment horizontal="justify" vertical="center" wrapText="1"/>
    </xf>
    <xf numFmtId="0" fontId="23" fillId="0" borderId="107" xfId="154" applyBorder="1"/>
    <xf numFmtId="0" fontId="153" fillId="0" borderId="57" xfId="154" applyFont="1" applyBorder="1" applyAlignment="1">
      <alignment horizontal="center" vertical="center" wrapText="1"/>
    </xf>
    <xf numFmtId="0" fontId="153" fillId="0" borderId="58" xfId="154" applyFont="1" applyBorder="1" applyAlignment="1">
      <alignment horizontal="center" vertical="center" wrapText="1"/>
    </xf>
    <xf numFmtId="0" fontId="153" fillId="0" borderId="60" xfId="154" applyFont="1" applyBorder="1" applyAlignment="1">
      <alignment horizontal="center" vertical="center" wrapText="1"/>
    </xf>
    <xf numFmtId="0" fontId="153" fillId="0" borderId="55" xfId="154" applyFont="1" applyBorder="1" applyAlignment="1">
      <alignment horizontal="center" vertical="center" wrapText="1"/>
    </xf>
    <xf numFmtId="0" fontId="171" fillId="0" borderId="55" xfId="154" applyFont="1" applyBorder="1" applyAlignment="1">
      <alignment horizontal="justify" vertical="center" wrapText="1"/>
    </xf>
    <xf numFmtId="0" fontId="150" fillId="0" borderId="55" xfId="154" applyFont="1" applyBorder="1" applyAlignment="1">
      <alignment horizontal="justify" vertical="center" wrapText="1"/>
    </xf>
    <xf numFmtId="0" fontId="153" fillId="0" borderId="55" xfId="154" applyFont="1" applyBorder="1" applyAlignment="1">
      <alignment vertical="center" wrapText="1"/>
    </xf>
    <xf numFmtId="0" fontId="153" fillId="0" borderId="60" xfId="154" applyFont="1" applyBorder="1" applyAlignment="1">
      <alignment vertical="center" wrapText="1"/>
    </xf>
    <xf numFmtId="0" fontId="150" fillId="0" borderId="107" xfId="154" applyFont="1" applyBorder="1" applyAlignment="1">
      <alignment vertical="center" wrapText="1"/>
    </xf>
    <xf numFmtId="0" fontId="153" fillId="0" borderId="107" xfId="154" applyFont="1" applyBorder="1" applyAlignment="1">
      <alignment wrapText="1"/>
    </xf>
    <xf numFmtId="0" fontId="153" fillId="0" borderId="107" xfId="154" applyFont="1" applyBorder="1" applyAlignment="1">
      <alignment horizontal="center" wrapText="1"/>
    </xf>
    <xf numFmtId="0" fontId="153" fillId="0" borderId="107" xfId="154" applyFont="1" applyBorder="1" applyAlignment="1">
      <alignment horizontal="center"/>
    </xf>
    <xf numFmtId="49" fontId="83" fillId="0" borderId="107" xfId="154" applyNumberFormat="1" applyFont="1" applyBorder="1" applyAlignment="1">
      <alignment wrapText="1"/>
    </xf>
    <xf numFmtId="0" fontId="150" fillId="0" borderId="110" xfId="154" applyFont="1" applyBorder="1" applyAlignment="1">
      <alignment vertical="center" wrapText="1"/>
    </xf>
    <xf numFmtId="0" fontId="150" fillId="0" borderId="108" xfId="154" applyFont="1" applyBorder="1" applyAlignment="1">
      <alignment vertical="center" wrapText="1"/>
    </xf>
    <xf numFmtId="0" fontId="153" fillId="0" borderId="107" xfId="154" applyFont="1" applyBorder="1" applyAlignment="1">
      <alignment vertical="center" wrapText="1"/>
    </xf>
    <xf numFmtId="2" fontId="153" fillId="0" borderId="107" xfId="154" applyNumberFormat="1" applyFont="1" applyBorder="1" applyAlignment="1">
      <alignment horizontal="center"/>
    </xf>
    <xf numFmtId="167" fontId="46" fillId="0" borderId="107" xfId="154" applyNumberFormat="1" applyFont="1" applyBorder="1" applyAlignment="1">
      <alignment wrapText="1"/>
    </xf>
    <xf numFmtId="0" fontId="126" fillId="0" borderId="107" xfId="154" applyFont="1" applyBorder="1" applyAlignment="1">
      <alignment horizontal="center" wrapText="1"/>
    </xf>
    <xf numFmtId="49" fontId="83" fillId="0" borderId="107" xfId="154" applyNumberFormat="1" applyFont="1" applyBorder="1"/>
    <xf numFmtId="0" fontId="150" fillId="6" borderId="107" xfId="154" applyFont="1" applyFill="1" applyBorder="1" applyAlignment="1">
      <alignment vertical="center" wrapText="1"/>
    </xf>
    <xf numFmtId="0" fontId="153" fillId="6" borderId="107" xfId="154" applyFont="1" applyFill="1" applyBorder="1" applyAlignment="1">
      <alignment horizontal="justify" vertical="center" wrapText="1"/>
    </xf>
    <xf numFmtId="0" fontId="153" fillId="6" borderId="107" xfId="154" applyFont="1" applyFill="1" applyBorder="1" applyAlignment="1">
      <alignment wrapText="1"/>
    </xf>
    <xf numFmtId="0" fontId="153" fillId="6" borderId="107" xfId="154" applyFont="1" applyFill="1" applyBorder="1" applyAlignment="1">
      <alignment horizontal="center" wrapText="1"/>
    </xf>
    <xf numFmtId="182" fontId="153" fillId="0" borderId="107" xfId="154" applyNumberFormat="1" applyFont="1" applyBorder="1" applyAlignment="1">
      <alignment horizontal="center"/>
    </xf>
    <xf numFmtId="0" fontId="150" fillId="6" borderId="107" xfId="154" applyFont="1" applyFill="1" applyBorder="1" applyAlignment="1">
      <alignment horizontal="justify" vertical="center" wrapText="1"/>
    </xf>
    <xf numFmtId="0" fontId="153" fillId="6" borderId="107" xfId="154" applyFont="1" applyFill="1" applyBorder="1" applyAlignment="1">
      <alignment vertical="center" wrapText="1"/>
    </xf>
    <xf numFmtId="0" fontId="153" fillId="6" borderId="107" xfId="154" applyFont="1" applyFill="1" applyBorder="1" applyAlignment="1">
      <alignment horizontal="right" vertical="center" wrapText="1"/>
    </xf>
    <xf numFmtId="1" fontId="153" fillId="0" borderId="107" xfId="154" applyNumberFormat="1" applyFont="1" applyBorder="1" applyAlignment="1">
      <alignment horizontal="center"/>
    </xf>
    <xf numFmtId="49" fontId="83" fillId="0" borderId="107" xfId="154" applyNumberFormat="1" applyFont="1" applyBorder="1" applyAlignment="1">
      <alignment vertical="top" wrapText="1"/>
    </xf>
    <xf numFmtId="167" fontId="46" fillId="0" borderId="107" xfId="154" applyNumberFormat="1" applyFont="1" applyBorder="1" applyAlignment="1">
      <alignment horizontal="left" wrapText="1"/>
    </xf>
    <xf numFmtId="0" fontId="23" fillId="0" borderId="0" xfId="154" applyAlignment="1">
      <alignment horizontal="center"/>
    </xf>
    <xf numFmtId="0" fontId="173" fillId="0" borderId="0" xfId="154" applyFont="1" applyAlignment="1">
      <alignment horizontal="center"/>
    </xf>
    <xf numFmtId="0" fontId="165" fillId="0" borderId="5" xfId="154" applyFont="1" applyBorder="1" applyAlignment="1">
      <alignment wrapText="1"/>
    </xf>
    <xf numFmtId="0" fontId="150" fillId="0" borderId="83" xfId="154" applyFont="1" applyBorder="1" applyAlignment="1">
      <alignment horizontal="center" vertical="center" wrapText="1"/>
    </xf>
    <xf numFmtId="9" fontId="23" fillId="0" borderId="0" xfId="154" applyNumberFormat="1" applyAlignment="1">
      <alignment horizontal="center"/>
    </xf>
    <xf numFmtId="0" fontId="126" fillId="0" borderId="65" xfId="154" applyFont="1" applyBorder="1" applyAlignment="1">
      <alignment horizontal="justify" vertical="center" wrapText="1"/>
    </xf>
    <xf numFmtId="167" fontId="174" fillId="0" borderId="107" xfId="0" applyFont="1" applyBorder="1" applyAlignment="1">
      <alignment horizontal="center" vertical="center" wrapText="1"/>
    </xf>
    <xf numFmtId="0" fontId="150" fillId="2" borderId="107" xfId="154" applyFont="1" applyFill="1" applyBorder="1" applyAlignment="1">
      <alignment horizontal="center" wrapText="1"/>
    </xf>
    <xf numFmtId="0" fontId="150" fillId="2" borderId="57" xfId="154" applyFont="1" applyFill="1" applyBorder="1" applyAlignment="1">
      <alignment horizontal="center" vertical="center" wrapText="1"/>
    </xf>
    <xf numFmtId="0" fontId="150" fillId="2" borderId="62" xfId="154" applyFont="1" applyFill="1" applyBorder="1" applyAlignment="1">
      <alignment horizontal="justify" vertical="center" wrapText="1"/>
    </xf>
    <xf numFmtId="0" fontId="85" fillId="0" borderId="112" xfId="154" applyFont="1" applyBorder="1"/>
    <xf numFmtId="0" fontId="85" fillId="0" borderId="51" xfId="154" applyFont="1" applyBorder="1"/>
    <xf numFmtId="0" fontId="150" fillId="0" borderId="51" xfId="154" applyFont="1" applyBorder="1" applyAlignment="1">
      <alignment horizontal="center" vertical="center" wrapText="1"/>
    </xf>
    <xf numFmtId="0" fontId="153" fillId="0" borderId="46" xfId="154" applyFont="1" applyBorder="1" applyAlignment="1">
      <alignment horizontal="center" vertical="center" wrapText="1"/>
    </xf>
    <xf numFmtId="0" fontId="23" fillId="0" borderId="46" xfId="154" applyBorder="1"/>
    <xf numFmtId="0" fontId="85" fillId="0" borderId="111" xfId="154" applyFont="1" applyBorder="1"/>
    <xf numFmtId="0" fontId="150" fillId="2" borderId="58" xfId="154" applyFont="1" applyFill="1" applyBorder="1" applyAlignment="1">
      <alignment horizontal="justify" vertical="center" wrapText="1"/>
    </xf>
    <xf numFmtId="0" fontId="23" fillId="2" borderId="0" xfId="154" applyFill="1"/>
    <xf numFmtId="0" fontId="150" fillId="2" borderId="82" xfId="154" applyFont="1" applyFill="1" applyBorder="1" applyAlignment="1">
      <alignment horizontal="center" vertical="center" wrapText="1"/>
    </xf>
    <xf numFmtId="0" fontId="150" fillId="2" borderId="66" xfId="154" applyFont="1" applyFill="1" applyBorder="1" applyAlignment="1">
      <alignment horizontal="justify" vertical="center" wrapText="1"/>
    </xf>
    <xf numFmtId="0" fontId="150" fillId="2" borderId="66" xfId="154" applyFont="1" applyFill="1" applyBorder="1" applyAlignment="1">
      <alignment horizontal="center" vertical="center" wrapText="1"/>
    </xf>
    <xf numFmtId="167" fontId="174" fillId="0" borderId="0" xfId="0" applyFont="1" applyAlignment="1">
      <alignment horizontal="center" vertical="center" wrapText="1"/>
    </xf>
    <xf numFmtId="0" fontId="23" fillId="0" borderId="0" xfId="154" applyAlignment="1">
      <alignment vertical="center"/>
    </xf>
    <xf numFmtId="0" fontId="22" fillId="2" borderId="0" xfId="154" applyFont="1" applyFill="1"/>
    <xf numFmtId="2" fontId="23" fillId="0" borderId="0" xfId="154" applyNumberFormat="1" applyAlignment="1">
      <alignment vertical="center"/>
    </xf>
    <xf numFmtId="0" fontId="21" fillId="0" borderId="0" xfId="154" applyFont="1"/>
    <xf numFmtId="9" fontId="174" fillId="0" borderId="0" xfId="3" applyFont="1" applyBorder="1" applyAlignment="1">
      <alignment horizontal="center" vertical="center" wrapText="1"/>
    </xf>
    <xf numFmtId="0" fontId="150" fillId="0" borderId="107" xfId="155" applyFont="1" applyBorder="1" applyAlignment="1">
      <alignment horizontal="center" wrapText="1"/>
    </xf>
    <xf numFmtId="0" fontId="20" fillId="0" borderId="0" xfId="155"/>
    <xf numFmtId="0" fontId="20" fillId="0" borderId="107" xfId="155" applyBorder="1"/>
    <xf numFmtId="0" fontId="150" fillId="0" borderId="107" xfId="155" applyFont="1" applyBorder="1" applyAlignment="1">
      <alignment vertical="center" wrapText="1"/>
    </xf>
    <xf numFmtId="0" fontId="150" fillId="0" borderId="107" xfId="155" applyFont="1" applyBorder="1" applyAlignment="1">
      <alignment horizontal="justify" vertical="center" wrapText="1"/>
    </xf>
    <xf numFmtId="0" fontId="153" fillId="0" borderId="107" xfId="155" applyFont="1" applyBorder="1" applyAlignment="1">
      <alignment wrapText="1"/>
    </xf>
    <xf numFmtId="0" fontId="153" fillId="0" borderId="107" xfId="155" applyFont="1" applyBorder="1" applyAlignment="1">
      <alignment horizontal="center" wrapText="1"/>
    </xf>
    <xf numFmtId="49" fontId="83" fillId="0" borderId="107" xfId="155" applyNumberFormat="1" applyFont="1" applyBorder="1" applyAlignment="1">
      <alignment wrapText="1"/>
    </xf>
    <xf numFmtId="0" fontId="150" fillId="0" borderId="110" xfId="155" applyFont="1" applyBorder="1" applyAlignment="1">
      <alignment vertical="center" wrapText="1"/>
    </xf>
    <xf numFmtId="0" fontId="153" fillId="0" borderId="107" xfId="155" applyFont="1" applyBorder="1" applyAlignment="1">
      <alignment vertical="center" wrapText="1"/>
    </xf>
    <xf numFmtId="2" fontId="153" fillId="0" borderId="107" xfId="155" applyNumberFormat="1" applyFont="1" applyBorder="1" applyAlignment="1">
      <alignment horizontal="center"/>
    </xf>
    <xf numFmtId="167" fontId="46" fillId="0" borderId="107" xfId="155" applyNumberFormat="1" applyFont="1" applyBorder="1" applyAlignment="1">
      <alignment wrapText="1"/>
    </xf>
    <xf numFmtId="0" fontId="153" fillId="0" borderId="107" xfId="155" applyFont="1" applyBorder="1" applyAlignment="1">
      <alignment horizontal="justify" vertical="center" wrapText="1"/>
    </xf>
    <xf numFmtId="0" fontId="126" fillId="0" borderId="107" xfId="155" applyFont="1" applyBorder="1" applyAlignment="1">
      <alignment horizontal="center" wrapText="1"/>
    </xf>
    <xf numFmtId="49" fontId="83" fillId="0" borderId="107" xfId="155" applyNumberFormat="1" applyFont="1" applyBorder="1"/>
    <xf numFmtId="0" fontId="150" fillId="6" borderId="107" xfId="155" applyFont="1" applyFill="1" applyBorder="1" applyAlignment="1">
      <alignment vertical="center" wrapText="1"/>
    </xf>
    <xf numFmtId="0" fontId="153" fillId="6" borderId="107" xfId="155" applyFont="1" applyFill="1" applyBorder="1" applyAlignment="1">
      <alignment horizontal="justify" vertical="center" wrapText="1"/>
    </xf>
    <xf numFmtId="0" fontId="153" fillId="6" borderId="107" xfId="155" applyFont="1" applyFill="1" applyBorder="1" applyAlignment="1">
      <alignment wrapText="1"/>
    </xf>
    <xf numFmtId="0" fontId="153" fillId="6" borderId="107" xfId="155" applyFont="1" applyFill="1" applyBorder="1" applyAlignment="1">
      <alignment horizontal="center" wrapText="1"/>
    </xf>
    <xf numFmtId="0" fontId="150" fillId="6" borderId="107" xfId="155" applyFont="1" applyFill="1" applyBorder="1" applyAlignment="1">
      <alignment horizontal="justify" vertical="center" wrapText="1"/>
    </xf>
    <xf numFmtId="0" fontId="153" fillId="6" borderId="107" xfId="155" applyFont="1" applyFill="1" applyBorder="1" applyAlignment="1">
      <alignment vertical="center" wrapText="1"/>
    </xf>
    <xf numFmtId="0" fontId="153" fillId="6" borderId="107" xfId="155" applyFont="1" applyFill="1" applyBorder="1" applyAlignment="1">
      <alignment horizontal="right" vertical="center" wrapText="1"/>
    </xf>
    <xf numFmtId="49" fontId="83" fillId="0" borderId="107" xfId="155" applyNumberFormat="1" applyFont="1" applyBorder="1" applyAlignment="1">
      <alignment vertical="top" wrapText="1"/>
    </xf>
    <xf numFmtId="167" fontId="46" fillId="0" borderId="107" xfId="155" applyNumberFormat="1" applyFont="1" applyBorder="1" applyAlignment="1">
      <alignment horizontal="left" wrapText="1"/>
    </xf>
    <xf numFmtId="0" fontId="20" fillId="0" borderId="0" xfId="155" applyAlignment="1">
      <alignment horizontal="center"/>
    </xf>
    <xf numFmtId="0" fontId="23" fillId="2" borderId="107" xfId="154" applyFill="1" applyBorder="1" applyAlignment="1">
      <alignment vertical="center"/>
    </xf>
    <xf numFmtId="0" fontId="23" fillId="0" borderId="107" xfId="154" applyBorder="1" applyAlignment="1">
      <alignment vertical="center"/>
    </xf>
    <xf numFmtId="0" fontId="20" fillId="0" borderId="107" xfId="154" applyFont="1" applyBorder="1" applyAlignment="1">
      <alignment vertical="top" wrapText="1"/>
    </xf>
    <xf numFmtId="0" fontId="21" fillId="0" borderId="107" xfId="154" applyFont="1" applyBorder="1" applyAlignment="1">
      <alignment vertical="top" wrapText="1"/>
    </xf>
    <xf numFmtId="0" fontId="171" fillId="0" borderId="107" xfId="154" applyFont="1" applyBorder="1" applyAlignment="1">
      <alignment horizontal="justify" vertical="center" wrapText="1"/>
    </xf>
    <xf numFmtId="0" fontId="21" fillId="0" borderId="107" xfId="154" quotePrefix="1" applyFont="1" applyBorder="1" applyAlignment="1">
      <alignment vertical="top" wrapText="1"/>
    </xf>
    <xf numFmtId="0" fontId="150" fillId="2" borderId="107" xfId="155" applyFont="1" applyFill="1" applyBorder="1" applyAlignment="1">
      <alignment horizontal="center" wrapText="1"/>
    </xf>
    <xf numFmtId="2" fontId="153" fillId="0" borderId="107" xfId="155" applyNumberFormat="1" applyFont="1" applyBorder="1" applyAlignment="1">
      <alignment wrapText="1"/>
    </xf>
    <xf numFmtId="1" fontId="153" fillId="0" borderId="107" xfId="155" applyNumberFormat="1" applyFont="1" applyBorder="1" applyAlignment="1">
      <alignment horizontal="center"/>
    </xf>
    <xf numFmtId="2" fontId="153" fillId="0" borderId="107" xfId="155" applyNumberFormat="1" applyFont="1" applyBorder="1"/>
    <xf numFmtId="0" fontId="150" fillId="0" borderId="109" xfId="154" applyFont="1" applyBorder="1" applyAlignment="1">
      <alignment horizontal="center" wrapText="1"/>
    </xf>
    <xf numFmtId="49" fontId="153" fillId="0" borderId="109" xfId="155" applyNumberFormat="1" applyFont="1" applyBorder="1" applyAlignment="1">
      <alignment wrapText="1"/>
    </xf>
    <xf numFmtId="0" fontId="153" fillId="0" borderId="109" xfId="155" applyFont="1" applyBorder="1"/>
    <xf numFmtId="167" fontId="118" fillId="0" borderId="109" xfId="155" applyNumberFormat="1" applyFont="1" applyBorder="1" applyAlignment="1">
      <alignment wrapText="1"/>
    </xf>
    <xf numFmtId="49" fontId="153" fillId="0" borderId="109" xfId="155" applyNumberFormat="1" applyFont="1" applyBorder="1"/>
    <xf numFmtId="49" fontId="153" fillId="0" borderId="109" xfId="155" applyNumberFormat="1" applyFont="1" applyBorder="1" applyAlignment="1">
      <alignment vertical="top" wrapText="1"/>
    </xf>
    <xf numFmtId="167" fontId="118" fillId="0" borderId="109" xfId="155" applyNumberFormat="1" applyFont="1" applyBorder="1" applyAlignment="1">
      <alignment horizontal="left" wrapText="1"/>
    </xf>
    <xf numFmtId="0" fontId="173" fillId="0" borderId="0" xfId="155" applyFont="1" applyAlignment="1">
      <alignment horizontal="center"/>
    </xf>
    <xf numFmtId="0" fontId="165" fillId="0" borderId="5" xfId="155" applyFont="1" applyBorder="1" applyAlignment="1">
      <alignment wrapText="1"/>
    </xf>
    <xf numFmtId="0" fontId="165" fillId="0" borderId="0" xfId="155" applyFont="1" applyAlignment="1">
      <alignment wrapText="1"/>
    </xf>
    <xf numFmtId="0" fontId="153" fillId="2" borderId="107" xfId="155" applyFont="1" applyFill="1" applyBorder="1" applyAlignment="1">
      <alignment wrapText="1"/>
    </xf>
    <xf numFmtId="0" fontId="150" fillId="2" borderId="108" xfId="155" applyFont="1" applyFill="1" applyBorder="1" applyAlignment="1">
      <alignment vertical="center" wrapText="1"/>
    </xf>
    <xf numFmtId="0" fontId="153" fillId="2" borderId="107" xfId="155" applyFont="1" applyFill="1" applyBorder="1" applyAlignment="1">
      <alignment vertical="center" wrapText="1"/>
    </xf>
    <xf numFmtId="2" fontId="150" fillId="0" borderId="58" xfId="154" applyNumberFormat="1" applyFont="1" applyBorder="1" applyAlignment="1">
      <alignment vertical="center"/>
    </xf>
    <xf numFmtId="2" fontId="150" fillId="0" borderId="57" xfId="154" applyNumberFormat="1" applyFont="1" applyBorder="1" applyAlignment="1">
      <alignment vertical="center"/>
    </xf>
    <xf numFmtId="2" fontId="153" fillId="0" borderId="113" xfId="155" applyNumberFormat="1" applyFont="1" applyBorder="1" applyAlignment="1">
      <alignment wrapText="1"/>
    </xf>
    <xf numFmtId="2" fontId="150" fillId="0" borderId="57" xfId="155" applyNumberFormat="1" applyFont="1" applyBorder="1" applyAlignment="1">
      <alignment vertical="center"/>
    </xf>
    <xf numFmtId="2" fontId="150" fillId="0" borderId="58" xfId="155" applyNumberFormat="1" applyFont="1" applyBorder="1" applyAlignment="1">
      <alignment vertical="center"/>
    </xf>
    <xf numFmtId="0" fontId="19" fillId="2" borderId="107" xfId="154" applyFont="1" applyFill="1" applyBorder="1" applyAlignment="1">
      <alignment vertical="top" wrapText="1"/>
    </xf>
    <xf numFmtId="0" fontId="20" fillId="29" borderId="107" xfId="154" applyFont="1" applyFill="1" applyBorder="1" applyAlignment="1">
      <alignment vertical="top" wrapText="1"/>
    </xf>
    <xf numFmtId="0" fontId="21" fillId="29" borderId="107" xfId="154" applyFont="1" applyFill="1" applyBorder="1" applyAlignment="1">
      <alignment vertical="top" wrapText="1"/>
    </xf>
    <xf numFmtId="0" fontId="19" fillId="29" borderId="107" xfId="154" applyFont="1" applyFill="1" applyBorder="1" applyAlignment="1">
      <alignment vertical="top" wrapText="1"/>
    </xf>
    <xf numFmtId="0" fontId="19" fillId="0" borderId="107" xfId="154" applyFont="1" applyBorder="1" applyAlignment="1">
      <alignment vertical="top" wrapText="1"/>
    </xf>
    <xf numFmtId="0" fontId="19" fillId="29" borderId="0" xfId="154" quotePrefix="1" applyFont="1" applyFill="1" applyAlignment="1">
      <alignment vertical="top"/>
    </xf>
    <xf numFmtId="0" fontId="23" fillId="0" borderId="113" xfId="154" applyBorder="1" applyAlignment="1">
      <alignment vertical="center"/>
    </xf>
    <xf numFmtId="0" fontId="150" fillId="0" borderId="57" xfId="154" applyFont="1" applyBorder="1" applyAlignment="1">
      <alignment vertical="center"/>
    </xf>
    <xf numFmtId="0" fontId="18" fillId="0" borderId="0" xfId="156"/>
    <xf numFmtId="0" fontId="85" fillId="30" borderId="0" xfId="156" applyFont="1" applyFill="1" applyAlignment="1">
      <alignment horizontal="center"/>
    </xf>
    <xf numFmtId="0" fontId="150" fillId="0" borderId="107" xfId="156" applyFont="1" applyBorder="1" applyAlignment="1">
      <alignment horizontal="center" wrapText="1"/>
    </xf>
    <xf numFmtId="0" fontId="150" fillId="2" borderId="107" xfId="156" applyFont="1" applyFill="1" applyBorder="1" applyAlignment="1">
      <alignment horizontal="center" wrapText="1"/>
    </xf>
    <xf numFmtId="0" fontId="18" fillId="0" borderId="107" xfId="156" applyBorder="1" applyAlignment="1">
      <alignment vertical="top" wrapText="1"/>
    </xf>
    <xf numFmtId="0" fontId="18" fillId="30" borderId="0" xfId="156" applyFill="1" applyAlignment="1">
      <alignment horizontal="center" vertical="center" wrapText="1"/>
    </xf>
    <xf numFmtId="0" fontId="150" fillId="0" borderId="0" xfId="156" applyFont="1" applyAlignment="1">
      <alignment horizontal="center" wrapText="1"/>
    </xf>
    <xf numFmtId="0" fontId="153" fillId="0" borderId="107" xfId="156" applyFont="1" applyBorder="1" applyAlignment="1">
      <alignment horizontal="center" vertical="center" wrapText="1"/>
    </xf>
    <xf numFmtId="0" fontId="150" fillId="0" borderId="107" xfId="156" applyFont="1" applyBorder="1" applyAlignment="1">
      <alignment horizontal="justify" vertical="center" wrapText="1"/>
    </xf>
    <xf numFmtId="0" fontId="18" fillId="2" borderId="107" xfId="156" applyFill="1" applyBorder="1" applyAlignment="1">
      <alignment vertical="center"/>
    </xf>
    <xf numFmtId="0" fontId="18" fillId="0" borderId="107" xfId="156" applyBorder="1" applyAlignment="1">
      <alignment vertical="center"/>
    </xf>
    <xf numFmtId="0" fontId="18" fillId="0" borderId="107" xfId="156" applyBorder="1"/>
    <xf numFmtId="0" fontId="153" fillId="0" borderId="107" xfId="156" applyFont="1" applyBorder="1" applyAlignment="1">
      <alignment horizontal="justify" vertical="center" wrapText="1"/>
    </xf>
    <xf numFmtId="0" fontId="18" fillId="2" borderId="107" xfId="156" applyFill="1" applyBorder="1" applyAlignment="1">
      <alignment vertical="top" wrapText="1"/>
    </xf>
    <xf numFmtId="0" fontId="18" fillId="0" borderId="107" xfId="156" applyBorder="1" applyAlignment="1">
      <alignment horizontal="center"/>
    </xf>
    <xf numFmtId="0" fontId="18" fillId="0" borderId="0" xfId="156" applyAlignment="1">
      <alignment horizontal="center" vertical="center" wrapText="1"/>
    </xf>
    <xf numFmtId="0" fontId="153" fillId="0" borderId="107" xfId="156" applyFont="1" applyBorder="1" applyAlignment="1">
      <alignment vertical="center" wrapText="1"/>
    </xf>
    <xf numFmtId="0" fontId="18" fillId="0" borderId="113" xfId="156" applyBorder="1" applyAlignment="1">
      <alignment vertical="center"/>
    </xf>
    <xf numFmtId="0" fontId="150" fillId="0" borderId="57" xfId="156" applyFont="1" applyBorder="1" applyAlignment="1">
      <alignment vertical="center"/>
    </xf>
    <xf numFmtId="0" fontId="18" fillId="0" borderId="0" xfId="157"/>
    <xf numFmtId="0" fontId="18" fillId="0" borderId="0" xfId="157" applyAlignment="1">
      <alignment horizontal="center"/>
    </xf>
    <xf numFmtId="0" fontId="150" fillId="0" borderId="107" xfId="157" applyFont="1" applyBorder="1" applyAlignment="1">
      <alignment horizontal="center" wrapText="1"/>
    </xf>
    <xf numFmtId="0" fontId="18" fillId="30" borderId="0" xfId="157" applyFill="1" applyAlignment="1">
      <alignment horizontal="center" vertical="center" wrapText="1"/>
    </xf>
    <xf numFmtId="0" fontId="150" fillId="0" borderId="109" xfId="156" applyFont="1" applyBorder="1" applyAlignment="1">
      <alignment horizontal="center" wrapText="1"/>
    </xf>
    <xf numFmtId="9" fontId="18" fillId="0" borderId="0" xfId="156" applyNumberFormat="1" applyAlignment="1">
      <alignment horizontal="center"/>
    </xf>
    <xf numFmtId="0" fontId="150" fillId="0" borderId="107" xfId="157" applyFont="1" applyBorder="1" applyAlignment="1">
      <alignment vertical="center" wrapText="1"/>
    </xf>
    <xf numFmtId="0" fontId="18" fillId="0" borderId="107" xfId="157" applyBorder="1"/>
    <xf numFmtId="0" fontId="150" fillId="0" borderId="107" xfId="157" applyFont="1" applyBorder="1" applyAlignment="1">
      <alignment horizontal="justify" vertical="center" wrapText="1"/>
    </xf>
    <xf numFmtId="0" fontId="153" fillId="0" borderId="107" xfId="157" applyFont="1" applyBorder="1" applyAlignment="1">
      <alignment wrapText="1"/>
    </xf>
    <xf numFmtId="0" fontId="153" fillId="0" borderId="107" xfId="157" applyFont="1" applyBorder="1" applyAlignment="1">
      <alignment horizontal="center" wrapText="1"/>
    </xf>
    <xf numFmtId="1" fontId="153" fillId="0" borderId="107" xfId="157" applyNumberFormat="1" applyFont="1" applyBorder="1" applyAlignment="1">
      <alignment horizontal="center"/>
    </xf>
    <xf numFmtId="2" fontId="153" fillId="0" borderId="107" xfId="157" applyNumberFormat="1" applyFont="1" applyBorder="1" applyAlignment="1">
      <alignment wrapText="1"/>
    </xf>
    <xf numFmtId="49" fontId="83" fillId="0" borderId="107" xfId="157" applyNumberFormat="1" applyFont="1" applyBorder="1" applyAlignment="1">
      <alignment wrapText="1"/>
    </xf>
    <xf numFmtId="2" fontId="153" fillId="0" borderId="107" xfId="157" applyNumberFormat="1" applyFont="1" applyBorder="1"/>
    <xf numFmtId="49" fontId="153" fillId="0" borderId="109" xfId="157" applyNumberFormat="1" applyFont="1" applyBorder="1" applyAlignment="1">
      <alignment wrapText="1"/>
    </xf>
    <xf numFmtId="0" fontId="150" fillId="0" borderId="110" xfId="157" applyFont="1" applyBorder="1" applyAlignment="1">
      <alignment vertical="center" wrapText="1"/>
    </xf>
    <xf numFmtId="0" fontId="153" fillId="0" borderId="109" xfId="157" applyFont="1" applyBorder="1"/>
    <xf numFmtId="0" fontId="153" fillId="0" borderId="107" xfId="157" applyFont="1" applyBorder="1" applyAlignment="1">
      <alignment vertical="center" wrapText="1"/>
    </xf>
    <xf numFmtId="167" fontId="46" fillId="0" borderId="107" xfId="157" applyNumberFormat="1" applyFont="1" applyBorder="1" applyAlignment="1">
      <alignment wrapText="1"/>
    </xf>
    <xf numFmtId="167" fontId="118" fillId="0" borderId="109" xfId="157" applyNumberFormat="1" applyFont="1" applyBorder="1" applyAlignment="1">
      <alignment wrapText="1"/>
    </xf>
    <xf numFmtId="0" fontId="153" fillId="0" borderId="107" xfId="157" applyFont="1" applyBorder="1" applyAlignment="1">
      <alignment horizontal="justify" vertical="center" wrapText="1"/>
    </xf>
    <xf numFmtId="0" fontId="126" fillId="0" borderId="107" xfId="157" applyFont="1" applyBorder="1" applyAlignment="1">
      <alignment horizontal="center" wrapText="1"/>
    </xf>
    <xf numFmtId="49" fontId="83" fillId="0" borderId="107" xfId="157" applyNumberFormat="1" applyFont="1" applyBorder="1"/>
    <xf numFmtId="49" fontId="153" fillId="0" borderId="109" xfId="157" applyNumberFormat="1" applyFont="1" applyBorder="1"/>
    <xf numFmtId="0" fontId="150" fillId="6" borderId="107" xfId="157" applyFont="1" applyFill="1" applyBorder="1" applyAlignment="1">
      <alignment vertical="center" wrapText="1"/>
    </xf>
    <xf numFmtId="0" fontId="153" fillId="6" borderId="107" xfId="157" applyFont="1" applyFill="1" applyBorder="1" applyAlignment="1">
      <alignment horizontal="justify" vertical="center" wrapText="1"/>
    </xf>
    <xf numFmtId="0" fontId="153" fillId="6" borderId="107" xfId="157" applyFont="1" applyFill="1" applyBorder="1" applyAlignment="1">
      <alignment wrapText="1"/>
    </xf>
    <xf numFmtId="0" fontId="153" fillId="6" borderId="107" xfId="157" applyFont="1" applyFill="1" applyBorder="1" applyAlignment="1">
      <alignment horizontal="center" wrapText="1"/>
    </xf>
    <xf numFmtId="0" fontId="150" fillId="6" borderId="107" xfId="157" applyFont="1" applyFill="1" applyBorder="1" applyAlignment="1">
      <alignment horizontal="justify" vertical="center" wrapText="1"/>
    </xf>
    <xf numFmtId="0" fontId="153" fillId="6" borderId="107" xfId="157" applyFont="1" applyFill="1" applyBorder="1" applyAlignment="1">
      <alignment vertical="center" wrapText="1"/>
    </xf>
    <xf numFmtId="0" fontId="153" fillId="6" borderId="107" xfId="157" applyFont="1" applyFill="1" applyBorder="1" applyAlignment="1">
      <alignment horizontal="right" vertical="center" wrapText="1"/>
    </xf>
    <xf numFmtId="49" fontId="83" fillId="0" borderId="107" xfId="157" applyNumberFormat="1" applyFont="1" applyBorder="1" applyAlignment="1">
      <alignment vertical="top" wrapText="1"/>
    </xf>
    <xf numFmtId="49" fontId="153" fillId="0" borderId="109" xfId="157" applyNumberFormat="1" applyFont="1" applyBorder="1" applyAlignment="1">
      <alignment vertical="top" wrapText="1"/>
    </xf>
    <xf numFmtId="2" fontId="153" fillId="0" borderId="107" xfId="157" applyNumberFormat="1" applyFont="1" applyBorder="1" applyAlignment="1">
      <alignment horizontal="center"/>
    </xf>
    <xf numFmtId="167" fontId="46" fillId="0" borderId="107" xfId="157" applyNumberFormat="1" applyFont="1" applyBorder="1" applyAlignment="1">
      <alignment horizontal="left" wrapText="1"/>
    </xf>
    <xf numFmtId="167" fontId="118" fillId="0" borderId="109" xfId="157" applyNumberFormat="1" applyFont="1" applyBorder="1" applyAlignment="1">
      <alignment horizontal="left" wrapText="1"/>
    </xf>
    <xf numFmtId="2" fontId="153" fillId="0" borderId="113" xfId="157" applyNumberFormat="1" applyFont="1" applyBorder="1" applyAlignment="1">
      <alignment wrapText="1"/>
    </xf>
    <xf numFmtId="0" fontId="165" fillId="0" borderId="0" xfId="157" applyFont="1" applyAlignment="1">
      <alignment wrapText="1"/>
    </xf>
    <xf numFmtId="2" fontId="150" fillId="0" borderId="58" xfId="157" applyNumberFormat="1" applyFont="1" applyBorder="1" applyAlignment="1">
      <alignment vertical="center"/>
    </xf>
    <xf numFmtId="0" fontId="18" fillId="0" borderId="0" xfId="156" quotePrefix="1" applyAlignment="1">
      <alignment vertical="top" wrapText="1"/>
    </xf>
    <xf numFmtId="167" fontId="45" fillId="0" borderId="0" xfId="0" applyFont="1" applyAlignment="1">
      <alignment horizontal="center" vertical="center"/>
    </xf>
    <xf numFmtId="1" fontId="18" fillId="0" borderId="107" xfId="156" applyNumberFormat="1" applyBorder="1" applyAlignment="1">
      <alignment vertical="center"/>
    </xf>
    <xf numFmtId="0" fontId="16" fillId="0" borderId="107" xfId="156" applyFont="1" applyBorder="1" applyAlignment="1">
      <alignment wrapText="1"/>
    </xf>
    <xf numFmtId="0" fontId="17" fillId="2" borderId="107" xfId="156" applyFont="1" applyFill="1" applyBorder="1" applyAlignment="1">
      <alignment vertical="top" wrapText="1"/>
    </xf>
    <xf numFmtId="0" fontId="15" fillId="0" borderId="0" xfId="158"/>
    <xf numFmtId="168" fontId="77" fillId="0" borderId="0" xfId="158" applyNumberFormat="1" applyFont="1" applyAlignment="1">
      <alignment horizontal="center" vertical="center"/>
    </xf>
    <xf numFmtId="0" fontId="150" fillId="0" borderId="107" xfId="158" applyFont="1" applyBorder="1" applyAlignment="1">
      <alignment horizontal="center" wrapText="1"/>
    </xf>
    <xf numFmtId="0" fontId="150" fillId="0" borderId="0" xfId="158" applyFont="1" applyAlignment="1">
      <alignment horizontal="center" wrapText="1"/>
    </xf>
    <xf numFmtId="9" fontId="15" fillId="0" borderId="0" xfId="158" applyNumberFormat="1" applyAlignment="1">
      <alignment horizontal="center"/>
    </xf>
    <xf numFmtId="0" fontId="126" fillId="0" borderId="64" xfId="158" applyFont="1" applyBorder="1" applyAlignment="1">
      <alignment horizontal="justify" vertical="center" wrapText="1"/>
    </xf>
    <xf numFmtId="0" fontId="126" fillId="0" borderId="65" xfId="158" applyFont="1" applyBorder="1" applyAlignment="1">
      <alignment horizontal="justify" vertical="center" wrapText="1"/>
    </xf>
    <xf numFmtId="0" fontId="153" fillId="0" borderId="65" xfId="158" applyFont="1" applyBorder="1" applyAlignment="1">
      <alignment horizontal="justify" vertical="center" wrapText="1"/>
    </xf>
    <xf numFmtId="0" fontId="153" fillId="0" borderId="65" xfId="158" applyFont="1" applyBorder="1" applyAlignment="1">
      <alignment horizontal="center" vertical="center" wrapText="1"/>
    </xf>
    <xf numFmtId="0" fontId="153" fillId="0" borderId="55" xfId="158" applyFont="1" applyBorder="1" applyAlignment="1">
      <alignment horizontal="justify" vertical="center" wrapText="1"/>
    </xf>
    <xf numFmtId="0" fontId="153" fillId="0" borderId="107" xfId="158" applyFont="1" applyBorder="1" applyAlignment="1">
      <alignment horizontal="justify" vertical="center" wrapText="1"/>
    </xf>
    <xf numFmtId="0" fontId="153" fillId="0" borderId="107" xfId="158" applyFont="1" applyBorder="1" applyAlignment="1">
      <alignment horizontal="center" vertical="center" wrapText="1"/>
    </xf>
    <xf numFmtId="0" fontId="153" fillId="0" borderId="113" xfId="158" applyFont="1" applyBorder="1" applyAlignment="1">
      <alignment horizontal="justify" vertical="center" wrapText="1"/>
    </xf>
    <xf numFmtId="0" fontId="150" fillId="2" borderId="82" xfId="158" applyFont="1" applyFill="1" applyBorder="1" applyAlignment="1">
      <alignment horizontal="center" vertical="center" wrapText="1"/>
    </xf>
    <xf numFmtId="0" fontId="150" fillId="2" borderId="66" xfId="158" applyFont="1" applyFill="1" applyBorder="1" applyAlignment="1">
      <alignment horizontal="justify" vertical="center" wrapText="1"/>
    </xf>
    <xf numFmtId="0" fontId="150" fillId="2" borderId="66" xfId="158" applyFont="1" applyFill="1" applyBorder="1" applyAlignment="1">
      <alignment horizontal="center" vertical="center" wrapText="1"/>
    </xf>
    <xf numFmtId="0" fontId="150" fillId="0" borderId="83" xfId="158" applyFont="1" applyBorder="1" applyAlignment="1">
      <alignment horizontal="center" vertical="center" wrapText="1"/>
    </xf>
    <xf numFmtId="0" fontId="85" fillId="0" borderId="112" xfId="158" applyFont="1" applyBorder="1"/>
    <xf numFmtId="0" fontId="85" fillId="0" borderId="51" xfId="158" applyFont="1" applyBorder="1"/>
    <xf numFmtId="0" fontId="85" fillId="0" borderId="0" xfId="158" applyFont="1"/>
    <xf numFmtId="0" fontId="150" fillId="0" borderId="51" xfId="158" applyFont="1" applyBorder="1" applyAlignment="1">
      <alignment horizontal="center" vertical="center" wrapText="1"/>
    </xf>
    <xf numFmtId="0" fontId="85" fillId="0" borderId="111" xfId="158" applyFont="1" applyBorder="1"/>
    <xf numFmtId="0" fontId="150" fillId="0" borderId="33" xfId="158" applyFont="1" applyBorder="1" applyAlignment="1">
      <alignment horizontal="center" wrapText="1"/>
    </xf>
    <xf numFmtId="0" fontId="153" fillId="0" borderId="33" xfId="158" applyFont="1" applyBorder="1" applyAlignment="1">
      <alignment horizontal="center" vertical="center" wrapText="1"/>
    </xf>
    <xf numFmtId="0" fontId="153" fillId="0" borderId="46" xfId="158" applyFont="1" applyBorder="1" applyAlignment="1">
      <alignment horizontal="center" vertical="center" wrapText="1"/>
    </xf>
    <xf numFmtId="0" fontId="15" fillId="0" borderId="46" xfId="158" applyBorder="1"/>
    <xf numFmtId="0" fontId="150" fillId="2" borderId="57" xfId="158" applyFont="1" applyFill="1" applyBorder="1" applyAlignment="1">
      <alignment horizontal="center" vertical="center" wrapText="1"/>
    </xf>
    <xf numFmtId="0" fontId="150" fillId="2" borderId="58" xfId="158" applyFont="1" applyFill="1" applyBorder="1" applyAlignment="1">
      <alignment horizontal="justify" vertical="center" wrapText="1"/>
    </xf>
    <xf numFmtId="0" fontId="15" fillId="2" borderId="0" xfId="158" applyFill="1"/>
    <xf numFmtId="0" fontId="150" fillId="0" borderId="107" xfId="158" applyFont="1" applyBorder="1" applyAlignment="1">
      <alignment horizontal="justify" vertical="center" wrapText="1"/>
    </xf>
    <xf numFmtId="0" fontId="150" fillId="0" borderId="58" xfId="158" applyFont="1" applyBorder="1" applyAlignment="1">
      <alignment horizontal="justify" vertical="center" wrapText="1"/>
    </xf>
    <xf numFmtId="0" fontId="15" fillId="0" borderId="107" xfId="158" applyBorder="1"/>
    <xf numFmtId="0" fontId="153" fillId="0" borderId="57" xfId="158" applyFont="1" applyBorder="1" applyAlignment="1">
      <alignment horizontal="center" vertical="center" wrapText="1"/>
    </xf>
    <xf numFmtId="0" fontId="153" fillId="0" borderId="58" xfId="158" applyFont="1" applyBorder="1" applyAlignment="1">
      <alignment horizontal="center" vertical="center" wrapText="1"/>
    </xf>
    <xf numFmtId="0" fontId="15" fillId="0" borderId="0" xfId="158" applyAlignment="1">
      <alignment vertical="center"/>
    </xf>
    <xf numFmtId="2" fontId="15" fillId="0" borderId="0" xfId="158" applyNumberFormat="1" applyAlignment="1">
      <alignment vertical="center"/>
    </xf>
    <xf numFmtId="0" fontId="153" fillId="0" borderId="60" xfId="158" applyFont="1" applyBorder="1" applyAlignment="1">
      <alignment horizontal="center" vertical="center" wrapText="1"/>
    </xf>
    <xf numFmtId="0" fontId="153" fillId="0" borderId="55" xfId="158" applyFont="1" applyBorder="1" applyAlignment="1">
      <alignment horizontal="center" vertical="center" wrapText="1"/>
    </xf>
    <xf numFmtId="0" fontId="171" fillId="0" borderId="55" xfId="158" applyFont="1" applyBorder="1" applyAlignment="1">
      <alignment horizontal="justify" vertical="center" wrapText="1"/>
    </xf>
    <xf numFmtId="0" fontId="150" fillId="0" borderId="55" xfId="158" applyFont="1" applyBorder="1" applyAlignment="1">
      <alignment horizontal="justify" vertical="center" wrapText="1"/>
    </xf>
    <xf numFmtId="0" fontId="153" fillId="0" borderId="55" xfId="158" applyFont="1" applyBorder="1" applyAlignment="1">
      <alignment vertical="center" wrapText="1"/>
    </xf>
    <xf numFmtId="0" fontId="153" fillId="0" borderId="60" xfId="158" applyFont="1" applyBorder="1" applyAlignment="1">
      <alignment vertical="center" wrapText="1"/>
    </xf>
    <xf numFmtId="0" fontId="150" fillId="0" borderId="107" xfId="158" applyFont="1" applyBorder="1" applyAlignment="1">
      <alignment vertical="center" wrapText="1"/>
    </xf>
    <xf numFmtId="0" fontId="153" fillId="0" borderId="107" xfId="158" applyFont="1" applyBorder="1" applyAlignment="1">
      <alignment wrapText="1"/>
    </xf>
    <xf numFmtId="0" fontId="153" fillId="0" borderId="107" xfId="158" applyFont="1" applyBorder="1" applyAlignment="1">
      <alignment horizontal="center" wrapText="1"/>
    </xf>
    <xf numFmtId="0" fontId="153" fillId="0" borderId="107" xfId="158" applyFont="1" applyBorder="1" applyAlignment="1">
      <alignment horizontal="center"/>
    </xf>
    <xf numFmtId="49" fontId="83" fillId="0" borderId="107" xfId="158" applyNumberFormat="1" applyFont="1" applyBorder="1" applyAlignment="1">
      <alignment wrapText="1"/>
    </xf>
    <xf numFmtId="0" fontId="150" fillId="0" borderId="110" xfId="158" applyFont="1" applyBorder="1" applyAlignment="1">
      <alignment vertical="center" wrapText="1"/>
    </xf>
    <xf numFmtId="0" fontId="150" fillId="0" borderId="108" xfId="158" applyFont="1" applyBorder="1" applyAlignment="1">
      <alignment vertical="center" wrapText="1"/>
    </xf>
    <xf numFmtId="0" fontId="153" fillId="0" borderId="107" xfId="158" applyFont="1" applyBorder="1" applyAlignment="1">
      <alignment vertical="center" wrapText="1"/>
    </xf>
    <xf numFmtId="2" fontId="153" fillId="0" borderId="107" xfId="158" applyNumberFormat="1" applyFont="1" applyBorder="1" applyAlignment="1">
      <alignment horizontal="center"/>
    </xf>
    <xf numFmtId="167" fontId="46" fillId="0" borderId="107" xfId="158" applyNumberFormat="1" applyFont="1" applyBorder="1" applyAlignment="1">
      <alignment wrapText="1"/>
    </xf>
    <xf numFmtId="0" fontId="126" fillId="0" borderId="107" xfId="158" applyFont="1" applyBorder="1" applyAlignment="1">
      <alignment horizontal="center" wrapText="1"/>
    </xf>
    <xf numFmtId="49" fontId="83" fillId="0" borderId="107" xfId="158" applyNumberFormat="1" applyFont="1" applyBorder="1"/>
    <xf numFmtId="0" fontId="150" fillId="6" borderId="107" xfId="158" applyFont="1" applyFill="1" applyBorder="1" applyAlignment="1">
      <alignment vertical="center" wrapText="1"/>
    </xf>
    <xf numFmtId="0" fontId="153" fillId="6" borderId="107" xfId="158" applyFont="1" applyFill="1" applyBorder="1" applyAlignment="1">
      <alignment horizontal="justify" vertical="center" wrapText="1"/>
    </xf>
    <xf numFmtId="0" fontId="153" fillId="6" borderId="107" xfId="158" applyFont="1" applyFill="1" applyBorder="1" applyAlignment="1">
      <alignment wrapText="1"/>
    </xf>
    <xf numFmtId="0" fontId="153" fillId="6" borderId="107" xfId="158" applyFont="1" applyFill="1" applyBorder="1" applyAlignment="1">
      <alignment horizontal="center" wrapText="1"/>
    </xf>
    <xf numFmtId="182" fontId="153" fillId="0" borderId="107" xfId="158" applyNumberFormat="1" applyFont="1" applyBorder="1" applyAlignment="1">
      <alignment horizontal="center"/>
    </xf>
    <xf numFmtId="0" fontId="150" fillId="6" borderId="107" xfId="158" applyFont="1" applyFill="1" applyBorder="1" applyAlignment="1">
      <alignment horizontal="justify" vertical="center" wrapText="1"/>
    </xf>
    <xf numFmtId="0" fontId="153" fillId="6" borderId="107" xfId="158" applyFont="1" applyFill="1" applyBorder="1" applyAlignment="1">
      <alignment vertical="center" wrapText="1"/>
    </xf>
    <xf numFmtId="0" fontId="153" fillId="6" borderId="107" xfId="158" applyFont="1" applyFill="1" applyBorder="1" applyAlignment="1">
      <alignment horizontal="right" vertical="center" wrapText="1"/>
    </xf>
    <xf numFmtId="1" fontId="153" fillId="0" borderId="107" xfId="158" applyNumberFormat="1" applyFont="1" applyBorder="1" applyAlignment="1">
      <alignment horizontal="center"/>
    </xf>
    <xf numFmtId="49" fontId="83" fillId="0" borderId="107" xfId="158" applyNumberFormat="1" applyFont="1" applyBorder="1" applyAlignment="1">
      <alignment vertical="top" wrapText="1"/>
    </xf>
    <xf numFmtId="167" fontId="46" fillId="0" borderId="107" xfId="158" applyNumberFormat="1" applyFont="1" applyBorder="1" applyAlignment="1">
      <alignment horizontal="left" wrapText="1"/>
    </xf>
    <xf numFmtId="0" fontId="15" fillId="0" borderId="0" xfId="158" applyAlignment="1">
      <alignment horizontal="center"/>
    </xf>
    <xf numFmtId="0" fontId="173" fillId="0" borderId="0" xfId="158" applyFont="1" applyAlignment="1">
      <alignment horizontal="center"/>
    </xf>
    <xf numFmtId="0" fontId="165" fillId="0" borderId="5" xfId="158" applyFont="1" applyBorder="1" applyAlignment="1">
      <alignment wrapText="1"/>
    </xf>
    <xf numFmtId="0" fontId="150" fillId="2" borderId="107" xfId="158" applyFont="1" applyFill="1" applyBorder="1" applyAlignment="1">
      <alignment horizontal="center" vertical="top" wrapText="1"/>
    </xf>
    <xf numFmtId="0" fontId="150" fillId="2" borderId="64" xfId="158" applyFont="1" applyFill="1" applyBorder="1" applyAlignment="1">
      <alignment horizontal="justify" vertical="center" wrapText="1"/>
    </xf>
    <xf numFmtId="0" fontId="150" fillId="2" borderId="51" xfId="158" applyFont="1" applyFill="1" applyBorder="1" applyAlignment="1">
      <alignment horizontal="justify" vertical="center" wrapText="1"/>
    </xf>
    <xf numFmtId="1" fontId="18" fillId="2" borderId="107" xfId="156" applyNumberFormat="1" applyFill="1" applyBorder="1" applyAlignment="1">
      <alignment vertical="center"/>
    </xf>
    <xf numFmtId="2" fontId="153" fillId="2" borderId="107" xfId="157" applyNumberFormat="1" applyFont="1" applyFill="1" applyBorder="1" applyAlignment="1">
      <alignment wrapText="1"/>
    </xf>
    <xf numFmtId="185" fontId="153" fillId="2" borderId="107" xfId="157" applyNumberFormat="1" applyFont="1" applyFill="1" applyBorder="1" applyAlignment="1">
      <alignment wrapText="1"/>
    </xf>
    <xf numFmtId="168" fontId="53" fillId="0" borderId="12" xfId="0" applyNumberFormat="1" applyFont="1" applyBorder="1" applyAlignment="1">
      <alignment vertical="top"/>
    </xf>
    <xf numFmtId="182" fontId="18" fillId="2" borderId="107" xfId="156" applyNumberFormat="1" applyFill="1" applyBorder="1" applyAlignment="1">
      <alignment vertical="center"/>
    </xf>
    <xf numFmtId="1" fontId="18" fillId="2" borderId="107" xfId="156" applyNumberFormat="1" applyFill="1" applyBorder="1"/>
    <xf numFmtId="0" fontId="18" fillId="0" borderId="107" xfId="156" applyBorder="1" applyAlignment="1">
      <alignment wrapText="1"/>
    </xf>
    <xf numFmtId="0" fontId="15" fillId="0" borderId="107" xfId="156" applyFont="1" applyBorder="1" applyAlignment="1">
      <alignment vertical="top" wrapText="1"/>
    </xf>
    <xf numFmtId="9" fontId="15" fillId="2" borderId="0" xfId="158" applyNumberFormat="1" applyFill="1" applyAlignment="1">
      <alignment horizontal="center"/>
    </xf>
    <xf numFmtId="9" fontId="18" fillId="2" borderId="0" xfId="156" applyNumberFormat="1" applyFill="1" applyAlignment="1">
      <alignment horizontal="center"/>
    </xf>
    <xf numFmtId="0" fontId="14" fillId="0" borderId="107" xfId="156" applyFont="1" applyBorder="1" applyAlignment="1">
      <alignment vertical="top"/>
    </xf>
    <xf numFmtId="0" fontId="150" fillId="2" borderId="107" xfId="157" applyFont="1" applyFill="1" applyBorder="1" applyAlignment="1">
      <alignment horizontal="center" wrapText="1"/>
    </xf>
    <xf numFmtId="2" fontId="18" fillId="4" borderId="0" xfId="156" applyNumberFormat="1" applyFill="1"/>
    <xf numFmtId="0" fontId="150" fillId="4" borderId="107" xfId="158" applyFont="1" applyFill="1" applyBorder="1" applyAlignment="1">
      <alignment horizontal="justify" vertical="center" wrapText="1"/>
    </xf>
    <xf numFmtId="2" fontId="165" fillId="4" borderId="107" xfId="157" applyNumberFormat="1" applyFont="1" applyFill="1" applyBorder="1" applyAlignment="1">
      <alignment wrapText="1"/>
    </xf>
    <xf numFmtId="2" fontId="150" fillId="9" borderId="57" xfId="157" applyNumberFormat="1" applyFont="1" applyFill="1" applyBorder="1" applyAlignment="1">
      <alignment vertical="center"/>
    </xf>
    <xf numFmtId="0" fontId="150" fillId="9" borderId="57" xfId="156" applyFont="1" applyFill="1" applyBorder="1" applyAlignment="1">
      <alignment vertical="center"/>
    </xf>
    <xf numFmtId="2" fontId="150" fillId="9" borderId="57" xfId="158" applyNumberFormat="1" applyFont="1" applyFill="1" applyBorder="1" applyAlignment="1">
      <alignment vertical="center"/>
    </xf>
    <xf numFmtId="2" fontId="150" fillId="9" borderId="58" xfId="158" applyNumberFormat="1" applyFont="1" applyFill="1" applyBorder="1" applyAlignment="1">
      <alignment vertical="center"/>
    </xf>
    <xf numFmtId="1" fontId="12" fillId="2" borderId="107" xfId="156" applyNumberFormat="1" applyFont="1" applyFill="1" applyBorder="1" applyAlignment="1">
      <alignment vertical="top" wrapText="1"/>
    </xf>
    <xf numFmtId="1" fontId="18" fillId="2" borderId="107" xfId="156" applyNumberFormat="1" applyFill="1" applyBorder="1" applyAlignment="1">
      <alignment vertical="top" wrapText="1"/>
    </xf>
    <xf numFmtId="0" fontId="11" fillId="0" borderId="107" xfId="156" applyFont="1" applyBorder="1" applyAlignment="1">
      <alignment vertical="top" wrapText="1"/>
    </xf>
    <xf numFmtId="0" fontId="11" fillId="2" borderId="107" xfId="156" applyFont="1" applyFill="1" applyBorder="1" applyAlignment="1">
      <alignment vertical="top" wrapText="1"/>
    </xf>
    <xf numFmtId="1" fontId="11" fillId="2" borderId="107" xfId="156" applyNumberFormat="1" applyFont="1" applyFill="1" applyBorder="1" applyAlignment="1">
      <alignment vertical="top" wrapText="1"/>
    </xf>
    <xf numFmtId="0" fontId="11" fillId="0" borderId="107" xfId="156" quotePrefix="1" applyFont="1" applyBorder="1" applyAlignment="1">
      <alignment vertical="top" wrapText="1"/>
    </xf>
    <xf numFmtId="0" fontId="10" fillId="0" borderId="107" xfId="156" quotePrefix="1" applyFont="1" applyBorder="1" applyAlignment="1">
      <alignment vertical="top" wrapText="1"/>
    </xf>
    <xf numFmtId="0" fontId="9" fillId="2" borderId="107" xfId="156" applyFont="1" applyFill="1" applyBorder="1" applyAlignment="1">
      <alignment vertical="top" wrapText="1"/>
    </xf>
    <xf numFmtId="1" fontId="9" fillId="2" borderId="107" xfId="156" applyNumberFormat="1" applyFont="1" applyFill="1" applyBorder="1" applyAlignment="1">
      <alignment vertical="top" wrapText="1"/>
    </xf>
    <xf numFmtId="2" fontId="18" fillId="2" borderId="107" xfId="156" applyNumberFormat="1" applyFill="1" applyBorder="1" applyAlignment="1">
      <alignment vertical="center"/>
    </xf>
    <xf numFmtId="1" fontId="8" fillId="2" borderId="107" xfId="156" applyNumberFormat="1" applyFont="1" applyFill="1" applyBorder="1" applyAlignment="1">
      <alignment vertical="top" wrapText="1"/>
    </xf>
    <xf numFmtId="0" fontId="7" fillId="0" borderId="107" xfId="156" applyFont="1" applyBorder="1" applyAlignment="1">
      <alignment vertical="top" wrapText="1"/>
    </xf>
    <xf numFmtId="0" fontId="7" fillId="2" borderId="107" xfId="156" applyFont="1" applyFill="1" applyBorder="1" applyAlignment="1">
      <alignment wrapText="1"/>
    </xf>
    <xf numFmtId="2" fontId="46" fillId="4" borderId="0" xfId="22" applyNumberFormat="1" applyFill="1"/>
    <xf numFmtId="0" fontId="6" fillId="0" borderId="0" xfId="162"/>
    <xf numFmtId="168" fontId="77" fillId="0" borderId="0" xfId="162" applyNumberFormat="1" applyFont="1" applyAlignment="1">
      <alignment horizontal="center" vertical="center"/>
    </xf>
    <xf numFmtId="0" fontId="150" fillId="0" borderId="107" xfId="162" applyFont="1" applyBorder="1" applyAlignment="1">
      <alignment horizontal="center" wrapText="1"/>
    </xf>
    <xf numFmtId="0" fontId="150" fillId="2" borderId="107" xfId="162" applyFont="1" applyFill="1" applyBorder="1" applyAlignment="1">
      <alignment horizontal="center" vertical="top" wrapText="1"/>
    </xf>
    <xf numFmtId="0" fontId="150" fillId="0" borderId="0" xfId="162" applyFont="1" applyAlignment="1">
      <alignment horizontal="center" wrapText="1"/>
    </xf>
    <xf numFmtId="9" fontId="6" fillId="0" borderId="0" xfId="162" applyNumberFormat="1" applyAlignment="1">
      <alignment horizontal="center"/>
    </xf>
    <xf numFmtId="9" fontId="6" fillId="2" borderId="0" xfId="162" applyNumberFormat="1" applyFill="1" applyAlignment="1">
      <alignment horizontal="center"/>
    </xf>
    <xf numFmtId="0" fontId="126" fillId="0" borderId="64" xfId="162" applyFont="1" applyBorder="1" applyAlignment="1">
      <alignment horizontal="justify" vertical="center" wrapText="1"/>
    </xf>
    <xf numFmtId="0" fontId="126" fillId="0" borderId="65" xfId="162" applyFont="1" applyBorder="1" applyAlignment="1">
      <alignment horizontal="justify" vertical="center" wrapText="1"/>
    </xf>
    <xf numFmtId="0" fontId="153" fillId="0" borderId="65" xfId="162" applyFont="1" applyBorder="1" applyAlignment="1">
      <alignment horizontal="justify" vertical="center" wrapText="1"/>
    </xf>
    <xf numFmtId="0" fontId="153" fillId="0" borderId="65" xfId="162" applyFont="1" applyBorder="1" applyAlignment="1">
      <alignment horizontal="center" vertical="center" wrapText="1"/>
    </xf>
    <xf numFmtId="0" fontId="153" fillId="0" borderId="55" xfId="162" applyFont="1" applyBorder="1" applyAlignment="1">
      <alignment horizontal="justify" vertical="center" wrapText="1"/>
    </xf>
    <xf numFmtId="0" fontId="153" fillId="0" borderId="107" xfId="162" applyFont="1" applyBorder="1" applyAlignment="1">
      <alignment horizontal="justify" vertical="center" wrapText="1"/>
    </xf>
    <xf numFmtId="0" fontId="153" fillId="0" borderId="107" xfId="162" applyFont="1" applyBorder="1" applyAlignment="1">
      <alignment horizontal="center" vertical="center" wrapText="1"/>
    </xf>
    <xf numFmtId="0" fontId="153" fillId="0" borderId="113" xfId="162" applyFont="1" applyBorder="1" applyAlignment="1">
      <alignment horizontal="justify" vertical="center" wrapText="1"/>
    </xf>
    <xf numFmtId="0" fontId="150" fillId="2" borderId="82" xfId="162" applyFont="1" applyFill="1" applyBorder="1" applyAlignment="1">
      <alignment horizontal="center" vertical="center" wrapText="1"/>
    </xf>
    <xf numFmtId="0" fontId="150" fillId="2" borderId="66" xfId="162" applyFont="1" applyFill="1" applyBorder="1" applyAlignment="1">
      <alignment horizontal="justify" vertical="center" wrapText="1"/>
    </xf>
    <xf numFmtId="0" fontId="150" fillId="2" borderId="66" xfId="162" applyFont="1" applyFill="1" applyBorder="1" applyAlignment="1">
      <alignment horizontal="center" vertical="center" wrapText="1"/>
    </xf>
    <xf numFmtId="0" fontId="150" fillId="0" borderId="83" xfId="162" applyFont="1" applyBorder="1" applyAlignment="1">
      <alignment horizontal="center" vertical="center" wrapText="1"/>
    </xf>
    <xf numFmtId="0" fontId="85" fillId="0" borderId="112" xfId="162" applyFont="1" applyBorder="1"/>
    <xf numFmtId="0" fontId="85" fillId="0" borderId="51" xfId="162" applyFont="1" applyBorder="1"/>
    <xf numFmtId="0" fontId="85" fillId="0" borderId="0" xfId="162" applyFont="1"/>
    <xf numFmtId="0" fontId="150" fillId="0" borderId="51" xfId="162" applyFont="1" applyBorder="1" applyAlignment="1">
      <alignment horizontal="center" vertical="center" wrapText="1"/>
    </xf>
    <xf numFmtId="0" fontId="85" fillId="0" borderId="111" xfId="162" applyFont="1" applyBorder="1"/>
    <xf numFmtId="0" fontId="150" fillId="0" borderId="120" xfId="162" applyFont="1" applyBorder="1" applyAlignment="1">
      <alignment horizontal="center" wrapText="1"/>
    </xf>
    <xf numFmtId="0" fontId="153" fillId="0" borderId="120" xfId="162" applyFont="1" applyBorder="1" applyAlignment="1">
      <alignment horizontal="center" vertical="center" wrapText="1"/>
    </xf>
    <xf numFmtId="0" fontId="153" fillId="0" borderId="46" xfId="162" applyFont="1" applyBorder="1" applyAlignment="1">
      <alignment horizontal="center" vertical="center" wrapText="1"/>
    </xf>
    <xf numFmtId="0" fontId="6" fillId="0" borderId="46" xfId="162" applyBorder="1"/>
    <xf numFmtId="2" fontId="150" fillId="0" borderId="57" xfId="162" applyNumberFormat="1" applyFont="1" applyBorder="1" applyAlignment="1">
      <alignment vertical="center"/>
    </xf>
    <xf numFmtId="2" fontId="150" fillId="0" borderId="58" xfId="162" applyNumberFormat="1" applyFont="1" applyBorder="1" applyAlignment="1">
      <alignment vertical="center"/>
    </xf>
    <xf numFmtId="0" fontId="150" fillId="2" borderId="57" xfId="162" applyFont="1" applyFill="1" applyBorder="1" applyAlignment="1">
      <alignment horizontal="center" vertical="center" wrapText="1"/>
    </xf>
    <xf numFmtId="0" fontId="150" fillId="2" borderId="58" xfId="162" applyFont="1" applyFill="1" applyBorder="1" applyAlignment="1">
      <alignment horizontal="justify" vertical="center" wrapText="1"/>
    </xf>
    <xf numFmtId="0" fontId="6" fillId="2" borderId="0" xfId="162" applyFill="1"/>
    <xf numFmtId="0" fontId="150" fillId="2" borderId="64" xfId="162" applyFont="1" applyFill="1" applyBorder="1" applyAlignment="1">
      <alignment horizontal="justify" vertical="center" wrapText="1"/>
    </xf>
    <xf numFmtId="0" fontId="150" fillId="2" borderId="51" xfId="162" applyFont="1" applyFill="1" applyBorder="1" applyAlignment="1">
      <alignment horizontal="justify" vertical="center" wrapText="1"/>
    </xf>
    <xf numFmtId="0" fontId="150" fillId="0" borderId="107" xfId="162" applyFont="1" applyBorder="1" applyAlignment="1">
      <alignment horizontal="justify" vertical="center" wrapText="1"/>
    </xf>
    <xf numFmtId="0" fontId="150" fillId="0" borderId="58" xfId="162" applyFont="1" applyBorder="1" applyAlignment="1">
      <alignment horizontal="justify" vertical="center" wrapText="1"/>
    </xf>
    <xf numFmtId="0" fontId="150" fillId="2" borderId="107" xfId="162" applyFont="1" applyFill="1" applyBorder="1" applyAlignment="1">
      <alignment horizontal="justify" vertical="center" wrapText="1"/>
    </xf>
    <xf numFmtId="0" fontId="6" fillId="0" borderId="107" xfId="162" applyBorder="1"/>
    <xf numFmtId="0" fontId="153" fillId="0" borderId="57" xfId="162" applyFont="1" applyBorder="1" applyAlignment="1">
      <alignment horizontal="center" vertical="center" wrapText="1"/>
    </xf>
    <xf numFmtId="0" fontId="153" fillId="0" borderId="58" xfId="162" applyFont="1" applyBorder="1" applyAlignment="1">
      <alignment horizontal="center" vertical="center" wrapText="1"/>
    </xf>
    <xf numFmtId="0" fontId="6" fillId="0" borderId="0" xfId="162" applyAlignment="1">
      <alignment vertical="center"/>
    </xf>
    <xf numFmtId="2" fontId="6" fillId="0" borderId="0" xfId="162" applyNumberFormat="1" applyAlignment="1">
      <alignment vertical="center"/>
    </xf>
    <xf numFmtId="0" fontId="153" fillId="0" borderId="60" xfId="162" applyFont="1" applyBorder="1" applyAlignment="1">
      <alignment horizontal="center" vertical="center" wrapText="1"/>
    </xf>
    <xf numFmtId="0" fontId="153" fillId="0" borderId="55" xfId="162" applyFont="1" applyBorder="1" applyAlignment="1">
      <alignment horizontal="center" vertical="center" wrapText="1"/>
    </xf>
    <xf numFmtId="0" fontId="171" fillId="0" borderId="55" xfId="162" applyFont="1" applyBorder="1" applyAlignment="1">
      <alignment horizontal="justify" vertical="center" wrapText="1"/>
    </xf>
    <xf numFmtId="0" fontId="150" fillId="0" borderId="55" xfId="162" applyFont="1" applyBorder="1" applyAlignment="1">
      <alignment horizontal="justify" vertical="center" wrapText="1"/>
    </xf>
    <xf numFmtId="0" fontId="153" fillId="0" borderId="55" xfId="162" applyFont="1" applyBorder="1" applyAlignment="1">
      <alignment vertical="center" wrapText="1"/>
    </xf>
    <xf numFmtId="0" fontId="153" fillId="0" borderId="60" xfId="162" applyFont="1" applyBorder="1" applyAlignment="1">
      <alignment vertical="center" wrapText="1"/>
    </xf>
    <xf numFmtId="0" fontId="150" fillId="0" borderId="107" xfId="162" applyFont="1" applyBorder="1" applyAlignment="1">
      <alignment vertical="center" wrapText="1"/>
    </xf>
    <xf numFmtId="0" fontId="153" fillId="0" borderId="107" xfId="162" applyFont="1" applyBorder="1" applyAlignment="1">
      <alignment wrapText="1"/>
    </xf>
    <xf numFmtId="0" fontId="153" fillId="0" borderId="107" xfId="162" applyFont="1" applyBorder="1" applyAlignment="1">
      <alignment horizontal="center" wrapText="1"/>
    </xf>
    <xf numFmtId="0" fontId="153" fillId="0" borderId="107" xfId="162" applyFont="1" applyBorder="1" applyAlignment="1">
      <alignment horizontal="center"/>
    </xf>
    <xf numFmtId="49" fontId="83" fillId="0" borderId="107" xfId="162" applyNumberFormat="1" applyFont="1" applyBorder="1" applyAlignment="1">
      <alignment wrapText="1"/>
    </xf>
    <xf numFmtId="0" fontId="150" fillId="0" borderId="110" xfId="162" applyFont="1" applyBorder="1" applyAlignment="1">
      <alignment vertical="center" wrapText="1"/>
    </xf>
    <xf numFmtId="0" fontId="150" fillId="0" borderId="108" xfId="162" applyFont="1" applyBorder="1" applyAlignment="1">
      <alignment vertical="center" wrapText="1"/>
    </xf>
    <xf numFmtId="0" fontId="153" fillId="0" borderId="107" xfId="162" applyFont="1" applyBorder="1" applyAlignment="1">
      <alignment vertical="center" wrapText="1"/>
    </xf>
    <xf numFmtId="2" fontId="153" fillId="0" borderId="107" xfId="162" applyNumberFormat="1" applyFont="1" applyBorder="1" applyAlignment="1">
      <alignment horizontal="center"/>
    </xf>
    <xf numFmtId="167" fontId="46" fillId="0" borderId="107" xfId="162" applyNumberFormat="1" applyFont="1" applyBorder="1" applyAlignment="1">
      <alignment wrapText="1"/>
    </xf>
    <xf numFmtId="0" fontId="126" fillId="0" borderId="107" xfId="162" applyFont="1" applyBorder="1" applyAlignment="1">
      <alignment horizontal="center" wrapText="1"/>
    </xf>
    <xf numFmtId="49" fontId="83" fillId="0" borderId="107" xfId="162" applyNumberFormat="1" applyFont="1" applyBorder="1"/>
    <xf numFmtId="0" fontId="150" fillId="6" borderId="107" xfId="162" applyFont="1" applyFill="1" applyBorder="1" applyAlignment="1">
      <alignment vertical="center" wrapText="1"/>
    </xf>
    <xf numFmtId="0" fontId="153" fillId="6" borderId="107" xfId="162" applyFont="1" applyFill="1" applyBorder="1" applyAlignment="1">
      <alignment horizontal="justify" vertical="center" wrapText="1"/>
    </xf>
    <xf numFmtId="0" fontId="153" fillId="6" borderId="107" xfId="162" applyFont="1" applyFill="1" applyBorder="1" applyAlignment="1">
      <alignment wrapText="1"/>
    </xf>
    <xf numFmtId="0" fontId="153" fillId="6" borderId="107" xfId="162" applyFont="1" applyFill="1" applyBorder="1" applyAlignment="1">
      <alignment horizontal="center" wrapText="1"/>
    </xf>
    <xf numFmtId="182" fontId="153" fillId="0" borderId="107" xfId="162" applyNumberFormat="1" applyFont="1" applyBorder="1" applyAlignment="1">
      <alignment horizontal="center"/>
    </xf>
    <xf numFmtId="0" fontId="150" fillId="6" borderId="107" xfId="162" applyFont="1" applyFill="1" applyBorder="1" applyAlignment="1">
      <alignment horizontal="justify" vertical="center" wrapText="1"/>
    </xf>
    <xf numFmtId="0" fontId="153" fillId="6" borderId="107" xfId="162" applyFont="1" applyFill="1" applyBorder="1" applyAlignment="1">
      <alignment vertical="center" wrapText="1"/>
    </xf>
    <xf numFmtId="0" fontId="153" fillId="6" borderId="107" xfId="162" applyFont="1" applyFill="1" applyBorder="1" applyAlignment="1">
      <alignment horizontal="right" vertical="center" wrapText="1"/>
    </xf>
    <xf numFmtId="1" fontId="153" fillId="0" borderId="107" xfId="162" applyNumberFormat="1" applyFont="1" applyBorder="1" applyAlignment="1">
      <alignment horizontal="center"/>
    </xf>
    <xf numFmtId="49" fontId="83" fillId="0" borderId="107" xfId="162" applyNumberFormat="1" applyFont="1" applyBorder="1" applyAlignment="1">
      <alignment vertical="top" wrapText="1"/>
    </xf>
    <xf numFmtId="167" fontId="46" fillId="0" borderId="107" xfId="162" applyNumberFormat="1" applyFont="1" applyBorder="1" applyAlignment="1">
      <alignment horizontal="left" wrapText="1"/>
    </xf>
    <xf numFmtId="0" fontId="6" fillId="0" borderId="0" xfId="162" applyAlignment="1">
      <alignment horizontal="center"/>
    </xf>
    <xf numFmtId="0" fontId="173" fillId="0" borderId="0" xfId="162" applyFont="1" applyAlignment="1">
      <alignment horizontal="center"/>
    </xf>
    <xf numFmtId="0" fontId="165" fillId="0" borderId="5" xfId="162" applyFont="1" applyBorder="1" applyAlignment="1">
      <alignment wrapText="1"/>
    </xf>
    <xf numFmtId="0" fontId="6" fillId="0" borderId="0" xfId="163"/>
    <xf numFmtId="0" fontId="85" fillId="30" borderId="0" xfId="163" applyFont="1" applyFill="1" applyAlignment="1">
      <alignment horizontal="center"/>
    </xf>
    <xf numFmtId="0" fontId="150" fillId="0" borderId="107" xfId="163" applyFont="1" applyBorder="1" applyAlignment="1">
      <alignment horizontal="center" wrapText="1"/>
    </xf>
    <xf numFmtId="0" fontId="150" fillId="2" borderId="107" xfId="163" applyFont="1" applyFill="1" applyBorder="1" applyAlignment="1">
      <alignment horizontal="center" wrapText="1"/>
    </xf>
    <xf numFmtId="0" fontId="6" fillId="0" borderId="107" xfId="163" applyBorder="1" applyAlignment="1">
      <alignment vertical="top" wrapText="1"/>
    </xf>
    <xf numFmtId="0" fontId="6" fillId="30" borderId="0" xfId="163" applyFill="1" applyAlignment="1">
      <alignment horizontal="center" vertical="center" wrapText="1"/>
    </xf>
    <xf numFmtId="0" fontId="150" fillId="0" borderId="0" xfId="163" applyFont="1" applyAlignment="1">
      <alignment horizontal="center" wrapText="1"/>
    </xf>
    <xf numFmtId="0" fontId="153" fillId="0" borderId="107" xfId="163" applyFont="1" applyBorder="1" applyAlignment="1">
      <alignment horizontal="center" vertical="center" wrapText="1"/>
    </xf>
    <xf numFmtId="0" fontId="150" fillId="0" borderId="107" xfId="163" applyFont="1" applyBorder="1" applyAlignment="1">
      <alignment horizontal="justify" vertical="center" wrapText="1"/>
    </xf>
    <xf numFmtId="0" fontId="6" fillId="2" borderId="107" xfId="163" applyFill="1" applyBorder="1" applyAlignment="1">
      <alignment vertical="center"/>
    </xf>
    <xf numFmtId="0" fontId="6" fillId="0" borderId="107" xfId="163" applyBorder="1" applyAlignment="1">
      <alignment vertical="center"/>
    </xf>
    <xf numFmtId="0" fontId="6" fillId="2" borderId="107" xfId="163" applyFill="1" applyBorder="1" applyAlignment="1">
      <alignment vertical="top" wrapText="1"/>
    </xf>
    <xf numFmtId="0" fontId="6" fillId="0" borderId="107" xfId="163" applyBorder="1" applyAlignment="1">
      <alignment vertical="top"/>
    </xf>
    <xf numFmtId="0" fontId="153" fillId="0" borderId="107" xfId="163" applyFont="1" applyBorder="1" applyAlignment="1">
      <alignment horizontal="justify" vertical="center" wrapText="1"/>
    </xf>
    <xf numFmtId="1" fontId="6" fillId="0" borderId="107" xfId="163" applyNumberFormat="1" applyBorder="1" applyAlignment="1">
      <alignment vertical="center"/>
    </xf>
    <xf numFmtId="1" fontId="6" fillId="2" borderId="107" xfId="163" applyNumberFormat="1" applyFill="1" applyBorder="1" applyAlignment="1">
      <alignment vertical="center"/>
    </xf>
    <xf numFmtId="0" fontId="171" fillId="0" borderId="107" xfId="163" applyFont="1" applyBorder="1" applyAlignment="1">
      <alignment horizontal="justify" vertical="center" wrapText="1"/>
    </xf>
    <xf numFmtId="0" fontId="6" fillId="0" borderId="107" xfId="163" quotePrefix="1" applyBorder="1" applyAlignment="1">
      <alignment vertical="top" wrapText="1"/>
    </xf>
    <xf numFmtId="0" fontId="6" fillId="0" borderId="0" xfId="163" quotePrefix="1" applyAlignment="1">
      <alignment vertical="top" wrapText="1"/>
    </xf>
    <xf numFmtId="0" fontId="6" fillId="0" borderId="107" xfId="163" applyBorder="1" applyAlignment="1">
      <alignment horizontal="center"/>
    </xf>
    <xf numFmtId="0" fontId="6" fillId="0" borderId="107" xfId="163" applyBorder="1" applyAlignment="1">
      <alignment wrapText="1"/>
    </xf>
    <xf numFmtId="0" fontId="6" fillId="0" borderId="0" xfId="163" applyAlignment="1">
      <alignment horizontal="center" vertical="center" wrapText="1"/>
    </xf>
    <xf numFmtId="0" fontId="153" fillId="0" borderId="107" xfId="163" applyFont="1" applyBorder="1" applyAlignment="1">
      <alignment vertical="center" wrapText="1"/>
    </xf>
    <xf numFmtId="0" fontId="6" fillId="0" borderId="107" xfId="163" applyBorder="1"/>
    <xf numFmtId="0" fontId="6" fillId="2" borderId="107" xfId="163" applyFill="1" applyBorder="1"/>
    <xf numFmtId="182" fontId="6" fillId="2" borderId="107" xfId="163" applyNumberFormat="1" applyFill="1" applyBorder="1" applyAlignment="1">
      <alignment vertical="center"/>
    </xf>
    <xf numFmtId="0" fontId="6" fillId="2" borderId="107" xfId="163" applyFill="1" applyBorder="1" applyAlignment="1">
      <alignment wrapText="1"/>
    </xf>
    <xf numFmtId="1" fontId="6" fillId="2" borderId="107" xfId="163" applyNumberFormat="1" applyFill="1" applyBorder="1"/>
    <xf numFmtId="0" fontId="6" fillId="0" borderId="113" xfId="163" applyBorder="1" applyAlignment="1">
      <alignment vertical="center"/>
    </xf>
    <xf numFmtId="2" fontId="6" fillId="0" borderId="0" xfId="163" applyNumberFormat="1"/>
    <xf numFmtId="0" fontId="150" fillId="0" borderId="57" xfId="163" applyFont="1" applyBorder="1" applyAlignment="1">
      <alignment vertical="center"/>
    </xf>
    <xf numFmtId="0" fontId="6" fillId="0" borderId="0" xfId="164"/>
    <xf numFmtId="0" fontId="6" fillId="0" borderId="0" xfId="164" applyAlignment="1">
      <alignment horizontal="center"/>
    </xf>
    <xf numFmtId="0" fontId="150" fillId="0" borderId="107" xfId="164" applyFont="1" applyBorder="1" applyAlignment="1">
      <alignment horizontal="center" wrapText="1"/>
    </xf>
    <xf numFmtId="0" fontId="6" fillId="30" borderId="0" xfId="164" applyFill="1" applyAlignment="1">
      <alignment horizontal="center" vertical="center" wrapText="1"/>
    </xf>
    <xf numFmtId="0" fontId="150" fillId="0" borderId="109" xfId="163" applyFont="1" applyBorder="1" applyAlignment="1">
      <alignment horizontal="center" wrapText="1"/>
    </xf>
    <xf numFmtId="9" fontId="6" fillId="0" borderId="0" xfId="163" applyNumberFormat="1" applyAlignment="1">
      <alignment horizontal="center"/>
    </xf>
    <xf numFmtId="9" fontId="6" fillId="2" borderId="0" xfId="163" applyNumberFormat="1" applyFill="1" applyAlignment="1">
      <alignment horizontal="center"/>
    </xf>
    <xf numFmtId="0" fontId="150" fillId="0" borderId="107" xfId="164" applyFont="1" applyBorder="1" applyAlignment="1">
      <alignment vertical="center" wrapText="1"/>
    </xf>
    <xf numFmtId="0" fontId="6" fillId="0" borderId="107" xfId="164" applyBorder="1"/>
    <xf numFmtId="0" fontId="150" fillId="0" borderId="107" xfId="164" applyFont="1" applyBorder="1" applyAlignment="1">
      <alignment horizontal="justify" vertical="center" wrapText="1"/>
    </xf>
    <xf numFmtId="0" fontId="153" fillId="0" borderId="107" xfId="164" applyFont="1" applyBorder="1" applyAlignment="1">
      <alignment wrapText="1"/>
    </xf>
    <xf numFmtId="0" fontId="153" fillId="0" borderId="107" xfId="164" applyFont="1" applyBorder="1" applyAlignment="1">
      <alignment horizontal="center" wrapText="1"/>
    </xf>
    <xf numFmtId="1" fontId="153" fillId="0" borderId="107" xfId="164" applyNumberFormat="1" applyFont="1" applyBorder="1" applyAlignment="1">
      <alignment horizontal="center"/>
    </xf>
    <xf numFmtId="2" fontId="153" fillId="2" borderId="107" xfId="164" applyNumberFormat="1" applyFont="1" applyFill="1" applyBorder="1" applyAlignment="1">
      <alignment wrapText="1"/>
    </xf>
    <xf numFmtId="2" fontId="153" fillId="0" borderId="107" xfId="164" applyNumberFormat="1" applyFont="1" applyBorder="1" applyAlignment="1">
      <alignment wrapText="1"/>
    </xf>
    <xf numFmtId="49" fontId="83" fillId="0" borderId="107" xfId="164" applyNumberFormat="1" applyFont="1" applyBorder="1" applyAlignment="1">
      <alignment wrapText="1"/>
    </xf>
    <xf numFmtId="2" fontId="153" fillId="0" borderId="107" xfId="164" applyNumberFormat="1" applyFont="1" applyBorder="1"/>
    <xf numFmtId="49" fontId="153" fillId="0" borderId="109" xfId="164" applyNumberFormat="1" applyFont="1" applyBorder="1" applyAlignment="1">
      <alignment wrapText="1"/>
    </xf>
    <xf numFmtId="0" fontId="150" fillId="0" borderId="110" xfId="164" applyFont="1" applyBorder="1" applyAlignment="1">
      <alignment vertical="center" wrapText="1"/>
    </xf>
    <xf numFmtId="0" fontId="153" fillId="0" borderId="109" xfId="164" applyFont="1" applyBorder="1"/>
    <xf numFmtId="0" fontId="153" fillId="0" borderId="107" xfId="164" applyFont="1" applyBorder="1" applyAlignment="1">
      <alignment vertical="center" wrapText="1"/>
    </xf>
    <xf numFmtId="167" fontId="46" fillId="0" borderId="107" xfId="164" applyNumberFormat="1" applyFont="1" applyBorder="1" applyAlignment="1">
      <alignment wrapText="1"/>
    </xf>
    <xf numFmtId="167" fontId="118" fillId="0" borderId="109" xfId="164" applyNumberFormat="1" applyFont="1" applyBorder="1" applyAlignment="1">
      <alignment wrapText="1"/>
    </xf>
    <xf numFmtId="0" fontId="153" fillId="0" borderId="107" xfId="164" applyFont="1" applyBorder="1" applyAlignment="1">
      <alignment horizontal="justify" vertical="center" wrapText="1"/>
    </xf>
    <xf numFmtId="0" fontId="126" fillId="0" borderId="107" xfId="164" applyFont="1" applyBorder="1" applyAlignment="1">
      <alignment horizontal="center" wrapText="1"/>
    </xf>
    <xf numFmtId="49" fontId="83" fillId="0" borderId="107" xfId="164" applyNumberFormat="1" applyFont="1" applyBorder="1"/>
    <xf numFmtId="49" fontId="153" fillId="0" borderId="109" xfId="164" applyNumberFormat="1" applyFont="1" applyBorder="1"/>
    <xf numFmtId="0" fontId="150" fillId="6" borderId="107" xfId="164" applyFont="1" applyFill="1" applyBorder="1" applyAlignment="1">
      <alignment vertical="center" wrapText="1"/>
    </xf>
    <xf numFmtId="0" fontId="153" fillId="6" borderId="107" xfId="164" applyFont="1" applyFill="1" applyBorder="1" applyAlignment="1">
      <alignment horizontal="justify" vertical="center" wrapText="1"/>
    </xf>
    <xf numFmtId="0" fontId="153" fillId="6" borderId="107" xfId="164" applyFont="1" applyFill="1" applyBorder="1" applyAlignment="1">
      <alignment wrapText="1"/>
    </xf>
    <xf numFmtId="0" fontId="153" fillId="6" borderId="107" xfId="164" applyFont="1" applyFill="1" applyBorder="1" applyAlignment="1">
      <alignment horizontal="center" wrapText="1"/>
    </xf>
    <xf numFmtId="185" fontId="153" fillId="2" borderId="107" xfId="164" applyNumberFormat="1" applyFont="1" applyFill="1" applyBorder="1" applyAlignment="1">
      <alignment wrapText="1"/>
    </xf>
    <xf numFmtId="0" fontId="150" fillId="6" borderId="107" xfId="164" applyFont="1" applyFill="1" applyBorder="1" applyAlignment="1">
      <alignment horizontal="justify" vertical="center" wrapText="1"/>
    </xf>
    <xf numFmtId="0" fontId="153" fillId="6" borderId="107" xfId="164" applyFont="1" applyFill="1" applyBorder="1" applyAlignment="1">
      <alignment vertical="center" wrapText="1"/>
    </xf>
    <xf numFmtId="0" fontId="153" fillId="6" borderId="107" xfId="164" applyFont="1" applyFill="1" applyBorder="1" applyAlignment="1">
      <alignment horizontal="right" vertical="center" wrapText="1"/>
    </xf>
    <xf numFmtId="49" fontId="83" fillId="0" borderId="107" xfId="164" applyNumberFormat="1" applyFont="1" applyBorder="1" applyAlignment="1">
      <alignment vertical="top" wrapText="1"/>
    </xf>
    <xf numFmtId="49" fontId="153" fillId="0" borderId="109" xfId="164" applyNumberFormat="1" applyFont="1" applyBorder="1" applyAlignment="1">
      <alignment vertical="top" wrapText="1"/>
    </xf>
    <xf numFmtId="2" fontId="153" fillId="0" borderId="107" xfId="164" applyNumberFormat="1" applyFont="1" applyBorder="1" applyAlignment="1">
      <alignment horizontal="center"/>
    </xf>
    <xf numFmtId="167" fontId="46" fillId="0" borderId="107" xfId="164" applyNumberFormat="1" applyFont="1" applyBorder="1" applyAlignment="1">
      <alignment horizontal="left" wrapText="1"/>
    </xf>
    <xf numFmtId="167" fontId="118" fillId="0" borderId="109" xfId="164" applyNumberFormat="1" applyFont="1" applyBorder="1" applyAlignment="1">
      <alignment horizontal="left" wrapText="1"/>
    </xf>
    <xf numFmtId="2" fontId="153" fillId="0" borderId="113" xfId="164" applyNumberFormat="1" applyFont="1" applyBorder="1" applyAlignment="1">
      <alignment wrapText="1"/>
    </xf>
    <xf numFmtId="2" fontId="165" fillId="0" borderId="107" xfId="164" applyNumberFormat="1" applyFont="1" applyBorder="1" applyAlignment="1">
      <alignment wrapText="1"/>
    </xf>
    <xf numFmtId="0" fontId="165" fillId="0" borderId="0" xfId="164" applyFont="1" applyAlignment="1">
      <alignment wrapText="1"/>
    </xf>
    <xf numFmtId="2" fontId="150" fillId="0" borderId="57" xfId="164" applyNumberFormat="1" applyFont="1" applyBorder="1" applyAlignment="1">
      <alignment vertical="center"/>
    </xf>
    <xf numFmtId="2" fontId="150" fillId="0" borderId="58" xfId="164" applyNumberFormat="1" applyFont="1" applyBorder="1" applyAlignment="1">
      <alignment vertical="center"/>
    </xf>
    <xf numFmtId="167" fontId="47" fillId="0" borderId="0" xfId="22" applyFont="1" applyAlignment="1">
      <alignment vertical="center" wrapText="1"/>
    </xf>
    <xf numFmtId="167" fontId="41" fillId="0" borderId="0" xfId="22" applyFont="1" applyAlignment="1">
      <alignment vertical="center" wrapText="1"/>
    </xf>
    <xf numFmtId="167" fontId="46" fillId="4" borderId="0" xfId="22" applyFill="1" applyAlignment="1">
      <alignment vertical="center"/>
    </xf>
    <xf numFmtId="170" fontId="46" fillId="4" borderId="0" xfId="22" applyNumberFormat="1" applyFill="1" applyAlignment="1">
      <alignment vertical="center" wrapText="1"/>
    </xf>
    <xf numFmtId="167" fontId="124" fillId="7" borderId="123" xfId="22" applyFont="1" applyFill="1" applyBorder="1" applyAlignment="1">
      <alignment vertical="center" wrapText="1"/>
    </xf>
    <xf numFmtId="167" fontId="124" fillId="7" borderId="0" xfId="22" applyFont="1" applyFill="1" applyAlignment="1">
      <alignment vertical="center" wrapText="1"/>
    </xf>
    <xf numFmtId="167" fontId="115" fillId="8" borderId="80" xfId="22" applyFont="1" applyFill="1" applyBorder="1" applyAlignment="1">
      <alignment vertical="center" wrapText="1"/>
    </xf>
    <xf numFmtId="167" fontId="47" fillId="6" borderId="0" xfId="22" applyFont="1" applyFill="1" applyAlignment="1">
      <alignment horizontal="left" vertical="center" wrapText="1"/>
    </xf>
    <xf numFmtId="170" fontId="41" fillId="0" borderId="0" xfId="22" applyNumberFormat="1" applyFont="1" applyAlignment="1">
      <alignment vertical="center" wrapText="1"/>
    </xf>
    <xf numFmtId="0" fontId="85" fillId="0" borderId="0" xfId="211" applyFont="1"/>
    <xf numFmtId="0" fontId="5" fillId="0" borderId="0" xfId="211"/>
    <xf numFmtId="0" fontId="5" fillId="0" borderId="0" xfId="211" applyAlignment="1">
      <alignment vertical="top"/>
    </xf>
    <xf numFmtId="1" fontId="150" fillId="0" borderId="0" xfId="211" applyNumberFormat="1" applyFont="1" applyAlignment="1">
      <alignment horizontal="center" vertical="center" wrapText="1"/>
    </xf>
    <xf numFmtId="167" fontId="150" fillId="0" borderId="0" xfId="211" applyNumberFormat="1" applyFont="1" applyAlignment="1">
      <alignment horizontal="center" vertical="center" wrapText="1"/>
    </xf>
    <xf numFmtId="1" fontId="153" fillId="0" borderId="0" xfId="211" applyNumberFormat="1" applyFont="1" applyAlignment="1">
      <alignment horizontal="center" vertical="center" wrapText="1"/>
    </xf>
    <xf numFmtId="167" fontId="153" fillId="0" borderId="0" xfId="211" applyNumberFormat="1" applyFont="1" applyAlignment="1">
      <alignment horizontal="center" vertical="center" wrapText="1"/>
    </xf>
    <xf numFmtId="0" fontId="150" fillId="0" borderId="107" xfId="211" applyFont="1" applyBorder="1" applyAlignment="1">
      <alignment horizontal="justify" vertical="center" wrapText="1"/>
    </xf>
    <xf numFmtId="0" fontId="150" fillId="0" borderId="58" xfId="211" applyFont="1" applyBorder="1" applyAlignment="1">
      <alignment horizontal="justify" vertical="center" wrapText="1"/>
    </xf>
    <xf numFmtId="1" fontId="150" fillId="0" borderId="0" xfId="213" applyNumberFormat="1" applyFont="1" applyAlignment="1">
      <alignment horizontal="center" vertical="center" wrapText="1"/>
    </xf>
    <xf numFmtId="0" fontId="5" fillId="0" borderId="107" xfId="211" applyBorder="1"/>
    <xf numFmtId="0" fontId="153" fillId="0" borderId="107" xfId="214" applyFont="1" applyBorder="1" applyAlignment="1">
      <alignment horizontal="center" vertical="center" wrapText="1"/>
    </xf>
    <xf numFmtId="0" fontId="150" fillId="0" borderId="110" xfId="215" applyFont="1" applyBorder="1" applyAlignment="1">
      <alignment vertical="top" wrapText="1"/>
    </xf>
    <xf numFmtId="0" fontId="150" fillId="0" borderId="115" xfId="214" applyFont="1" applyBorder="1" applyAlignment="1">
      <alignment horizontal="center" wrapText="1"/>
    </xf>
    <xf numFmtId="0" fontId="150" fillId="0" borderId="0" xfId="214" applyFont="1" applyAlignment="1">
      <alignment horizontal="center" wrapText="1"/>
    </xf>
    <xf numFmtId="167" fontId="150" fillId="0" borderId="0" xfId="214" applyNumberFormat="1" applyFont="1" applyAlignment="1">
      <alignment horizontal="center" wrapText="1"/>
    </xf>
    <xf numFmtId="1" fontId="150" fillId="0" borderId="0" xfId="214" applyNumberFormat="1" applyFont="1" applyAlignment="1">
      <alignment horizontal="center" vertical="center" wrapText="1"/>
    </xf>
    <xf numFmtId="0" fontId="150" fillId="0" borderId="124" xfId="214" applyFont="1" applyBorder="1" applyAlignment="1">
      <alignment horizontal="center" vertical="center" wrapText="1"/>
    </xf>
    <xf numFmtId="0" fontId="150" fillId="0" borderId="124" xfId="215" applyFont="1" applyBorder="1" applyAlignment="1">
      <alignment vertical="center" wrapText="1"/>
    </xf>
    <xf numFmtId="0" fontId="150" fillId="0" borderId="124" xfId="215" applyFont="1" applyBorder="1" applyAlignment="1">
      <alignment horizontal="justify" vertical="center" wrapText="1"/>
    </xf>
    <xf numFmtId="0" fontId="150" fillId="6" borderId="124" xfId="215" applyFont="1" applyFill="1" applyBorder="1" applyAlignment="1">
      <alignment vertical="center" wrapText="1"/>
    </xf>
    <xf numFmtId="167" fontId="155" fillId="0" borderId="0" xfId="0" applyFont="1" applyAlignment="1">
      <alignment horizontal="left" vertical="top"/>
    </xf>
    <xf numFmtId="2" fontId="179" fillId="0" borderId="0" xfId="0" applyNumberFormat="1" applyFont="1" applyAlignment="1">
      <alignment horizontal="right" vertical="top"/>
    </xf>
    <xf numFmtId="167" fontId="118" fillId="0" borderId="0" xfId="0" applyFont="1" applyAlignment="1">
      <alignment vertical="center" wrapText="1"/>
    </xf>
    <xf numFmtId="167" fontId="118" fillId="0" borderId="0" xfId="0" applyFont="1" applyAlignment="1">
      <alignment vertical="top" wrapText="1"/>
    </xf>
    <xf numFmtId="167" fontId="155" fillId="0" borderId="0" xfId="0" applyFont="1"/>
    <xf numFmtId="167" fontId="155" fillId="0" borderId="0" xfId="0" applyFont="1" applyAlignment="1">
      <alignment horizontal="center"/>
    </xf>
    <xf numFmtId="2" fontId="154" fillId="0" borderId="0" xfId="0" applyNumberFormat="1" applyFont="1" applyAlignment="1">
      <alignment horizontal="right" vertical="top"/>
    </xf>
    <xf numFmtId="2" fontId="118" fillId="0" borderId="0" xfId="0" applyNumberFormat="1" applyFont="1" applyAlignment="1">
      <alignment horizontal="right" vertical="center"/>
    </xf>
    <xf numFmtId="2" fontId="118" fillId="0" borderId="0" xfId="0" applyNumberFormat="1" applyFont="1" applyAlignment="1">
      <alignment horizontal="right" vertical="top"/>
    </xf>
    <xf numFmtId="167" fontId="158" fillId="0" borderId="0" xfId="0" applyFont="1"/>
    <xf numFmtId="167" fontId="118" fillId="0" borderId="0" xfId="0" applyFont="1" applyAlignment="1">
      <alignment horizontal="center" vertical="center" wrapText="1"/>
    </xf>
    <xf numFmtId="2" fontId="148" fillId="0" borderId="0" xfId="0" applyNumberFormat="1" applyFont="1" applyAlignment="1">
      <alignment horizontal="right"/>
    </xf>
    <xf numFmtId="1" fontId="148" fillId="0" borderId="131" xfId="0" applyNumberFormat="1" applyFont="1" applyBorder="1" applyAlignment="1">
      <alignment horizontal="center" vertical="center"/>
    </xf>
    <xf numFmtId="167" fontId="155" fillId="0" borderId="119" xfId="0" applyFont="1" applyBorder="1" applyAlignment="1">
      <alignment horizontal="left" vertical="top"/>
    </xf>
    <xf numFmtId="10" fontId="150" fillId="0" borderId="107" xfId="3" applyNumberFormat="1" applyFont="1" applyFill="1" applyBorder="1" applyAlignment="1">
      <alignment horizontal="center" vertical="top"/>
    </xf>
    <xf numFmtId="10" fontId="150" fillId="0" borderId="107" xfId="3" applyNumberFormat="1" applyFont="1" applyFill="1" applyBorder="1" applyAlignment="1">
      <alignment horizontal="center" vertical="center"/>
    </xf>
    <xf numFmtId="167" fontId="153" fillId="0" borderId="107" xfId="0" applyFont="1" applyBorder="1" applyAlignment="1">
      <alignment horizontal="center" vertical="center"/>
    </xf>
    <xf numFmtId="167" fontId="150" fillId="0" borderId="107" xfId="0" applyFont="1" applyBorder="1" applyAlignment="1">
      <alignment horizontal="center" vertical="center"/>
    </xf>
    <xf numFmtId="0" fontId="153" fillId="0" borderId="0" xfId="211" applyFont="1" applyAlignment="1">
      <alignment horizontal="center" vertical="center" wrapText="1"/>
    </xf>
    <xf numFmtId="0" fontId="150" fillId="2" borderId="0" xfId="211" applyFont="1" applyFill="1" applyAlignment="1">
      <alignment horizontal="center" vertical="center" wrapText="1"/>
    </xf>
    <xf numFmtId="167" fontId="150" fillId="0" borderId="0" xfId="213" applyNumberFormat="1" applyFont="1" applyAlignment="1">
      <alignment horizontal="center" vertical="center" wrapText="1"/>
    </xf>
    <xf numFmtId="0" fontId="150" fillId="0" borderId="0" xfId="214" applyFont="1" applyAlignment="1">
      <alignment horizontal="center" vertical="center" wrapText="1"/>
    </xf>
    <xf numFmtId="167" fontId="150" fillId="0" borderId="0" xfId="214" applyNumberFormat="1" applyFont="1" applyAlignment="1">
      <alignment horizontal="center" vertical="center" wrapText="1"/>
    </xf>
    <xf numFmtId="0" fontId="153" fillId="0" borderId="0" xfId="214" applyFont="1" applyAlignment="1">
      <alignment horizontal="center" vertical="center" wrapText="1"/>
    </xf>
    <xf numFmtId="0" fontId="150" fillId="0" borderId="0" xfId="215" applyFont="1" applyAlignment="1">
      <alignment horizontal="center" vertical="top" wrapText="1"/>
    </xf>
    <xf numFmtId="167" fontId="150" fillId="0" borderId="0" xfId="213" applyNumberFormat="1" applyFont="1" applyAlignment="1">
      <alignment horizontal="center" vertical="top" wrapText="1"/>
    </xf>
    <xf numFmtId="167" fontId="150" fillId="0" borderId="0" xfId="215" applyNumberFormat="1" applyFont="1" applyAlignment="1">
      <alignment vertical="center" wrapText="1"/>
    </xf>
    <xf numFmtId="0" fontId="153" fillId="0" borderId="0" xfId="215" applyFont="1" applyAlignment="1">
      <alignment horizontal="center" vertical="center" wrapText="1"/>
    </xf>
    <xf numFmtId="167" fontId="153" fillId="0" borderId="0" xfId="215" applyNumberFormat="1" applyFont="1" applyAlignment="1">
      <alignment horizontal="center" vertical="center" wrapText="1"/>
    </xf>
    <xf numFmtId="0" fontId="150" fillId="0" borderId="0" xfId="215" applyFont="1" applyAlignment="1">
      <alignment horizontal="center" vertical="center" wrapText="1"/>
    </xf>
    <xf numFmtId="0" fontId="150" fillId="0" borderId="0" xfId="215" applyFont="1" applyAlignment="1">
      <alignment horizontal="justify" vertical="top" wrapText="1"/>
    </xf>
    <xf numFmtId="0" fontId="153" fillId="6" borderId="0" xfId="215" applyFont="1" applyFill="1" applyAlignment="1">
      <alignment horizontal="center" vertical="center" wrapText="1"/>
    </xf>
    <xf numFmtId="167" fontId="153" fillId="0" borderId="0" xfId="0" applyFont="1" applyAlignment="1">
      <alignment horizontal="center" vertical="center"/>
    </xf>
    <xf numFmtId="167" fontId="155" fillId="0" borderId="65" xfId="0" applyFont="1" applyBorder="1" applyAlignment="1">
      <alignment horizontal="left" vertical="top"/>
    </xf>
    <xf numFmtId="0" fontId="150" fillId="0" borderId="115" xfId="215" applyFont="1" applyBorder="1" applyAlignment="1">
      <alignment horizontal="center" vertical="top" wrapText="1"/>
    </xf>
    <xf numFmtId="1" fontId="150" fillId="0" borderId="119" xfId="211" applyNumberFormat="1" applyFont="1" applyBorder="1" applyAlignment="1">
      <alignment horizontal="center" vertical="center" wrapText="1"/>
    </xf>
    <xf numFmtId="1" fontId="153" fillId="0" borderId="119" xfId="211" applyNumberFormat="1" applyFont="1" applyBorder="1" applyAlignment="1">
      <alignment horizontal="center" vertical="center" wrapText="1"/>
    </xf>
    <xf numFmtId="1" fontId="150" fillId="0" borderId="119" xfId="213" applyNumberFormat="1" applyFont="1" applyBorder="1" applyAlignment="1">
      <alignment horizontal="center" vertical="center" wrapText="1"/>
    </xf>
    <xf numFmtId="1" fontId="150" fillId="0" borderId="119" xfId="214" applyNumberFormat="1" applyFont="1" applyBorder="1" applyAlignment="1">
      <alignment horizontal="center" vertical="center" wrapText="1"/>
    </xf>
    <xf numFmtId="1" fontId="150" fillId="0" borderId="119" xfId="213" applyNumberFormat="1" applyFont="1" applyBorder="1" applyAlignment="1">
      <alignment horizontal="center" vertical="top" wrapText="1"/>
    </xf>
    <xf numFmtId="1" fontId="150" fillId="0" borderId="119" xfId="214" applyNumberFormat="1" applyFont="1" applyBorder="1" applyAlignment="1">
      <alignment horizontal="center" wrapText="1"/>
    </xf>
    <xf numFmtId="1" fontId="150" fillId="0" borderId="119" xfId="215" applyNumberFormat="1" applyFont="1" applyBorder="1" applyAlignment="1">
      <alignment vertical="center" wrapText="1"/>
    </xf>
    <xf numFmtId="1" fontId="153" fillId="0" borderId="119" xfId="215" applyNumberFormat="1" applyFont="1" applyBorder="1" applyAlignment="1">
      <alignment horizontal="center" vertical="center" wrapText="1"/>
    </xf>
    <xf numFmtId="0" fontId="150" fillId="2" borderId="119" xfId="211" applyFont="1" applyFill="1" applyBorder="1" applyAlignment="1">
      <alignment horizontal="center" vertical="center" wrapText="1"/>
    </xf>
    <xf numFmtId="0" fontId="153" fillId="0" borderId="119" xfId="211" applyFont="1" applyBorder="1" applyAlignment="1">
      <alignment horizontal="center" vertical="center" wrapText="1"/>
    </xf>
    <xf numFmtId="0" fontId="150" fillId="0" borderId="119" xfId="214" applyFont="1" applyBorder="1" applyAlignment="1">
      <alignment horizontal="center" vertical="center" wrapText="1"/>
    </xf>
    <xf numFmtId="0" fontId="153" fillId="0" borderId="119" xfId="214" applyFont="1" applyBorder="1" applyAlignment="1">
      <alignment horizontal="center" vertical="center" wrapText="1"/>
    </xf>
    <xf numFmtId="0" fontId="153" fillId="0" borderId="119" xfId="215" applyFont="1" applyBorder="1" applyAlignment="1">
      <alignment horizontal="center" vertical="center" wrapText="1"/>
    </xf>
    <xf numFmtId="0" fontId="150" fillId="0" borderId="119" xfId="215" applyFont="1" applyBorder="1" applyAlignment="1">
      <alignment horizontal="center" vertical="center" wrapText="1"/>
    </xf>
    <xf numFmtId="0" fontId="153" fillId="6" borderId="119" xfId="215" applyFont="1" applyFill="1" applyBorder="1" applyAlignment="1">
      <alignment horizontal="center" vertical="center" wrapText="1"/>
    </xf>
    <xf numFmtId="0" fontId="150" fillId="2" borderId="93" xfId="211" applyFont="1" applyFill="1" applyBorder="1" applyAlignment="1">
      <alignment horizontal="center" vertical="center" wrapText="1"/>
    </xf>
    <xf numFmtId="0" fontId="150" fillId="0" borderId="93" xfId="211" applyFont="1" applyBorder="1" applyAlignment="1">
      <alignment horizontal="center" wrapText="1"/>
    </xf>
    <xf numFmtId="0" fontId="150" fillId="2" borderId="93" xfId="211" applyFont="1" applyFill="1" applyBorder="1" applyAlignment="1">
      <alignment horizontal="justify" vertical="center" wrapText="1"/>
    </xf>
    <xf numFmtId="0" fontId="150" fillId="0" borderId="93" xfId="214" applyFont="1" applyBorder="1" applyAlignment="1">
      <alignment horizontal="center" wrapText="1"/>
    </xf>
    <xf numFmtId="0" fontId="150" fillId="0" borderId="93" xfId="214" applyFont="1" applyBorder="1" applyAlignment="1">
      <alignment horizontal="center" vertical="center" wrapText="1"/>
    </xf>
    <xf numFmtId="0" fontId="150" fillId="0" borderId="93" xfId="215" applyFont="1" applyBorder="1" applyAlignment="1">
      <alignment vertical="center" wrapText="1"/>
    </xf>
    <xf numFmtId="0" fontId="150" fillId="0" borderId="93" xfId="215" applyFont="1" applyBorder="1" applyAlignment="1">
      <alignment horizontal="justify" vertical="center" wrapText="1"/>
    </xf>
    <xf numFmtId="0" fontId="150" fillId="6" borderId="93" xfId="215" applyFont="1" applyFill="1" applyBorder="1" applyAlignment="1">
      <alignment vertical="center" wrapText="1"/>
    </xf>
    <xf numFmtId="0" fontId="150" fillId="6" borderId="93" xfId="215" applyFont="1" applyFill="1" applyBorder="1" applyAlignment="1">
      <alignment horizontal="right" vertical="center" wrapText="1"/>
    </xf>
    <xf numFmtId="0" fontId="125" fillId="0" borderId="119" xfId="211" applyFont="1" applyBorder="1"/>
    <xf numFmtId="0" fontId="125" fillId="0" borderId="65" xfId="211" applyFont="1" applyBorder="1"/>
    <xf numFmtId="0" fontId="182" fillId="0" borderId="119" xfId="211" applyFont="1" applyBorder="1"/>
    <xf numFmtId="0" fontId="182" fillId="0" borderId="65" xfId="211" applyFont="1" applyBorder="1"/>
    <xf numFmtId="1" fontId="125" fillId="0" borderId="119" xfId="211" applyNumberFormat="1" applyFont="1" applyBorder="1" applyAlignment="1">
      <alignment horizontal="center" vertical="center"/>
    </xf>
    <xf numFmtId="167" fontId="125" fillId="0" borderId="0" xfId="211" applyNumberFormat="1" applyFont="1" applyAlignment="1">
      <alignment horizontal="center" vertical="center"/>
    </xf>
    <xf numFmtId="1" fontId="125" fillId="0" borderId="0" xfId="211" applyNumberFormat="1" applyFont="1" applyAlignment="1">
      <alignment horizontal="center" vertical="center"/>
    </xf>
    <xf numFmtId="1" fontId="125" fillId="0" borderId="119" xfId="214" applyNumberFormat="1" applyFont="1" applyBorder="1" applyAlignment="1">
      <alignment horizontal="center" vertical="center"/>
    </xf>
    <xf numFmtId="167" fontId="125" fillId="0" borderId="0" xfId="214" applyNumberFormat="1" applyFont="1" applyAlignment="1">
      <alignment horizontal="center" vertical="center"/>
    </xf>
    <xf numFmtId="2" fontId="125" fillId="0" borderId="119" xfId="214" applyNumberFormat="1" applyFont="1" applyBorder="1" applyAlignment="1">
      <alignment horizontal="center" vertical="center" wrapText="1"/>
    </xf>
    <xf numFmtId="2" fontId="125" fillId="0" borderId="0" xfId="214" applyNumberFormat="1" applyFont="1" applyAlignment="1">
      <alignment horizontal="center" vertical="center" wrapText="1"/>
    </xf>
    <xf numFmtId="1" fontId="125" fillId="0" borderId="119" xfId="214" applyNumberFormat="1" applyFont="1" applyBorder="1" applyAlignment="1">
      <alignment horizontal="center" vertical="center" wrapText="1"/>
    </xf>
    <xf numFmtId="1" fontId="125" fillId="0" borderId="0" xfId="214" applyNumberFormat="1" applyFont="1" applyAlignment="1">
      <alignment horizontal="center" vertical="center" wrapText="1"/>
    </xf>
    <xf numFmtId="1" fontId="125" fillId="0" borderId="119" xfId="214" applyNumberFormat="1" applyFont="1" applyBorder="1"/>
    <xf numFmtId="167" fontId="125" fillId="0" borderId="0" xfId="214" applyNumberFormat="1" applyFont="1"/>
    <xf numFmtId="1" fontId="125" fillId="0" borderId="0" xfId="214" applyNumberFormat="1" applyFont="1" applyAlignment="1">
      <alignment vertical="center" wrapText="1"/>
    </xf>
    <xf numFmtId="1" fontId="125" fillId="0" borderId="119" xfId="214" applyNumberFormat="1" applyFont="1" applyBorder="1" applyAlignment="1">
      <alignment vertical="center" wrapText="1"/>
    </xf>
    <xf numFmtId="1" fontId="125" fillId="0" borderId="119" xfId="211" applyNumberFormat="1" applyFont="1" applyBorder="1"/>
    <xf numFmtId="167" fontId="125" fillId="0" borderId="0" xfId="211" applyNumberFormat="1" applyFont="1"/>
    <xf numFmtId="0" fontId="125" fillId="0" borderId="119" xfId="211" applyFont="1" applyBorder="1" applyAlignment="1">
      <alignment vertical="top"/>
    </xf>
    <xf numFmtId="0" fontId="125" fillId="0" borderId="65" xfId="211" applyFont="1" applyBorder="1" applyAlignment="1">
      <alignment vertical="top"/>
    </xf>
    <xf numFmtId="167" fontId="153" fillId="0" borderId="119" xfId="0" applyFont="1" applyBorder="1" applyAlignment="1">
      <alignment horizontal="center" vertical="center"/>
    </xf>
    <xf numFmtId="167" fontId="153" fillId="0" borderId="0" xfId="0" applyFont="1" applyAlignment="1">
      <alignment horizontal="left" vertical="top"/>
    </xf>
    <xf numFmtId="167" fontId="153" fillId="0" borderId="119" xfId="0" applyFont="1" applyBorder="1" applyAlignment="1">
      <alignment horizontal="left" vertical="top"/>
    </xf>
    <xf numFmtId="167" fontId="153" fillId="0" borderId="65" xfId="0" applyFont="1" applyBorder="1" applyAlignment="1">
      <alignment horizontal="left" vertical="top"/>
    </xf>
    <xf numFmtId="0" fontId="182" fillId="0" borderId="93" xfId="211" applyFont="1" applyBorder="1"/>
    <xf numFmtId="0" fontId="125" fillId="0" borderId="0" xfId="211" applyFont="1"/>
    <xf numFmtId="0" fontId="125" fillId="0" borderId="119" xfId="211" applyFont="1" applyBorder="1" applyAlignment="1">
      <alignment horizontal="center" vertical="center"/>
    </xf>
    <xf numFmtId="0" fontId="125" fillId="0" borderId="0" xfId="211" applyFont="1" applyAlignment="1">
      <alignment horizontal="center" vertical="center"/>
    </xf>
    <xf numFmtId="0" fontId="182" fillId="2" borderId="93" xfId="211" applyFont="1" applyFill="1" applyBorder="1"/>
    <xf numFmtId="0" fontId="125" fillId="2" borderId="119" xfId="211" applyFont="1" applyFill="1" applyBorder="1" applyAlignment="1">
      <alignment horizontal="center" vertical="center"/>
    </xf>
    <xf numFmtId="0" fontId="125" fillId="2" borderId="0" xfId="211" applyFont="1" applyFill="1" applyAlignment="1">
      <alignment horizontal="center" vertical="center"/>
    </xf>
    <xf numFmtId="0" fontId="182" fillId="0" borderId="0" xfId="213" applyFont="1" applyAlignment="1">
      <alignment horizontal="center" vertical="center" wrapText="1"/>
    </xf>
    <xf numFmtId="0" fontId="150" fillId="3" borderId="93" xfId="0" applyNumberFormat="1" applyFont="1" applyFill="1" applyBorder="1" applyAlignment="1">
      <alignment horizontal="center" vertical="top" wrapText="1"/>
    </xf>
    <xf numFmtId="0" fontId="150" fillId="3" borderId="0" xfId="0" applyNumberFormat="1" applyFont="1" applyFill="1" applyAlignment="1">
      <alignment vertical="top" wrapText="1"/>
    </xf>
    <xf numFmtId="0" fontId="182" fillId="0" borderId="93" xfId="214" applyFont="1" applyBorder="1"/>
    <xf numFmtId="0" fontId="125" fillId="0" borderId="0" xfId="214" applyFont="1" applyAlignment="1">
      <alignment horizontal="center" vertical="center"/>
    </xf>
    <xf numFmtId="0" fontId="182" fillId="0" borderId="115" xfId="214" applyFont="1" applyBorder="1"/>
    <xf numFmtId="0" fontId="125" fillId="0" borderId="0" xfId="214" applyFont="1"/>
    <xf numFmtId="0" fontId="182" fillId="0" borderId="0" xfId="214" applyFont="1" applyAlignment="1">
      <alignment horizontal="right"/>
    </xf>
    <xf numFmtId="0" fontId="182" fillId="0" borderId="115" xfId="211" applyFont="1" applyBorder="1"/>
    <xf numFmtId="0" fontId="150" fillId="3" borderId="115" xfId="0" applyNumberFormat="1" applyFont="1" applyFill="1" applyBorder="1" applyAlignment="1">
      <alignment horizontal="center" vertical="top" wrapText="1"/>
    </xf>
    <xf numFmtId="167" fontId="127" fillId="0" borderId="115" xfId="0" applyFont="1" applyBorder="1" applyAlignment="1">
      <alignment horizontal="left" vertical="top"/>
    </xf>
    <xf numFmtId="167" fontId="127" fillId="0" borderId="0" xfId="0" applyFont="1" applyAlignment="1">
      <alignment horizontal="left" vertical="top"/>
    </xf>
    <xf numFmtId="0" fontId="174" fillId="0" borderId="107" xfId="211" applyFont="1" applyBorder="1" applyAlignment="1">
      <alignment horizontal="right" vertical="top"/>
    </xf>
    <xf numFmtId="167" fontId="153" fillId="0" borderId="107" xfId="0" applyFont="1" applyBorder="1" applyAlignment="1">
      <alignment horizontal="left" vertical="top"/>
    </xf>
    <xf numFmtId="167" fontId="150" fillId="0" borderId="107" xfId="0" applyFont="1" applyBorder="1" applyAlignment="1">
      <alignment vertical="center"/>
    </xf>
    <xf numFmtId="167" fontId="153" fillId="0" borderId="107" xfId="0" applyFont="1" applyBorder="1" applyAlignment="1">
      <alignment vertical="center"/>
    </xf>
    <xf numFmtId="167" fontId="150" fillId="0" borderId="107" xfId="0" applyFont="1" applyBorder="1" applyAlignment="1">
      <alignment horizontal="left" vertical="top"/>
    </xf>
    <xf numFmtId="167" fontId="126" fillId="0" borderId="130" xfId="0" applyFont="1" applyBorder="1" applyAlignment="1">
      <alignment horizontal="left" vertical="top" wrapText="1"/>
    </xf>
    <xf numFmtId="0" fontId="174" fillId="0" borderId="131" xfId="211" applyFont="1" applyBorder="1" applyAlignment="1">
      <alignment horizontal="right" vertical="top"/>
    </xf>
    <xf numFmtId="167" fontId="126" fillId="0" borderId="131" xfId="0" applyFont="1" applyBorder="1" applyAlignment="1">
      <alignment horizontal="center" vertical="center" wrapText="1"/>
    </xf>
    <xf numFmtId="2" fontId="148" fillId="0" borderId="131" xfId="0" applyNumberFormat="1" applyFont="1" applyBorder="1" applyAlignment="1">
      <alignment horizontal="center" vertical="center"/>
    </xf>
    <xf numFmtId="167" fontId="118" fillId="0" borderId="131" xfId="0" applyFont="1" applyBorder="1" applyAlignment="1">
      <alignment horizontal="center" vertical="center"/>
    </xf>
    <xf numFmtId="1" fontId="148" fillId="0" borderId="131" xfId="0" applyNumberFormat="1" applyFont="1" applyBorder="1" applyAlignment="1">
      <alignment horizontal="right" vertical="top"/>
    </xf>
    <xf numFmtId="9" fontId="153" fillId="0" borderId="131" xfId="3" applyFont="1" applyFill="1" applyBorder="1" applyAlignment="1">
      <alignment horizontal="left" vertical="top"/>
    </xf>
    <xf numFmtId="167" fontId="153" fillId="0" borderId="132" xfId="0" applyFont="1" applyBorder="1" applyAlignment="1">
      <alignment horizontal="left" vertical="top"/>
    </xf>
    <xf numFmtId="167" fontId="153" fillId="0" borderId="124" xfId="0" applyFont="1" applyBorder="1" applyAlignment="1">
      <alignment horizontal="left" vertical="top"/>
    </xf>
    <xf numFmtId="167" fontId="153" fillId="0" borderId="127" xfId="0" applyFont="1" applyBorder="1" applyAlignment="1">
      <alignment horizontal="left" vertical="top"/>
    </xf>
    <xf numFmtId="10" fontId="150" fillId="0" borderId="127" xfId="3" applyNumberFormat="1" applyFont="1" applyFill="1" applyBorder="1" applyAlignment="1">
      <alignment horizontal="center" vertical="center"/>
    </xf>
    <xf numFmtId="167" fontId="153" fillId="0" borderId="95" xfId="0" applyFont="1" applyBorder="1" applyAlignment="1">
      <alignment horizontal="left" vertical="top"/>
    </xf>
    <xf numFmtId="0" fontId="174" fillId="0" borderId="128" xfId="211" applyFont="1" applyBorder="1" applyAlignment="1">
      <alignment horizontal="right" vertical="top"/>
    </xf>
    <xf numFmtId="167" fontId="153" fillId="0" borderId="128" xfId="0" applyFont="1" applyBorder="1" applyAlignment="1">
      <alignment horizontal="left" vertical="top"/>
    </xf>
    <xf numFmtId="167" fontId="150" fillId="0" borderId="128" xfId="0" applyFont="1" applyBorder="1" applyAlignment="1">
      <alignment horizontal="center" vertical="center"/>
    </xf>
    <xf numFmtId="167" fontId="150" fillId="0" borderId="129" xfId="0" applyFont="1" applyBorder="1" applyAlignment="1">
      <alignment horizontal="center" vertical="center"/>
    </xf>
    <xf numFmtId="167" fontId="157" fillId="0" borderId="79" xfId="0" applyFont="1" applyBorder="1" applyAlignment="1">
      <alignment horizontal="center" vertical="center" wrapText="1"/>
    </xf>
    <xf numFmtId="167" fontId="157" fillId="0" borderId="128" xfId="0" applyFont="1" applyBorder="1" applyAlignment="1">
      <alignment vertical="center" wrapText="1"/>
    </xf>
    <xf numFmtId="167" fontId="157" fillId="0" borderId="128" xfId="0" applyFont="1" applyBorder="1" applyAlignment="1">
      <alignment horizontal="center" vertical="center" wrapText="1"/>
    </xf>
    <xf numFmtId="167" fontId="150" fillId="0" borderId="127" xfId="0" applyFont="1" applyBorder="1" applyAlignment="1">
      <alignment vertical="center"/>
    </xf>
    <xf numFmtId="2" fontId="153" fillId="0" borderId="12" xfId="211" applyNumberFormat="1" applyFont="1" applyBorder="1" applyAlignment="1">
      <alignment horizontal="center" vertical="center" wrapText="1"/>
    </xf>
    <xf numFmtId="2" fontId="153" fillId="0" borderId="140" xfId="211" applyNumberFormat="1" applyFont="1" applyBorder="1" applyAlignment="1">
      <alignment horizontal="center" vertical="center" wrapText="1"/>
    </xf>
    <xf numFmtId="0" fontId="125" fillId="0" borderId="140" xfId="211" applyFont="1" applyBorder="1"/>
    <xf numFmtId="0" fontId="125" fillId="0" borderId="138" xfId="211" applyFont="1" applyBorder="1"/>
    <xf numFmtId="0" fontId="150" fillId="0" borderId="126" xfId="214" applyFont="1" applyBorder="1" applyAlignment="1">
      <alignment horizontal="center" vertical="center" wrapText="1"/>
    </xf>
    <xf numFmtId="0" fontId="150" fillId="0" borderId="12" xfId="214" applyFont="1" applyBorder="1" applyAlignment="1" applyProtection="1">
      <alignment horizontal="justify" vertical="top" wrapText="1"/>
      <protection locked="0"/>
    </xf>
    <xf numFmtId="0" fontId="153" fillId="0" borderId="140" xfId="214" applyFont="1" applyBorder="1" applyAlignment="1">
      <alignment horizontal="center" vertical="center" wrapText="1"/>
    </xf>
    <xf numFmtId="0" fontId="153" fillId="0" borderId="12" xfId="214" applyFont="1" applyBorder="1" applyAlignment="1">
      <alignment horizontal="center" vertical="center" wrapText="1"/>
    </xf>
    <xf numFmtId="1" fontId="125" fillId="0" borderId="140" xfId="214" applyNumberFormat="1" applyFont="1" applyBorder="1" applyAlignment="1">
      <alignment horizontal="center" vertical="center"/>
    </xf>
    <xf numFmtId="167" fontId="125" fillId="0" borderId="12" xfId="214" applyNumberFormat="1" applyFont="1" applyBorder="1" applyAlignment="1">
      <alignment horizontal="center" vertical="center"/>
    </xf>
    <xf numFmtId="2" fontId="125" fillId="0" borderId="140" xfId="214" applyNumberFormat="1" applyFont="1" applyBorder="1" applyAlignment="1">
      <alignment horizontal="center" vertical="center" wrapText="1"/>
    </xf>
    <xf numFmtId="2" fontId="125" fillId="0" borderId="12" xfId="214" applyNumberFormat="1" applyFont="1" applyBorder="1" applyAlignment="1">
      <alignment horizontal="center" vertical="center" wrapText="1"/>
    </xf>
    <xf numFmtId="1" fontId="125" fillId="0" borderId="140" xfId="214" applyNumberFormat="1" applyFont="1" applyBorder="1" applyAlignment="1">
      <alignment horizontal="center" vertical="center" wrapText="1"/>
    </xf>
    <xf numFmtId="1" fontId="125" fillId="0" borderId="12" xfId="214" applyNumberFormat="1" applyFont="1" applyBorder="1" applyAlignment="1">
      <alignment horizontal="center" vertical="center" wrapText="1"/>
    </xf>
    <xf numFmtId="0" fontId="171" fillId="0" borderId="110" xfId="214" applyFont="1" applyBorder="1" applyAlignment="1">
      <alignment horizontal="justify" vertical="top" wrapText="1"/>
    </xf>
    <xf numFmtId="0" fontId="153" fillId="0" borderId="110" xfId="214" applyFont="1" applyBorder="1" applyAlignment="1">
      <alignment horizontal="center" vertical="center" wrapText="1"/>
    </xf>
    <xf numFmtId="1" fontId="125" fillId="0" borderId="107" xfId="214" applyNumberFormat="1" applyFont="1" applyBorder="1" applyAlignment="1">
      <alignment horizontal="center" vertical="center"/>
    </xf>
    <xf numFmtId="167" fontId="125" fillId="0" borderId="110" xfId="214" applyNumberFormat="1" applyFont="1" applyBorder="1" applyAlignment="1">
      <alignment horizontal="center" vertical="center"/>
    </xf>
    <xf numFmtId="2" fontId="125" fillId="0" borderId="107" xfId="214" applyNumberFormat="1" applyFont="1" applyBorder="1" applyAlignment="1">
      <alignment horizontal="center" vertical="center" wrapText="1"/>
    </xf>
    <xf numFmtId="2" fontId="125" fillId="0" borderId="110" xfId="214" applyNumberFormat="1" applyFont="1" applyBorder="1" applyAlignment="1">
      <alignment horizontal="center" vertical="center" wrapText="1"/>
    </xf>
    <xf numFmtId="1" fontId="125" fillId="0" borderId="107" xfId="214" applyNumberFormat="1" applyFont="1" applyBorder="1" applyAlignment="1">
      <alignment horizontal="center" vertical="center" wrapText="1"/>
    </xf>
    <xf numFmtId="1" fontId="125" fillId="0" borderId="110" xfId="214" applyNumberFormat="1" applyFont="1" applyBorder="1" applyAlignment="1">
      <alignment horizontal="center" vertical="center" wrapText="1"/>
    </xf>
    <xf numFmtId="0" fontId="125" fillId="0" borderId="107" xfId="211" applyFont="1" applyBorder="1"/>
    <xf numFmtId="0" fontId="125" fillId="0" borderId="141" xfId="211" applyFont="1" applyBorder="1"/>
    <xf numFmtId="0" fontId="150" fillId="0" borderId="125" xfId="214" applyFont="1" applyBorder="1" applyAlignment="1">
      <alignment horizontal="center" vertical="center" wrapText="1"/>
    </xf>
    <xf numFmtId="0" fontId="153" fillId="0" borderId="113" xfId="214" applyFont="1" applyBorder="1" applyAlignment="1">
      <alignment horizontal="center" vertical="center" wrapText="1"/>
    </xf>
    <xf numFmtId="0" fontId="153" fillId="0" borderId="111" xfId="214" applyFont="1" applyBorder="1" applyAlignment="1">
      <alignment horizontal="center" vertical="center" wrapText="1"/>
    </xf>
    <xf numFmtId="1" fontId="125" fillId="0" borderId="113" xfId="214" applyNumberFormat="1" applyFont="1" applyBorder="1" applyAlignment="1">
      <alignment horizontal="center" vertical="center"/>
    </xf>
    <xf numFmtId="167" fontId="125" fillId="0" borderId="111" xfId="214" applyNumberFormat="1" applyFont="1" applyBorder="1" applyAlignment="1">
      <alignment horizontal="center" vertical="center"/>
    </xf>
    <xf numFmtId="1" fontId="125" fillId="0" borderId="113" xfId="214" applyNumberFormat="1" applyFont="1" applyBorder="1" applyAlignment="1">
      <alignment horizontal="center" vertical="center" wrapText="1"/>
    </xf>
    <xf numFmtId="1" fontId="125" fillId="0" borderId="111" xfId="214" applyNumberFormat="1" applyFont="1" applyBorder="1" applyAlignment="1">
      <alignment horizontal="center" vertical="center" wrapText="1"/>
    </xf>
    <xf numFmtId="0" fontId="125" fillId="0" borderId="113" xfId="211" applyFont="1" applyBorder="1"/>
    <xf numFmtId="0" fontId="125" fillId="0" borderId="139" xfId="211" applyFont="1" applyBorder="1"/>
    <xf numFmtId="0" fontId="150" fillId="0" borderId="126" xfId="215" applyFont="1" applyBorder="1" applyAlignment="1">
      <alignment vertical="center" wrapText="1"/>
    </xf>
    <xf numFmtId="0" fontId="153" fillId="0" borderId="140" xfId="215" applyFont="1" applyBorder="1" applyAlignment="1">
      <alignment horizontal="center" vertical="center" wrapText="1"/>
    </xf>
    <xf numFmtId="0" fontId="153" fillId="0" borderId="12" xfId="215" applyFont="1" applyBorder="1" applyAlignment="1">
      <alignment horizontal="center" vertical="center" wrapText="1"/>
    </xf>
    <xf numFmtId="1" fontId="153" fillId="0" borderId="140" xfId="215" applyNumberFormat="1" applyFont="1" applyBorder="1" applyAlignment="1">
      <alignment horizontal="center" vertical="center" wrapText="1"/>
    </xf>
    <xf numFmtId="167" fontId="153" fillId="0" borderId="12" xfId="215" applyNumberFormat="1" applyFont="1" applyBorder="1" applyAlignment="1">
      <alignment horizontal="center" vertical="center" wrapText="1"/>
    </xf>
    <xf numFmtId="1" fontId="125" fillId="0" borderId="12" xfId="214" applyNumberFormat="1" applyFont="1" applyBorder="1" applyAlignment="1">
      <alignment vertical="center" wrapText="1"/>
    </xf>
    <xf numFmtId="0" fontId="150" fillId="0" borderId="12" xfId="215" applyFont="1" applyBorder="1" applyAlignment="1">
      <alignment horizontal="justify" vertical="top" wrapText="1"/>
    </xf>
    <xf numFmtId="0" fontId="153" fillId="0" borderId="107" xfId="215" applyFont="1" applyBorder="1" applyAlignment="1">
      <alignment horizontal="center" vertical="center" wrapText="1"/>
    </xf>
    <xf numFmtId="0" fontId="153" fillId="0" borderId="110" xfId="215" applyFont="1" applyBorder="1" applyAlignment="1">
      <alignment horizontal="center" vertical="center" wrapText="1"/>
    </xf>
    <xf numFmtId="1" fontId="153" fillId="0" borderId="107" xfId="215" applyNumberFormat="1" applyFont="1" applyBorder="1" applyAlignment="1">
      <alignment horizontal="center" vertical="center" wrapText="1"/>
    </xf>
    <xf numFmtId="167" fontId="153" fillId="0" borderId="110" xfId="215" applyNumberFormat="1" applyFont="1" applyBorder="1" applyAlignment="1">
      <alignment horizontal="center" vertical="center" wrapText="1"/>
    </xf>
    <xf numFmtId="1" fontId="125" fillId="0" borderId="110" xfId="214" applyNumberFormat="1" applyFont="1" applyBorder="1" applyAlignment="1">
      <alignment vertical="center" wrapText="1"/>
    </xf>
    <xf numFmtId="0" fontId="150" fillId="0" borderId="126" xfId="215" applyFont="1" applyBorder="1" applyAlignment="1">
      <alignment horizontal="justify" vertical="center" wrapText="1"/>
    </xf>
    <xf numFmtId="0" fontId="126" fillId="0" borderId="107" xfId="215" applyFont="1" applyBorder="1" applyAlignment="1">
      <alignment horizontal="center" vertical="center" wrapText="1"/>
    </xf>
    <xf numFmtId="0" fontId="153" fillId="6" borderId="107" xfId="215" applyFont="1" applyFill="1" applyBorder="1" applyAlignment="1">
      <alignment horizontal="center" vertical="center" wrapText="1"/>
    </xf>
    <xf numFmtId="0" fontId="153" fillId="6" borderId="110" xfId="215" applyFont="1" applyFill="1" applyBorder="1" applyAlignment="1">
      <alignment horizontal="center" vertical="center" wrapText="1"/>
    </xf>
    <xf numFmtId="0" fontId="150" fillId="6" borderId="125" xfId="215" applyFont="1" applyFill="1" applyBorder="1" applyAlignment="1">
      <alignment vertical="center" wrapText="1"/>
    </xf>
    <xf numFmtId="0" fontId="153" fillId="6" borderId="113" xfId="215" applyFont="1" applyFill="1" applyBorder="1" applyAlignment="1">
      <alignment horizontal="center" vertical="center" wrapText="1"/>
    </xf>
    <xf numFmtId="0" fontId="153" fillId="6" borderId="111" xfId="215" applyFont="1" applyFill="1" applyBorder="1" applyAlignment="1">
      <alignment horizontal="center" vertical="center" wrapText="1"/>
    </xf>
    <xf numFmtId="1" fontId="153" fillId="0" borderId="113" xfId="215" applyNumberFormat="1" applyFont="1" applyBorder="1" applyAlignment="1">
      <alignment horizontal="center" vertical="center" wrapText="1"/>
    </xf>
    <xf numFmtId="167" fontId="153" fillId="0" borderId="111" xfId="215" applyNumberFormat="1" applyFont="1" applyBorder="1" applyAlignment="1">
      <alignment horizontal="center" vertical="center" wrapText="1"/>
    </xf>
    <xf numFmtId="1" fontId="125" fillId="0" borderId="111" xfId="214" applyNumberFormat="1" applyFont="1" applyBorder="1" applyAlignment="1">
      <alignment vertical="center" wrapText="1"/>
    </xf>
    <xf numFmtId="0" fontId="150" fillId="6" borderId="126" xfId="215" applyFont="1" applyFill="1" applyBorder="1" applyAlignment="1">
      <alignment horizontal="right" vertical="center" wrapText="1"/>
    </xf>
    <xf numFmtId="0" fontId="153" fillId="6" borderId="140" xfId="215" applyFont="1" applyFill="1" applyBorder="1" applyAlignment="1">
      <alignment horizontal="center" vertical="center" wrapText="1"/>
    </xf>
    <xf numFmtId="0" fontId="153" fillId="6" borderId="12" xfId="215" applyFont="1" applyFill="1" applyBorder="1" applyAlignment="1">
      <alignment horizontal="center" vertical="center" wrapText="1"/>
    </xf>
    <xf numFmtId="0" fontId="126" fillId="0" borderId="0" xfId="211" applyFont="1" applyAlignment="1">
      <alignment horizontal="justify" vertical="top" wrapText="1"/>
    </xf>
    <xf numFmtId="0" fontId="153" fillId="0" borderId="0" xfId="211" applyFont="1" applyAlignment="1">
      <alignment horizontal="justify" vertical="top" wrapText="1"/>
    </xf>
    <xf numFmtId="0" fontId="153" fillId="0" borderId="0" xfId="211" applyFont="1" applyAlignment="1">
      <alignment horizontal="center" vertical="top" wrapText="1"/>
    </xf>
    <xf numFmtId="0" fontId="153" fillId="0" borderId="12" xfId="211" applyFont="1" applyBorder="1" applyAlignment="1">
      <alignment horizontal="justify" vertical="top" wrapText="1"/>
    </xf>
    <xf numFmtId="0" fontId="153" fillId="0" borderId="111" xfId="211" applyFont="1" applyBorder="1" applyAlignment="1">
      <alignment horizontal="justify" vertical="top" wrapText="1"/>
    </xf>
    <xf numFmtId="0" fontId="150" fillId="2" borderId="0" xfId="211" applyFont="1" applyFill="1" applyAlignment="1">
      <alignment horizontal="justify" vertical="top" wrapText="1"/>
    </xf>
    <xf numFmtId="0" fontId="150" fillId="0" borderId="0" xfId="211" applyFont="1" applyAlignment="1">
      <alignment horizontal="center" vertical="top" wrapText="1"/>
    </xf>
    <xf numFmtId="0" fontId="125" fillId="0" borderId="0" xfId="211" applyFont="1" applyAlignment="1">
      <alignment vertical="top"/>
    </xf>
    <xf numFmtId="0" fontId="125" fillId="2" borderId="0" xfId="211" applyFont="1" applyFill="1" applyAlignment="1">
      <alignment vertical="top"/>
    </xf>
    <xf numFmtId="0" fontId="150" fillId="0" borderId="0" xfId="214" applyFont="1" applyAlignment="1">
      <alignment horizontal="center" vertical="top" wrapText="1"/>
    </xf>
    <xf numFmtId="0" fontId="153" fillId="0" borderId="0" xfId="214" applyFont="1" applyAlignment="1">
      <alignment horizontal="justify" vertical="top" wrapText="1"/>
    </xf>
    <xf numFmtId="0" fontId="150" fillId="0" borderId="0" xfId="214" applyFont="1" applyAlignment="1">
      <alignment horizontal="justify" vertical="top" wrapText="1"/>
    </xf>
    <xf numFmtId="0" fontId="153" fillId="0" borderId="12" xfId="214" applyFont="1" applyBorder="1" applyAlignment="1">
      <alignment horizontal="justify" vertical="top" wrapText="1"/>
    </xf>
    <xf numFmtId="0" fontId="150" fillId="0" borderId="111" xfId="214" applyFont="1" applyBorder="1" applyAlignment="1">
      <alignment horizontal="justify" vertical="top" wrapText="1"/>
    </xf>
    <xf numFmtId="0" fontId="150" fillId="0" borderId="110" xfId="214" applyFont="1" applyBorder="1" applyAlignment="1">
      <alignment horizontal="justify" vertical="top" wrapText="1"/>
    </xf>
    <xf numFmtId="0" fontId="150" fillId="0" borderId="110" xfId="215" applyFont="1" applyBorder="1" applyAlignment="1">
      <alignment horizontal="justify" vertical="top" wrapText="1"/>
    </xf>
    <xf numFmtId="0" fontId="153" fillId="0" borderId="110" xfId="215" applyFont="1" applyBorder="1" applyAlignment="1">
      <alignment vertical="top" wrapText="1"/>
    </xf>
    <xf numFmtId="0" fontId="153" fillId="0" borderId="110" xfId="215" applyFont="1" applyBorder="1" applyAlignment="1">
      <alignment horizontal="justify" vertical="top" wrapText="1"/>
    </xf>
    <xf numFmtId="0" fontId="153" fillId="6" borderId="110" xfId="215" applyFont="1" applyFill="1" applyBorder="1" applyAlignment="1">
      <alignment horizontal="justify" vertical="top" wrapText="1"/>
    </xf>
    <xf numFmtId="0" fontId="150" fillId="6" borderId="111" xfId="215" applyFont="1" applyFill="1" applyBorder="1" applyAlignment="1">
      <alignment horizontal="justify" vertical="top" wrapText="1"/>
    </xf>
    <xf numFmtId="0" fontId="150" fillId="6" borderId="0" xfId="215" applyFont="1" applyFill="1" applyAlignment="1">
      <alignment horizontal="justify" vertical="top" wrapText="1"/>
    </xf>
    <xf numFmtId="0" fontId="153" fillId="6" borderId="0" xfId="215" applyFont="1" applyFill="1" applyAlignment="1">
      <alignment horizontal="justify" vertical="top" wrapText="1"/>
    </xf>
    <xf numFmtId="0" fontId="153" fillId="6" borderId="12" xfId="215" applyFont="1" applyFill="1" applyBorder="1" applyAlignment="1">
      <alignment horizontal="justify" vertical="top" wrapText="1"/>
    </xf>
    <xf numFmtId="0" fontId="153" fillId="0" borderId="12" xfId="215" applyFont="1" applyBorder="1" applyAlignment="1">
      <alignment horizontal="justify" vertical="top" wrapText="1"/>
    </xf>
    <xf numFmtId="0" fontId="153" fillId="0" borderId="0" xfId="215" applyFont="1" applyAlignment="1">
      <alignment horizontal="justify" vertical="top" wrapText="1"/>
    </xf>
    <xf numFmtId="167" fontId="148" fillId="3" borderId="109" xfId="0" applyFont="1" applyFill="1" applyBorder="1" applyAlignment="1">
      <alignment horizontal="right" vertical="top" wrapText="1"/>
    </xf>
    <xf numFmtId="167" fontId="148" fillId="3" borderId="110" xfId="0" applyFont="1" applyFill="1" applyBorder="1" applyAlignment="1">
      <alignment horizontal="right" vertical="top" wrapText="1"/>
    </xf>
    <xf numFmtId="167" fontId="148" fillId="3" borderId="108" xfId="0" applyFont="1" applyFill="1" applyBorder="1" applyAlignment="1">
      <alignment horizontal="right" vertical="top" wrapText="1"/>
    </xf>
    <xf numFmtId="168" fontId="43" fillId="0" borderId="0" xfId="0" applyNumberFormat="1" applyFont="1" applyAlignment="1">
      <alignment horizontal="center" vertical="center"/>
    </xf>
    <xf numFmtId="168" fontId="77" fillId="0" borderId="0" xfId="0" applyNumberFormat="1" applyFont="1" applyAlignment="1">
      <alignment horizontal="center" vertical="center"/>
    </xf>
    <xf numFmtId="168" fontId="148" fillId="0" borderId="0" xfId="0" applyNumberFormat="1" applyFont="1" applyAlignment="1">
      <alignment horizontal="center" vertical="center" wrapText="1"/>
    </xf>
    <xf numFmtId="0" fontId="166" fillId="4" borderId="107" xfId="0" applyNumberFormat="1" applyFont="1" applyFill="1" applyBorder="1" applyAlignment="1" applyProtection="1">
      <alignment vertical="top" wrapText="1"/>
      <protection locked="0"/>
    </xf>
    <xf numFmtId="49" fontId="150" fillId="3" borderId="109" xfId="0" applyNumberFormat="1" applyFont="1" applyFill="1" applyBorder="1" applyAlignment="1">
      <alignment horizontal="right" vertical="top" wrapText="1"/>
    </xf>
    <xf numFmtId="49" fontId="150" fillId="3" borderId="110" xfId="0" applyNumberFormat="1" applyFont="1" applyFill="1" applyBorder="1" applyAlignment="1">
      <alignment horizontal="right" vertical="top" wrapText="1"/>
    </xf>
    <xf numFmtId="49" fontId="150" fillId="3" borderId="108" xfId="0" applyNumberFormat="1" applyFont="1" applyFill="1" applyBorder="1" applyAlignment="1">
      <alignment horizontal="right" vertical="top" wrapText="1"/>
    </xf>
    <xf numFmtId="167" fontId="150" fillId="3" borderId="109" xfId="0" applyFont="1" applyFill="1" applyBorder="1" applyAlignment="1">
      <alignment horizontal="right" vertical="top" wrapText="1"/>
    </xf>
    <xf numFmtId="167" fontId="150" fillId="3" borderId="110" xfId="0" applyFont="1" applyFill="1" applyBorder="1" applyAlignment="1">
      <alignment horizontal="right" vertical="top" wrapText="1"/>
    </xf>
    <xf numFmtId="167" fontId="150" fillId="3" borderId="108" xfId="0" applyFont="1" applyFill="1" applyBorder="1" applyAlignment="1">
      <alignment horizontal="right" vertical="top" wrapText="1"/>
    </xf>
    <xf numFmtId="0" fontId="165" fillId="3" borderId="109" xfId="0" applyNumberFormat="1" applyFont="1" applyFill="1" applyBorder="1" applyAlignment="1">
      <alignment horizontal="right" vertical="top" wrapText="1"/>
    </xf>
    <xf numFmtId="0" fontId="165" fillId="3" borderId="110" xfId="0" applyNumberFormat="1" applyFont="1" applyFill="1" applyBorder="1" applyAlignment="1">
      <alignment horizontal="right" vertical="top" wrapText="1"/>
    </xf>
    <xf numFmtId="0" fontId="165" fillId="3" borderId="108" xfId="0" applyNumberFormat="1" applyFont="1" applyFill="1" applyBorder="1" applyAlignment="1">
      <alignment horizontal="right" vertical="top" wrapText="1"/>
    </xf>
    <xf numFmtId="167" fontId="43" fillId="3" borderId="109" xfId="0" applyFont="1" applyFill="1" applyBorder="1" applyAlignment="1">
      <alignment horizontal="right" vertical="top"/>
    </xf>
    <xf numFmtId="167" fontId="43" fillId="3" borderId="110" xfId="0" applyFont="1" applyFill="1" applyBorder="1" applyAlignment="1">
      <alignment horizontal="right" vertical="top"/>
    </xf>
    <xf numFmtId="167" fontId="43" fillId="3" borderId="108" xfId="0" applyFont="1" applyFill="1" applyBorder="1" applyAlignment="1">
      <alignment horizontal="right" vertical="top"/>
    </xf>
    <xf numFmtId="167" fontId="157" fillId="3" borderId="109" xfId="0" applyFont="1" applyFill="1" applyBorder="1" applyAlignment="1">
      <alignment horizontal="right" vertical="top"/>
    </xf>
    <xf numFmtId="167" fontId="157" fillId="3" borderId="110" xfId="0" applyFont="1" applyFill="1" applyBorder="1" applyAlignment="1">
      <alignment horizontal="right" vertical="top"/>
    </xf>
    <xf numFmtId="167" fontId="157" fillId="3" borderId="108" xfId="0" applyFont="1" applyFill="1" applyBorder="1" applyAlignment="1">
      <alignment horizontal="right" vertical="top"/>
    </xf>
    <xf numFmtId="0" fontId="150" fillId="4" borderId="107" xfId="0" applyNumberFormat="1" applyFont="1" applyFill="1" applyBorder="1" applyAlignment="1" applyProtection="1">
      <alignment vertical="top" wrapText="1"/>
      <protection locked="0"/>
    </xf>
    <xf numFmtId="167" fontId="50" fillId="0" borderId="38" xfId="0" applyFont="1" applyBorder="1" applyAlignment="1">
      <alignment horizontal="center" vertical="center"/>
    </xf>
    <xf numFmtId="167" fontId="50" fillId="0" borderId="31" xfId="0" applyFont="1" applyBorder="1" applyAlignment="1">
      <alignment horizontal="center" vertical="center"/>
    </xf>
    <xf numFmtId="167" fontId="50" fillId="0" borderId="36" xfId="0" applyFont="1" applyBorder="1" applyAlignment="1">
      <alignment horizontal="center" vertical="center"/>
    </xf>
    <xf numFmtId="167" fontId="145" fillId="0" borderId="38" xfId="0" applyFont="1" applyBorder="1" applyAlignment="1">
      <alignment horizontal="center" vertical="center"/>
    </xf>
    <xf numFmtId="167" fontId="145" fillId="0" borderId="36" xfId="0" applyFont="1" applyBorder="1" applyAlignment="1">
      <alignment horizontal="center" vertical="center"/>
    </xf>
    <xf numFmtId="167" fontId="49" fillId="0" borderId="1" xfId="0" applyFont="1" applyBorder="1" applyAlignment="1">
      <alignment horizontal="center" vertical="center"/>
    </xf>
    <xf numFmtId="167" fontId="49" fillId="0" borderId="2" xfId="0" applyFont="1" applyBorder="1" applyAlignment="1">
      <alignment horizontal="center" vertical="center"/>
    </xf>
    <xf numFmtId="167" fontId="49" fillId="0" borderId="33" xfId="0" applyFont="1" applyBorder="1" applyAlignment="1">
      <alignment horizontal="center" vertical="center"/>
    </xf>
    <xf numFmtId="167" fontId="49" fillId="0" borderId="13" xfId="0" applyFont="1" applyBorder="1" applyAlignment="1">
      <alignment vertical="center" wrapText="1"/>
    </xf>
    <xf numFmtId="167" fontId="44" fillId="0" borderId="50" xfId="0" applyFont="1" applyBorder="1" applyAlignment="1">
      <alignment horizontal="center"/>
    </xf>
    <xf numFmtId="167" fontId="44" fillId="0" borderId="51" xfId="0" applyFont="1" applyBorder="1" applyAlignment="1">
      <alignment horizontal="center"/>
    </xf>
    <xf numFmtId="167" fontId="44" fillId="0" borderId="70" xfId="0" applyFont="1" applyBorder="1" applyAlignment="1">
      <alignment horizontal="center"/>
    </xf>
    <xf numFmtId="167" fontId="44" fillId="0" borderId="68" xfId="0" applyFont="1" applyBorder="1" applyAlignment="1">
      <alignment horizontal="center"/>
    </xf>
    <xf numFmtId="167" fontId="44" fillId="0" borderId="69" xfId="0" applyFont="1" applyBorder="1" applyAlignment="1">
      <alignment horizontal="center"/>
    </xf>
    <xf numFmtId="167" fontId="44" fillId="0" borderId="67" xfId="0" applyFont="1" applyBorder="1" applyAlignment="1">
      <alignment horizontal="center"/>
    </xf>
    <xf numFmtId="167" fontId="44" fillId="0" borderId="71" xfId="0" applyFont="1" applyBorder="1" applyAlignment="1">
      <alignment horizontal="center"/>
    </xf>
    <xf numFmtId="167" fontId="44" fillId="0" borderId="52" xfId="0" applyFont="1" applyBorder="1" applyAlignment="1">
      <alignment horizontal="center"/>
    </xf>
    <xf numFmtId="167" fontId="44" fillId="0" borderId="68" xfId="0" applyFont="1" applyBorder="1" applyAlignment="1">
      <alignment horizontal="center" vertical="center"/>
    </xf>
    <xf numFmtId="167" fontId="44" fillId="0" borderId="69" xfId="0" applyFont="1" applyBorder="1" applyAlignment="1">
      <alignment horizontal="center" vertical="center"/>
    </xf>
    <xf numFmtId="167" fontId="44" fillId="0" borderId="67" xfId="0" applyFont="1" applyBorder="1" applyAlignment="1">
      <alignment horizontal="center" vertical="center"/>
    </xf>
    <xf numFmtId="167" fontId="44" fillId="0" borderId="0" xfId="0" applyFont="1" applyAlignment="1">
      <alignment horizontal="center"/>
    </xf>
    <xf numFmtId="167" fontId="51" fillId="0" borderId="0" xfId="0" applyFont="1" applyAlignment="1">
      <alignment horizontal="center"/>
    </xf>
    <xf numFmtId="167" fontId="46" fillId="0" borderId="0" xfId="0" applyFont="1" applyAlignment="1">
      <alignment horizontal="center"/>
    </xf>
    <xf numFmtId="167" fontId="44" fillId="0" borderId="15" xfId="0" applyFont="1" applyBorder="1" applyAlignment="1">
      <alignment horizontal="center"/>
    </xf>
    <xf numFmtId="167" fontId="44" fillId="0" borderId="40" xfId="0" applyFont="1" applyBorder="1" applyAlignment="1">
      <alignment horizontal="center"/>
    </xf>
    <xf numFmtId="167" fontId="44" fillId="0" borderId="16" xfId="0" applyFont="1" applyBorder="1" applyAlignment="1">
      <alignment horizontal="center"/>
    </xf>
    <xf numFmtId="167" fontId="43" fillId="0" borderId="68" xfId="0" applyFont="1" applyBorder="1" applyAlignment="1">
      <alignment horizontal="center" vertical="center"/>
    </xf>
    <xf numFmtId="167" fontId="44" fillId="0" borderId="47" xfId="0" applyFont="1" applyBorder="1" applyAlignment="1">
      <alignment horizontal="center"/>
    </xf>
    <xf numFmtId="167" fontId="44" fillId="0" borderId="72" xfId="0" applyFont="1" applyBorder="1" applyAlignment="1">
      <alignment horizontal="center"/>
    </xf>
    <xf numFmtId="167" fontId="44" fillId="0" borderId="73" xfId="0" applyFont="1" applyBorder="1" applyAlignment="1">
      <alignment horizontal="center"/>
    </xf>
    <xf numFmtId="167" fontId="44" fillId="0" borderId="74" xfId="0" applyFont="1" applyBorder="1" applyAlignment="1">
      <alignment horizontal="center"/>
    </xf>
    <xf numFmtId="167" fontId="43" fillId="0" borderId="0" xfId="0" applyFont="1" applyAlignment="1">
      <alignment horizontal="center"/>
    </xf>
    <xf numFmtId="167" fontId="49" fillId="0" borderId="0" xfId="0" applyFont="1" applyAlignment="1">
      <alignment horizontal="center" vertical="top" wrapText="1"/>
    </xf>
    <xf numFmtId="167" fontId="44" fillId="0" borderId="35" xfId="0" applyFont="1" applyBorder="1" applyAlignment="1">
      <alignment horizontal="center"/>
    </xf>
    <xf numFmtId="167" fontId="44" fillId="0" borderId="29" xfId="0" applyFont="1" applyBorder="1" applyAlignment="1">
      <alignment horizontal="center"/>
    </xf>
    <xf numFmtId="167" fontId="44" fillId="0" borderId="32" xfId="0" applyFont="1" applyBorder="1" applyAlignment="1">
      <alignment horizontal="center"/>
    </xf>
    <xf numFmtId="167" fontId="49" fillId="0" borderId="0" xfId="0" applyFont="1" applyAlignment="1">
      <alignment horizontal="center"/>
    </xf>
    <xf numFmtId="167" fontId="49" fillId="0" borderId="38" xfId="0" applyFont="1" applyBorder="1" applyAlignment="1">
      <alignment horizontal="left" vertical="center"/>
    </xf>
    <xf numFmtId="167" fontId="49" fillId="0" borderId="31" xfId="0" applyFont="1" applyBorder="1" applyAlignment="1">
      <alignment horizontal="left" vertical="center"/>
    </xf>
    <xf numFmtId="167" fontId="43" fillId="0" borderId="0" xfId="0" applyFont="1" applyAlignment="1">
      <alignment horizontal="center" vertical="center"/>
    </xf>
    <xf numFmtId="167" fontId="43" fillId="0" borderId="0" xfId="0" applyFont="1" applyAlignment="1">
      <alignment horizontal="center" vertical="center" wrapText="1"/>
    </xf>
    <xf numFmtId="167" fontId="43" fillId="0" borderId="81" xfId="0" applyFont="1" applyBorder="1" applyAlignment="1">
      <alignment horizontal="center" wrapText="1"/>
    </xf>
    <xf numFmtId="167" fontId="43" fillId="0" borderId="106" xfId="0" applyFont="1" applyBorder="1" applyAlignment="1">
      <alignment horizontal="center" wrapText="1"/>
    </xf>
    <xf numFmtId="167" fontId="43" fillId="2" borderId="0" xfId="0" applyFont="1" applyFill="1" applyAlignment="1">
      <alignment horizontal="center"/>
    </xf>
    <xf numFmtId="167" fontId="0" fillId="0" borderId="0" xfId="0" applyAlignment="1">
      <alignment horizontal="center"/>
    </xf>
    <xf numFmtId="167" fontId="102" fillId="0" borderId="0" xfId="0" applyFont="1" applyAlignment="1">
      <alignment horizontal="center"/>
    </xf>
    <xf numFmtId="167" fontId="52" fillId="0" borderId="0" xfId="0" applyFont="1" applyAlignment="1">
      <alignment horizontal="center"/>
    </xf>
    <xf numFmtId="167" fontId="46" fillId="0" borderId="34" xfId="0" applyFont="1" applyBorder="1" applyAlignment="1">
      <alignment horizontal="justify" vertical="top" wrapText="1"/>
    </xf>
    <xf numFmtId="167" fontId="0" fillId="0" borderId="34" xfId="0" applyBorder="1" applyAlignment="1">
      <alignment horizontal="justify" vertical="top" wrapText="1"/>
    </xf>
    <xf numFmtId="167" fontId="43" fillId="0" borderId="0" xfId="0" applyFont="1" applyAlignment="1">
      <alignment horizontal="center" vertical="top" wrapText="1"/>
    </xf>
    <xf numFmtId="0" fontId="46" fillId="0" borderId="38" xfId="22" applyNumberFormat="1" applyBorder="1" applyAlignment="1">
      <alignment horizontal="left" vertical="top" wrapText="1"/>
    </xf>
    <xf numFmtId="0" fontId="46" fillId="0" borderId="31" xfId="22" applyNumberFormat="1" applyBorder="1" applyAlignment="1">
      <alignment horizontal="left" vertical="top" wrapText="1"/>
    </xf>
    <xf numFmtId="0" fontId="46" fillId="0" borderId="36" xfId="22" applyNumberFormat="1" applyBorder="1" applyAlignment="1">
      <alignment horizontal="left" vertical="top" wrapText="1"/>
    </xf>
    <xf numFmtId="0" fontId="49" fillId="0" borderId="0" xfId="22" applyNumberFormat="1" applyFont="1" applyAlignment="1">
      <alignment horizontal="center"/>
    </xf>
    <xf numFmtId="167" fontId="49" fillId="0" borderId="0" xfId="22" applyFont="1" applyAlignment="1">
      <alignment horizontal="center"/>
    </xf>
    <xf numFmtId="167" fontId="49" fillId="0" borderId="0" xfId="22" applyFont="1" applyAlignment="1">
      <alignment horizontal="center" vertical="center" wrapText="1"/>
    </xf>
    <xf numFmtId="0" fontId="43" fillId="0" borderId="0" xfId="22" applyNumberFormat="1" applyFont="1" applyAlignment="1">
      <alignment horizontal="center" vertical="center"/>
    </xf>
    <xf numFmtId="0" fontId="43" fillId="0" borderId="38" xfId="22" applyNumberFormat="1" applyFont="1" applyBorder="1" applyAlignment="1">
      <alignment horizontal="left" vertical="top"/>
    </xf>
    <xf numFmtId="0" fontId="43" fillId="0" borderId="31" xfId="22" applyNumberFormat="1" applyFont="1" applyBorder="1" applyAlignment="1">
      <alignment horizontal="left" vertical="top"/>
    </xf>
    <xf numFmtId="0" fontId="43" fillId="0" borderId="36" xfId="22" applyNumberFormat="1" applyFont="1" applyBorder="1" applyAlignment="1">
      <alignment horizontal="left" vertical="top"/>
    </xf>
    <xf numFmtId="0" fontId="43" fillId="0" borderId="38" xfId="22" applyNumberFormat="1" applyFont="1" applyBorder="1" applyAlignment="1">
      <alignment horizontal="left" vertical="top" wrapText="1"/>
    </xf>
    <xf numFmtId="0" fontId="43" fillId="0" borderId="31" xfId="22" applyNumberFormat="1" applyFont="1" applyBorder="1" applyAlignment="1">
      <alignment horizontal="left" vertical="top" wrapText="1"/>
    </xf>
    <xf numFmtId="0" fontId="43" fillId="0" borderId="36" xfId="22" applyNumberFormat="1" applyFont="1" applyBorder="1" applyAlignment="1">
      <alignment horizontal="left" vertical="top" wrapText="1"/>
    </xf>
    <xf numFmtId="0" fontId="46" fillId="0" borderId="0" xfId="22" applyNumberFormat="1" applyAlignment="1">
      <alignment horizontal="center" vertical="top" wrapText="1"/>
    </xf>
    <xf numFmtId="0" fontId="46" fillId="10" borderId="13" xfId="22" applyNumberFormat="1" applyFill="1" applyBorder="1" applyAlignment="1">
      <alignment horizontal="left" vertical="top" wrapText="1"/>
    </xf>
    <xf numFmtId="0" fontId="46" fillId="0" borderId="38" xfId="22" applyNumberFormat="1" applyBorder="1" applyAlignment="1">
      <alignment horizontal="left" vertical="top"/>
    </xf>
    <xf numFmtId="0" fontId="46" fillId="0" borderId="31" xfId="22" applyNumberFormat="1" applyBorder="1" applyAlignment="1">
      <alignment horizontal="left" vertical="top"/>
    </xf>
    <xf numFmtId="0" fontId="46" fillId="0" borderId="36" xfId="22" applyNumberFormat="1" applyBorder="1" applyAlignment="1">
      <alignment horizontal="left" vertical="top"/>
    </xf>
    <xf numFmtId="167" fontId="46" fillId="0" borderId="0" xfId="22" applyAlignment="1">
      <alignment horizontal="center"/>
    </xf>
    <xf numFmtId="167" fontId="43" fillId="0" borderId="13" xfId="22" applyFont="1" applyBorder="1" applyAlignment="1">
      <alignment horizontal="center" vertical="top"/>
    </xf>
    <xf numFmtId="167" fontId="49" fillId="0" borderId="38" xfId="22" applyFont="1" applyBorder="1" applyAlignment="1">
      <alignment horizontal="center"/>
    </xf>
    <xf numFmtId="167" fontId="49" fillId="0" borderId="31" xfId="22" applyFont="1" applyBorder="1" applyAlignment="1">
      <alignment horizontal="center"/>
    </xf>
    <xf numFmtId="167" fontId="49" fillId="0" borderId="36" xfId="22" applyFont="1" applyBorder="1" applyAlignment="1">
      <alignment horizontal="center"/>
    </xf>
    <xf numFmtId="167" fontId="49" fillId="0" borderId="0" xfId="22" applyFont="1" applyAlignment="1">
      <alignment horizontal="center" vertical="top"/>
    </xf>
    <xf numFmtId="167" fontId="49" fillId="0" borderId="0" xfId="22" applyFont="1" applyAlignment="1">
      <alignment horizontal="center" vertical="top" wrapText="1"/>
    </xf>
    <xf numFmtId="167" fontId="43" fillId="0" borderId="38" xfId="22" applyFont="1" applyBorder="1" applyAlignment="1">
      <alignment horizontal="center" vertical="top"/>
    </xf>
    <xf numFmtId="167" fontId="43" fillId="0" borderId="31" xfId="22" applyFont="1" applyBorder="1" applyAlignment="1">
      <alignment horizontal="center" vertical="top"/>
    </xf>
    <xf numFmtId="167" fontId="43" fillId="0" borderId="36" xfId="22" applyFont="1" applyBorder="1" applyAlignment="1">
      <alignment horizontal="center" vertical="top"/>
    </xf>
    <xf numFmtId="0" fontId="52" fillId="0" borderId="1" xfId="6" applyFont="1" applyBorder="1" applyAlignment="1">
      <alignment horizontal="center" vertical="top" wrapText="1"/>
    </xf>
    <xf numFmtId="0" fontId="52" fillId="0" borderId="2" xfId="6" applyFont="1" applyBorder="1" applyAlignment="1">
      <alignment horizontal="center" vertical="top" wrapText="1"/>
    </xf>
    <xf numFmtId="0" fontId="52" fillId="0" borderId="33" xfId="6" applyFont="1" applyBorder="1" applyAlignment="1">
      <alignment horizontal="center" vertical="top" wrapText="1"/>
    </xf>
    <xf numFmtId="0" fontId="66" fillId="0" borderId="0" xfId="6" applyFont="1" applyAlignment="1">
      <alignment horizontal="right" vertical="top"/>
    </xf>
    <xf numFmtId="0" fontId="66" fillId="0" borderId="0" xfId="6" applyFont="1" applyAlignment="1">
      <alignment vertical="center" wrapText="1"/>
    </xf>
    <xf numFmtId="0" fontId="71" fillId="0" borderId="56" xfId="6" applyFont="1" applyBorder="1" applyAlignment="1">
      <alignment horizontal="center" vertical="top" wrapText="1"/>
    </xf>
    <xf numFmtId="0" fontId="71" fillId="0" borderId="30" xfId="6" applyFont="1" applyBorder="1" applyAlignment="1">
      <alignment horizontal="center" vertical="top" wrapText="1"/>
    </xf>
    <xf numFmtId="0" fontId="71" fillId="0" borderId="35" xfId="6" applyFont="1" applyBorder="1" applyAlignment="1">
      <alignment horizontal="center" vertical="top" wrapText="1"/>
    </xf>
    <xf numFmtId="0" fontId="71" fillId="0" borderId="29" xfId="6" applyFont="1" applyBorder="1" applyAlignment="1">
      <alignment horizontal="center" vertical="top" wrapText="1"/>
    </xf>
    <xf numFmtId="0" fontId="68" fillId="0" borderId="38" xfId="6" applyFont="1" applyBorder="1" applyAlignment="1">
      <alignment horizontal="center" vertical="top"/>
    </xf>
    <xf numFmtId="0" fontId="68" fillId="0" borderId="31" xfId="6" applyFont="1" applyBorder="1" applyAlignment="1">
      <alignment horizontal="center" vertical="top"/>
    </xf>
    <xf numFmtId="0" fontId="68" fillId="0" borderId="36" xfId="6" applyFont="1" applyBorder="1" applyAlignment="1">
      <alignment horizontal="center" vertical="top"/>
    </xf>
    <xf numFmtId="0" fontId="66" fillId="0" borderId="0" xfId="6" applyFont="1" applyAlignment="1">
      <alignment horizontal="left" vertical="center" wrapText="1"/>
    </xf>
    <xf numFmtId="0" fontId="68" fillId="0" borderId="59" xfId="6" applyFont="1" applyBorder="1" applyAlignment="1">
      <alignment horizontal="center" vertical="top" wrapText="1"/>
    </xf>
    <xf numFmtId="0" fontId="68" fillId="0" borderId="58" xfId="6" applyFont="1" applyBorder="1" applyAlignment="1">
      <alignment horizontal="center" vertical="top" wrapText="1"/>
    </xf>
    <xf numFmtId="2" fontId="68" fillId="0" borderId="59" xfId="6" applyNumberFormat="1" applyFont="1" applyBorder="1" applyAlignment="1">
      <alignment horizontal="center" vertical="top" wrapText="1"/>
    </xf>
    <xf numFmtId="2" fontId="68" fillId="0" borderId="58" xfId="6" applyNumberFormat="1" applyFont="1" applyBorder="1" applyAlignment="1">
      <alignment horizontal="center" vertical="top" wrapText="1"/>
    </xf>
    <xf numFmtId="0" fontId="66" fillId="0" borderId="59" xfId="6" applyFont="1" applyBorder="1" applyAlignment="1">
      <alignment horizontal="left" vertical="center" wrapText="1"/>
    </xf>
    <xf numFmtId="0" fontId="66" fillId="0" borderId="58" xfId="6" applyFont="1" applyBorder="1" applyAlignment="1">
      <alignment horizontal="left" vertical="center" wrapText="1"/>
    </xf>
    <xf numFmtId="0" fontId="68" fillId="0" borderId="63" xfId="6" applyFont="1" applyBorder="1" applyAlignment="1">
      <alignment horizontal="center" vertical="center" wrapText="1"/>
    </xf>
    <xf numFmtId="0" fontId="68" fillId="0" borderId="64" xfId="6" applyFont="1" applyBorder="1" applyAlignment="1">
      <alignment horizontal="center" vertical="center" wrapText="1"/>
    </xf>
    <xf numFmtId="0" fontId="68" fillId="0" borderId="54" xfId="6" applyFont="1" applyBorder="1" applyAlignment="1">
      <alignment horizontal="center" vertical="center" wrapText="1"/>
    </xf>
    <xf numFmtId="0" fontId="68" fillId="0" borderId="55" xfId="6" applyFont="1" applyBorder="1" applyAlignment="1">
      <alignment horizontal="center" vertical="center" wrapText="1"/>
    </xf>
    <xf numFmtId="0" fontId="66" fillId="0" borderId="59" xfId="6" applyFont="1" applyBorder="1" applyAlignment="1">
      <alignment horizontal="center" vertical="top" wrapText="1"/>
    </xf>
    <xf numFmtId="0" fontId="66" fillId="0" borderId="58" xfId="6" applyFont="1" applyBorder="1" applyAlignment="1">
      <alignment horizontal="center" vertical="top" wrapText="1"/>
    </xf>
    <xf numFmtId="0" fontId="66" fillId="0" borderId="0" xfId="6" applyFont="1" applyAlignment="1">
      <alignment horizontal="left" vertical="top" wrapText="1"/>
    </xf>
    <xf numFmtId="0" fontId="66" fillId="0" borderId="0" xfId="6" applyFont="1" applyAlignment="1">
      <alignment vertical="center"/>
    </xf>
    <xf numFmtId="0" fontId="72" fillId="0" borderId="0" xfId="6" applyFont="1" applyAlignment="1">
      <alignment horizontal="left" vertical="center"/>
    </xf>
    <xf numFmtId="0" fontId="68" fillId="0" borderId="61" xfId="6" applyFont="1" applyBorder="1" applyAlignment="1">
      <alignment horizontal="center" vertical="center" wrapText="1"/>
    </xf>
    <xf numFmtId="0" fontId="68" fillId="0" borderId="60" xfId="6" applyFont="1" applyBorder="1" applyAlignment="1">
      <alignment horizontal="center" vertical="center" wrapText="1"/>
    </xf>
    <xf numFmtId="171" fontId="68" fillId="0" borderId="0" xfId="6" applyNumberFormat="1" applyFont="1" applyAlignment="1">
      <alignment horizontal="left" vertical="center"/>
    </xf>
    <xf numFmtId="171" fontId="66" fillId="0" borderId="0" xfId="6" applyNumberFormat="1" applyFont="1" applyAlignment="1">
      <alignment horizontal="left" vertical="center"/>
    </xf>
    <xf numFmtId="0" fontId="69" fillId="0" borderId="13" xfId="6" applyFont="1" applyBorder="1" applyAlignment="1">
      <alignment horizontal="center" vertical="top" wrapText="1"/>
    </xf>
    <xf numFmtId="0" fontId="69" fillId="0" borderId="38" xfId="6" applyFont="1" applyBorder="1" applyAlignment="1">
      <alignment horizontal="center" vertical="top" wrapText="1"/>
    </xf>
    <xf numFmtId="0" fontId="69" fillId="0" borderId="12" xfId="6" applyFont="1" applyBorder="1" applyAlignment="1">
      <alignment horizontal="center" vertical="top" wrapText="1"/>
    </xf>
    <xf numFmtId="0" fontId="69" fillId="0" borderId="31" xfId="6" applyFont="1" applyBorder="1" applyAlignment="1">
      <alignment horizontal="center" vertical="top" wrapText="1"/>
    </xf>
    <xf numFmtId="0" fontId="69" fillId="0" borderId="36" xfId="6" applyFont="1" applyBorder="1" applyAlignment="1">
      <alignment horizontal="center" vertical="top" wrapText="1"/>
    </xf>
    <xf numFmtId="0" fontId="69" fillId="0" borderId="0" xfId="6" applyFont="1" applyAlignment="1">
      <alignment horizontal="left" vertical="top" wrapText="1"/>
    </xf>
    <xf numFmtId="0" fontId="75" fillId="0" borderId="0" xfId="6" applyFont="1" applyAlignment="1">
      <alignment horizontal="left" vertical="top" wrapText="1"/>
    </xf>
    <xf numFmtId="0" fontId="68" fillId="0" borderId="35" xfId="6" applyFont="1" applyBorder="1" applyAlignment="1">
      <alignment horizontal="left" vertical="center"/>
    </xf>
    <xf numFmtId="0" fontId="68" fillId="0" borderId="12" xfId="6" applyFont="1" applyBorder="1" applyAlignment="1">
      <alignment horizontal="left" vertical="center"/>
    </xf>
    <xf numFmtId="0" fontId="68" fillId="0" borderId="29" xfId="6" applyFont="1" applyBorder="1" applyAlignment="1">
      <alignment horizontal="left" vertical="center"/>
    </xf>
    <xf numFmtId="0" fontId="68" fillId="0" borderId="62" xfId="6" applyFont="1" applyBorder="1" applyAlignment="1">
      <alignment horizontal="center" vertical="top" wrapText="1"/>
    </xf>
    <xf numFmtId="2" fontId="72" fillId="0" borderId="0" xfId="6" applyNumberFormat="1" applyFont="1" applyAlignment="1">
      <alignment horizontal="right" vertical="top"/>
    </xf>
    <xf numFmtId="2" fontId="72" fillId="0" borderId="65" xfId="6" applyNumberFormat="1" applyFont="1" applyBorder="1" applyAlignment="1">
      <alignment horizontal="right" vertical="top"/>
    </xf>
    <xf numFmtId="0" fontId="66" fillId="0" borderId="13" xfId="6" applyFont="1" applyBorder="1" applyAlignment="1">
      <alignment horizontal="center"/>
    </xf>
    <xf numFmtId="0" fontId="72" fillId="0" borderId="0" xfId="6" applyFont="1" applyAlignment="1">
      <alignment horizontal="left" vertical="center" wrapText="1"/>
    </xf>
    <xf numFmtId="0" fontId="66" fillId="0" borderId="0" xfId="6" applyFont="1" applyAlignment="1">
      <alignment horizontal="right" vertical="center" wrapText="1"/>
    </xf>
    <xf numFmtId="0" fontId="66" fillId="0" borderId="65" xfId="6" applyFont="1" applyBorder="1" applyAlignment="1">
      <alignment horizontal="right" vertical="center" wrapText="1"/>
    </xf>
    <xf numFmtId="177" fontId="68" fillId="0" borderId="59" xfId="6" applyNumberFormat="1" applyFont="1" applyBorder="1" applyAlignment="1">
      <alignment horizontal="left" vertical="top"/>
    </xf>
    <xf numFmtId="177" fontId="68" fillId="0" borderId="58" xfId="6" applyNumberFormat="1" applyFont="1" applyBorder="1" applyAlignment="1">
      <alignment horizontal="left" vertical="top"/>
    </xf>
    <xf numFmtId="0" fontId="66" fillId="0" borderId="13" xfId="6" applyFont="1" applyBorder="1" applyAlignment="1">
      <alignment horizontal="center" vertical="top" wrapText="1"/>
    </xf>
    <xf numFmtId="0" fontId="66" fillId="0" borderId="13" xfId="6" applyFont="1" applyBorder="1" applyAlignment="1">
      <alignment horizontal="center" vertical="center" wrapText="1"/>
    </xf>
    <xf numFmtId="2" fontId="68" fillId="0" borderId="63" xfId="6" applyNumberFormat="1" applyFont="1" applyBorder="1" applyAlignment="1">
      <alignment horizontal="center" vertical="top" wrapText="1"/>
    </xf>
    <xf numFmtId="2" fontId="68" fillId="0" borderId="64" xfId="6" applyNumberFormat="1" applyFont="1" applyBorder="1" applyAlignment="1">
      <alignment horizontal="center" vertical="top" wrapText="1"/>
    </xf>
    <xf numFmtId="0" fontId="66" fillId="0" borderId="59" xfId="6" applyFont="1" applyBorder="1" applyAlignment="1">
      <alignment horizontal="left" vertical="top" wrapText="1"/>
    </xf>
    <xf numFmtId="0" fontId="66" fillId="0" borderId="58" xfId="6" applyFont="1" applyBorder="1" applyAlignment="1">
      <alignment horizontal="left" vertical="top" wrapText="1"/>
    </xf>
    <xf numFmtId="0" fontId="68" fillId="0" borderId="13" xfId="6" applyFont="1" applyBorder="1" applyAlignment="1">
      <alignment horizontal="center" vertical="center" wrapText="1"/>
    </xf>
    <xf numFmtId="2" fontId="66" fillId="0" borderId="59" xfId="6" applyNumberFormat="1" applyFont="1" applyBorder="1" applyAlignment="1">
      <alignment horizontal="center" vertical="top" wrapText="1"/>
    </xf>
    <xf numFmtId="2" fontId="66" fillId="0" borderId="58" xfId="6" applyNumberFormat="1" applyFont="1" applyBorder="1" applyAlignment="1">
      <alignment horizontal="center" vertical="top" wrapText="1"/>
    </xf>
    <xf numFmtId="2" fontId="68" fillId="0" borderId="54" xfId="6" applyNumberFormat="1" applyFont="1" applyBorder="1" applyAlignment="1">
      <alignment horizontal="center" vertical="top" wrapText="1"/>
    </xf>
    <xf numFmtId="2" fontId="68" fillId="0" borderId="55" xfId="6" applyNumberFormat="1" applyFont="1" applyBorder="1" applyAlignment="1">
      <alignment horizontal="center" vertical="top" wrapText="1"/>
    </xf>
    <xf numFmtId="0" fontId="66" fillId="0" borderId="38" xfId="6" applyFont="1" applyBorder="1" applyAlignment="1">
      <alignment horizontal="center" vertical="top" wrapText="1"/>
    </xf>
    <xf numFmtId="0" fontId="66" fillId="0" borderId="31" xfId="6" applyFont="1" applyBorder="1" applyAlignment="1">
      <alignment horizontal="center" vertical="top" wrapText="1"/>
    </xf>
    <xf numFmtId="0" fontId="66" fillId="0" borderId="36" xfId="6" applyFont="1" applyBorder="1" applyAlignment="1">
      <alignment horizontal="center" vertical="top" wrapText="1"/>
    </xf>
    <xf numFmtId="2" fontId="68" fillId="0" borderId="59" xfId="6" applyNumberFormat="1" applyFont="1" applyBorder="1" applyAlignment="1">
      <alignment horizontal="center" vertical="center"/>
    </xf>
    <xf numFmtId="2" fontId="68" fillId="0" borderId="58" xfId="6" applyNumberFormat="1" applyFont="1" applyBorder="1" applyAlignment="1">
      <alignment horizontal="center" vertical="center"/>
    </xf>
    <xf numFmtId="9" fontId="66" fillId="0" borderId="59" xfId="6" applyNumberFormat="1" applyFont="1" applyBorder="1" applyAlignment="1">
      <alignment horizontal="center"/>
    </xf>
    <xf numFmtId="9" fontId="66" fillId="0" borderId="58" xfId="6" applyNumberFormat="1" applyFont="1" applyBorder="1" applyAlignment="1">
      <alignment horizontal="center"/>
    </xf>
    <xf numFmtId="0" fontId="72" fillId="0" borderId="0" xfId="6" applyFont="1" applyAlignment="1">
      <alignment horizontal="right" vertical="top" wrapText="1"/>
    </xf>
    <xf numFmtId="0" fontId="72" fillId="0" borderId="65" xfId="6" applyFont="1" applyBorder="1" applyAlignment="1">
      <alignment horizontal="right" vertical="top" wrapText="1"/>
    </xf>
    <xf numFmtId="9" fontId="66" fillId="0" borderId="63" xfId="6" quotePrefix="1" applyNumberFormat="1" applyFont="1" applyBorder="1" applyAlignment="1">
      <alignment horizontal="center" vertical="top" wrapText="1"/>
    </xf>
    <xf numFmtId="0" fontId="66" fillId="0" borderId="64" xfId="6" applyFont="1" applyBorder="1" applyAlignment="1">
      <alignment horizontal="center" vertical="top" wrapText="1"/>
    </xf>
    <xf numFmtId="167" fontId="39" fillId="0" borderId="13" xfId="16" applyNumberFormat="1" applyBorder="1" applyAlignment="1">
      <alignment horizontal="center"/>
    </xf>
    <xf numFmtId="167" fontId="41" fillId="0" borderId="13" xfId="16" applyNumberFormat="1" applyFont="1" applyBorder="1" applyAlignment="1">
      <alignment horizontal="center"/>
    </xf>
    <xf numFmtId="167" fontId="49" fillId="0" borderId="0" xfId="23" applyNumberFormat="1" applyFont="1" applyAlignment="1">
      <alignment horizontal="center"/>
    </xf>
    <xf numFmtId="167" fontId="49" fillId="2" borderId="0" xfId="23" applyNumberFormat="1" applyFont="1" applyFill="1" applyAlignment="1">
      <alignment horizontal="center"/>
    </xf>
    <xf numFmtId="167" fontId="49" fillId="2" borderId="0" xfId="23" applyNumberFormat="1" applyFont="1" applyFill="1" applyAlignment="1">
      <alignment horizontal="center" vertical="center" wrapText="1"/>
    </xf>
    <xf numFmtId="167" fontId="43" fillId="0" borderId="0" xfId="23" applyNumberFormat="1" applyFont="1" applyAlignment="1">
      <alignment horizontal="center"/>
    </xf>
    <xf numFmtId="167" fontId="43" fillId="2" borderId="0" xfId="23" applyNumberFormat="1" applyFont="1" applyFill="1" applyAlignment="1">
      <alignment horizontal="center"/>
    </xf>
    <xf numFmtId="2" fontId="46" fillId="0" borderId="35" xfId="23" applyNumberFormat="1" applyBorder="1" applyAlignment="1">
      <alignment horizontal="center" vertical="top"/>
    </xf>
    <xf numFmtId="2" fontId="46" fillId="0" borderId="12" xfId="23" applyNumberFormat="1" applyBorder="1" applyAlignment="1">
      <alignment horizontal="center" vertical="top"/>
    </xf>
    <xf numFmtId="2" fontId="46" fillId="0" borderId="29" xfId="23" applyNumberFormat="1" applyBorder="1" applyAlignment="1">
      <alignment horizontal="center" vertical="top"/>
    </xf>
    <xf numFmtId="168" fontId="43" fillId="0" borderId="0" xfId="154" applyNumberFormat="1" applyFont="1" applyAlignment="1">
      <alignment horizontal="center" vertical="center"/>
    </xf>
    <xf numFmtId="168" fontId="77" fillId="0" borderId="0" xfId="154" applyNumberFormat="1" applyFont="1" applyAlignment="1">
      <alignment horizontal="center" vertical="center"/>
    </xf>
    <xf numFmtId="168" fontId="148" fillId="0" borderId="0" xfId="154" applyNumberFormat="1" applyFont="1" applyAlignment="1">
      <alignment horizontal="center" vertical="center" wrapText="1"/>
    </xf>
    <xf numFmtId="168" fontId="77" fillId="2" borderId="0" xfId="154" applyNumberFormat="1" applyFont="1" applyFill="1" applyAlignment="1">
      <alignment horizontal="center" vertical="center"/>
    </xf>
    <xf numFmtId="0" fontId="150" fillId="0" borderId="107" xfId="155" applyFont="1" applyBorder="1" applyAlignment="1">
      <alignment vertical="center" wrapText="1"/>
    </xf>
    <xf numFmtId="0" fontId="150" fillId="0" borderId="109" xfId="155" applyFont="1" applyBorder="1" applyAlignment="1">
      <alignment horizontal="left" vertical="center" wrapText="1"/>
    </xf>
    <xf numFmtId="0" fontId="150" fillId="0" borderId="110" xfId="155" applyFont="1" applyBorder="1" applyAlignment="1">
      <alignment horizontal="left" vertical="center" wrapText="1"/>
    </xf>
    <xf numFmtId="0" fontId="150" fillId="0" borderId="107" xfId="154" applyFont="1" applyBorder="1" applyAlignment="1">
      <alignment vertical="center" wrapText="1"/>
    </xf>
    <xf numFmtId="0" fontId="150" fillId="0" borderId="109" xfId="154" applyFont="1" applyBorder="1" applyAlignment="1">
      <alignment horizontal="left" vertical="center" wrapText="1"/>
    </xf>
    <xf numFmtId="0" fontId="150" fillId="0" borderId="110" xfId="154" applyFont="1" applyBorder="1" applyAlignment="1">
      <alignment horizontal="left" vertical="center" wrapText="1"/>
    </xf>
    <xf numFmtId="0" fontId="153" fillId="0" borderId="61" xfId="154" applyFont="1" applyBorder="1" applyAlignment="1">
      <alignment horizontal="center" vertical="center" wrapText="1"/>
    </xf>
    <xf numFmtId="0" fontId="153" fillId="0" borderId="114" xfId="154" applyFont="1" applyBorder="1" applyAlignment="1">
      <alignment horizontal="center" vertical="center" wrapText="1"/>
    </xf>
    <xf numFmtId="0" fontId="153" fillId="0" borderId="60" xfId="154" applyFont="1" applyBorder="1" applyAlignment="1">
      <alignment horizontal="center" vertical="center" wrapText="1"/>
    </xf>
    <xf numFmtId="0" fontId="153" fillId="0" borderId="116" xfId="154" applyFont="1" applyBorder="1" applyAlignment="1">
      <alignment horizontal="center" vertical="center" wrapText="1"/>
    </xf>
    <xf numFmtId="0" fontId="153" fillId="0" borderId="117" xfId="154" applyFont="1" applyBorder="1" applyAlignment="1">
      <alignment horizontal="center" vertical="center" wrapText="1"/>
    </xf>
    <xf numFmtId="0" fontId="153" fillId="0" borderId="118" xfId="154" applyFont="1" applyBorder="1" applyAlignment="1">
      <alignment horizontal="center" vertical="center" wrapText="1"/>
    </xf>
    <xf numFmtId="0" fontId="153" fillId="0" borderId="64" xfId="154" applyFont="1" applyBorder="1" applyAlignment="1">
      <alignment horizontal="center" vertical="center" wrapText="1"/>
    </xf>
    <xf numFmtId="0" fontId="153" fillId="0" borderId="65" xfId="154" applyFont="1" applyBorder="1" applyAlignment="1">
      <alignment horizontal="center" vertical="center" wrapText="1"/>
    </xf>
    <xf numFmtId="0" fontId="153" fillId="0" borderId="55" xfId="154" applyFont="1" applyBorder="1" applyAlignment="1">
      <alignment horizontal="center" vertical="center" wrapText="1"/>
    </xf>
    <xf numFmtId="0" fontId="153" fillId="2" borderId="61" xfId="154" applyFont="1" applyFill="1" applyBorder="1" applyAlignment="1">
      <alignment horizontal="center" vertical="center" wrapText="1"/>
    </xf>
    <xf numFmtId="0" fontId="153" fillId="2" borderId="114" xfId="154" applyFont="1" applyFill="1" applyBorder="1" applyAlignment="1">
      <alignment horizontal="center" vertical="center" wrapText="1"/>
    </xf>
    <xf numFmtId="0" fontId="153" fillId="2" borderId="60" xfId="154" applyFont="1" applyFill="1" applyBorder="1" applyAlignment="1">
      <alignment horizontal="center" vertical="center" wrapText="1"/>
    </xf>
    <xf numFmtId="0" fontId="153" fillId="0" borderId="63" xfId="154" applyFont="1" applyBorder="1" applyAlignment="1">
      <alignment horizontal="center" vertical="center" wrapText="1"/>
    </xf>
    <xf numFmtId="0" fontId="153" fillId="0" borderId="115" xfId="154" applyFont="1" applyBorder="1" applyAlignment="1">
      <alignment horizontal="center" vertical="center" wrapText="1"/>
    </xf>
    <xf numFmtId="0" fontId="153" fillId="0" borderId="54" xfId="154" applyFont="1" applyBorder="1" applyAlignment="1">
      <alignment horizontal="center" vertical="center" wrapText="1"/>
    </xf>
    <xf numFmtId="0" fontId="153" fillId="0" borderId="107" xfId="154" applyFont="1" applyBorder="1" applyAlignment="1">
      <alignment horizontal="center" vertical="center" wrapText="1"/>
    </xf>
    <xf numFmtId="0" fontId="153" fillId="0" borderId="113" xfId="154" applyFont="1" applyBorder="1" applyAlignment="1">
      <alignment horizontal="center" vertical="center" wrapText="1"/>
    </xf>
    <xf numFmtId="0" fontId="153" fillId="2" borderId="107" xfId="154" applyFont="1" applyFill="1" applyBorder="1" applyAlignment="1">
      <alignment horizontal="center" vertical="center" wrapText="1"/>
    </xf>
    <xf numFmtId="0" fontId="153" fillId="2" borderId="113" xfId="154" applyFont="1" applyFill="1" applyBorder="1" applyAlignment="1">
      <alignment horizontal="center" vertical="center" wrapText="1"/>
    </xf>
    <xf numFmtId="0" fontId="153" fillId="0" borderId="61" xfId="158" applyFont="1" applyBorder="1" applyAlignment="1">
      <alignment horizontal="center" vertical="center" wrapText="1"/>
    </xf>
    <xf numFmtId="0" fontId="153" fillId="0" borderId="114" xfId="158" applyFont="1" applyBorder="1" applyAlignment="1">
      <alignment horizontal="center" vertical="center" wrapText="1"/>
    </xf>
    <xf numFmtId="0" fontId="153" fillId="0" borderId="60" xfId="158" applyFont="1" applyBorder="1" applyAlignment="1">
      <alignment horizontal="center" vertical="center" wrapText="1"/>
    </xf>
    <xf numFmtId="0" fontId="153" fillId="2" borderId="61" xfId="158" applyFont="1" applyFill="1" applyBorder="1" applyAlignment="1">
      <alignment horizontal="center" vertical="center" wrapText="1"/>
    </xf>
    <xf numFmtId="0" fontId="153" fillId="2" borderId="114" xfId="158" applyFont="1" applyFill="1" applyBorder="1" applyAlignment="1">
      <alignment horizontal="center" vertical="center" wrapText="1"/>
    </xf>
    <xf numFmtId="0" fontId="153" fillId="2" borderId="60" xfId="158" applyFont="1" applyFill="1" applyBorder="1" applyAlignment="1">
      <alignment horizontal="center" vertical="center" wrapText="1"/>
    </xf>
    <xf numFmtId="168" fontId="43" fillId="0" borderId="0" xfId="158" applyNumberFormat="1" applyFont="1" applyAlignment="1">
      <alignment horizontal="center" vertical="center"/>
    </xf>
    <xf numFmtId="168" fontId="77" fillId="0" borderId="0" xfId="158" applyNumberFormat="1" applyFont="1" applyAlignment="1">
      <alignment horizontal="center" vertical="center"/>
    </xf>
    <xf numFmtId="168" fontId="148" fillId="0" borderId="0" xfId="158" applyNumberFormat="1" applyFont="1" applyAlignment="1">
      <alignment horizontal="center" vertical="center" wrapText="1"/>
    </xf>
    <xf numFmtId="168" fontId="77" fillId="2" borderId="0" xfId="158" applyNumberFormat="1" applyFont="1" applyFill="1" applyAlignment="1">
      <alignment horizontal="center" vertical="center"/>
    </xf>
    <xf numFmtId="0" fontId="153" fillId="11" borderId="61" xfId="158" applyFont="1" applyFill="1" applyBorder="1" applyAlignment="1">
      <alignment horizontal="center" vertical="center" wrapText="1"/>
    </xf>
    <xf numFmtId="0" fontId="153" fillId="11" borderId="114" xfId="158" applyFont="1" applyFill="1" applyBorder="1" applyAlignment="1">
      <alignment horizontal="center" vertical="center" wrapText="1"/>
    </xf>
    <xf numFmtId="0" fontId="153" fillId="0" borderId="107" xfId="158" applyFont="1" applyBorder="1" applyAlignment="1">
      <alignment horizontal="center" vertical="center" wrapText="1"/>
    </xf>
    <xf numFmtId="0" fontId="153" fillId="0" borderId="113" xfId="158" applyFont="1" applyBorder="1" applyAlignment="1">
      <alignment horizontal="center" vertical="center" wrapText="1"/>
    </xf>
    <xf numFmtId="0" fontId="153" fillId="11" borderId="107" xfId="158" applyFont="1" applyFill="1" applyBorder="1" applyAlignment="1">
      <alignment horizontal="center" vertical="center" wrapText="1"/>
    </xf>
    <xf numFmtId="0" fontId="153" fillId="11" borderId="113" xfId="158" applyFont="1" applyFill="1" applyBorder="1" applyAlignment="1">
      <alignment horizontal="center" vertical="center" wrapText="1"/>
    </xf>
    <xf numFmtId="0" fontId="153" fillId="2" borderId="107" xfId="158" applyFont="1" applyFill="1" applyBorder="1" applyAlignment="1">
      <alignment horizontal="center" vertical="center" wrapText="1"/>
    </xf>
    <xf numFmtId="0" fontId="153" fillId="2" borderId="113" xfId="158" applyFont="1" applyFill="1" applyBorder="1" applyAlignment="1">
      <alignment horizontal="center" vertical="center" wrapText="1"/>
    </xf>
    <xf numFmtId="0" fontId="150" fillId="0" borderId="109" xfId="158" applyFont="1" applyBorder="1" applyAlignment="1">
      <alignment horizontal="left" vertical="center" wrapText="1"/>
    </xf>
    <xf numFmtId="0" fontId="150" fillId="0" borderId="110" xfId="158" applyFont="1" applyBorder="1" applyAlignment="1">
      <alignment horizontal="left" vertical="center" wrapText="1"/>
    </xf>
    <xf numFmtId="0" fontId="176" fillId="0" borderId="107" xfId="158" applyFont="1" applyBorder="1" applyAlignment="1">
      <alignment horizontal="right" vertical="top" wrapText="1"/>
    </xf>
    <xf numFmtId="0" fontId="153" fillId="0" borderId="63" xfId="158" applyFont="1" applyBorder="1" applyAlignment="1">
      <alignment horizontal="center" vertical="center" wrapText="1"/>
    </xf>
    <xf numFmtId="0" fontId="153" fillId="0" borderId="115" xfId="158" applyFont="1" applyBorder="1" applyAlignment="1">
      <alignment horizontal="center" vertical="center" wrapText="1"/>
    </xf>
    <xf numFmtId="0" fontId="153" fillId="0" borderId="54" xfId="158" applyFont="1" applyBorder="1" applyAlignment="1">
      <alignment horizontal="center" vertical="center" wrapText="1"/>
    </xf>
    <xf numFmtId="0" fontId="153" fillId="0" borderId="116" xfId="158" applyFont="1" applyBorder="1" applyAlignment="1">
      <alignment horizontal="center" vertical="center" wrapText="1"/>
    </xf>
    <xf numFmtId="0" fontId="153" fillId="0" borderId="117" xfId="158" applyFont="1" applyBorder="1" applyAlignment="1">
      <alignment horizontal="center" vertical="center" wrapText="1"/>
    </xf>
    <xf numFmtId="0" fontId="153" fillId="0" borderId="118" xfId="158" applyFont="1" applyBorder="1" applyAlignment="1">
      <alignment horizontal="center" vertical="center" wrapText="1"/>
    </xf>
    <xf numFmtId="0" fontId="153" fillId="0" borderId="64" xfId="158" applyFont="1" applyBorder="1" applyAlignment="1">
      <alignment horizontal="center" vertical="center" wrapText="1"/>
    </xf>
    <xf numFmtId="0" fontId="153" fillId="0" borderId="65" xfId="158" applyFont="1" applyBorder="1" applyAlignment="1">
      <alignment horizontal="center" vertical="center" wrapText="1"/>
    </xf>
    <xf numFmtId="0" fontId="153" fillId="0" borderId="55" xfId="158" applyFont="1" applyBorder="1" applyAlignment="1">
      <alignment horizontal="center" vertical="center" wrapText="1"/>
    </xf>
    <xf numFmtId="0" fontId="150" fillId="0" borderId="107" xfId="158" applyFont="1" applyBorder="1" applyAlignment="1">
      <alignment vertical="center" wrapText="1"/>
    </xf>
    <xf numFmtId="0" fontId="176" fillId="0" borderId="111" xfId="156" applyFont="1" applyBorder="1" applyAlignment="1">
      <alignment horizontal="right"/>
    </xf>
    <xf numFmtId="168" fontId="43" fillId="0" borderId="0" xfId="156" applyNumberFormat="1" applyFont="1" applyAlignment="1">
      <alignment horizontal="center" vertical="center"/>
    </xf>
    <xf numFmtId="168" fontId="77" fillId="0" borderId="0" xfId="156" applyNumberFormat="1" applyFont="1" applyAlignment="1">
      <alignment horizontal="center" vertical="center"/>
    </xf>
    <xf numFmtId="168" fontId="148" fillId="0" borderId="0" xfId="156" applyNumberFormat="1" applyFont="1" applyAlignment="1">
      <alignment horizontal="center" vertical="center" wrapText="1"/>
    </xf>
    <xf numFmtId="168" fontId="77" fillId="2" borderId="0" xfId="156" applyNumberFormat="1" applyFont="1" applyFill="1" applyAlignment="1">
      <alignment horizontal="center" vertical="center"/>
    </xf>
    <xf numFmtId="0" fontId="150" fillId="0" borderId="107" xfId="157" applyFont="1" applyBorder="1" applyAlignment="1">
      <alignment vertical="center" wrapText="1"/>
    </xf>
    <xf numFmtId="0" fontId="176" fillId="0" borderId="107" xfId="157" applyFont="1" applyBorder="1" applyAlignment="1">
      <alignment horizontal="right" vertical="center"/>
    </xf>
    <xf numFmtId="0" fontId="150" fillId="0" borderId="109" xfId="157" applyFont="1" applyBorder="1" applyAlignment="1">
      <alignment horizontal="left" vertical="center" wrapText="1"/>
    </xf>
    <xf numFmtId="0" fontId="150" fillId="0" borderId="110" xfId="157" applyFont="1" applyBorder="1" applyAlignment="1">
      <alignment horizontal="left" vertical="center" wrapText="1"/>
    </xf>
    <xf numFmtId="167" fontId="24" fillId="0" borderId="107" xfId="148" applyNumberFormat="1" applyBorder="1" applyAlignment="1">
      <alignment horizontal="center"/>
    </xf>
    <xf numFmtId="167" fontId="41" fillId="0" borderId="107" xfId="148" applyNumberFormat="1" applyFont="1" applyBorder="1" applyAlignment="1">
      <alignment horizontal="center"/>
    </xf>
    <xf numFmtId="167" fontId="49" fillId="0" borderId="0" xfId="23" applyNumberFormat="1" applyFont="1" applyAlignment="1">
      <alignment horizontal="center" vertical="center" wrapText="1"/>
    </xf>
    <xf numFmtId="167" fontId="46" fillId="0" borderId="0" xfId="23" applyNumberFormat="1" applyAlignment="1">
      <alignment horizontal="center"/>
    </xf>
    <xf numFmtId="0" fontId="153" fillId="0" borderId="61" xfId="162" applyFont="1" applyBorder="1" applyAlignment="1">
      <alignment horizontal="center" vertical="center" wrapText="1"/>
    </xf>
    <xf numFmtId="0" fontId="153" fillId="0" borderId="114" xfId="162" applyFont="1" applyBorder="1" applyAlignment="1">
      <alignment horizontal="center" vertical="center" wrapText="1"/>
    </xf>
    <xf numFmtId="168" fontId="43" fillId="0" borderId="0" xfId="162" applyNumberFormat="1" applyFont="1" applyAlignment="1">
      <alignment horizontal="center" vertical="center"/>
    </xf>
    <xf numFmtId="168" fontId="77" fillId="0" borderId="0" xfId="162" applyNumberFormat="1" applyFont="1" applyAlignment="1">
      <alignment horizontal="center" vertical="center"/>
    </xf>
    <xf numFmtId="168" fontId="148" fillId="0" borderId="0" xfId="162" applyNumberFormat="1" applyFont="1" applyAlignment="1">
      <alignment horizontal="center" vertical="center" wrapText="1"/>
    </xf>
    <xf numFmtId="168" fontId="77" fillId="2" borderId="0" xfId="162" applyNumberFormat="1" applyFont="1" applyFill="1" applyAlignment="1">
      <alignment horizontal="center" vertical="center"/>
    </xf>
    <xf numFmtId="0" fontId="153" fillId="0" borderId="60" xfId="162" applyFont="1" applyBorder="1" applyAlignment="1">
      <alignment horizontal="center" vertical="center" wrapText="1"/>
    </xf>
    <xf numFmtId="0" fontId="153" fillId="2" borderId="61" xfId="162" applyFont="1" applyFill="1" applyBorder="1" applyAlignment="1">
      <alignment horizontal="center" vertical="center" wrapText="1"/>
    </xf>
    <xf numFmtId="0" fontId="153" fillId="2" borderId="114" xfId="162" applyFont="1" applyFill="1" applyBorder="1" applyAlignment="1">
      <alignment horizontal="center" vertical="center" wrapText="1"/>
    </xf>
    <xf numFmtId="0" fontId="153" fillId="2" borderId="60" xfId="162" applyFont="1" applyFill="1" applyBorder="1" applyAlignment="1">
      <alignment horizontal="center" vertical="center" wrapText="1"/>
    </xf>
    <xf numFmtId="0" fontId="153" fillId="11" borderId="61" xfId="162" applyFont="1" applyFill="1" applyBorder="1" applyAlignment="1">
      <alignment horizontal="center" vertical="center" wrapText="1"/>
    </xf>
    <xf numFmtId="0" fontId="153" fillId="11" borderId="114" xfId="162" applyFont="1" applyFill="1" applyBorder="1" applyAlignment="1">
      <alignment horizontal="center" vertical="center" wrapText="1"/>
    </xf>
    <xf numFmtId="0" fontId="153" fillId="0" borderId="107" xfId="162" applyFont="1" applyBorder="1" applyAlignment="1">
      <alignment horizontal="center" vertical="center" wrapText="1"/>
    </xf>
    <xf numFmtId="0" fontId="153" fillId="0" borderId="113" xfId="162" applyFont="1" applyBorder="1" applyAlignment="1">
      <alignment horizontal="center" vertical="center" wrapText="1"/>
    </xf>
    <xf numFmtId="0" fontId="153" fillId="11" borderId="107" xfId="162" applyFont="1" applyFill="1" applyBorder="1" applyAlignment="1">
      <alignment horizontal="center" vertical="center" wrapText="1"/>
    </xf>
    <xf numFmtId="0" fontId="153" fillId="11" borderId="113" xfId="162" applyFont="1" applyFill="1" applyBorder="1" applyAlignment="1">
      <alignment horizontal="center" vertical="center" wrapText="1"/>
    </xf>
    <xf numFmtId="0" fontId="153" fillId="2" borderId="107" xfId="162" applyFont="1" applyFill="1" applyBorder="1" applyAlignment="1">
      <alignment horizontal="center" vertical="center" wrapText="1"/>
    </xf>
    <xf numFmtId="0" fontId="153" fillId="2" borderId="113" xfId="162" applyFont="1" applyFill="1" applyBorder="1" applyAlignment="1">
      <alignment horizontal="center" vertical="center" wrapText="1"/>
    </xf>
    <xf numFmtId="0" fontId="150" fillId="0" borderId="109" xfId="162" applyFont="1" applyBorder="1" applyAlignment="1">
      <alignment horizontal="left" vertical="center" wrapText="1"/>
    </xf>
    <xf numFmtId="0" fontId="150" fillId="0" borderId="110" xfId="162" applyFont="1" applyBorder="1" applyAlignment="1">
      <alignment horizontal="left" vertical="center" wrapText="1"/>
    </xf>
    <xf numFmtId="0" fontId="176" fillId="0" borderId="107" xfId="162" applyFont="1" applyBorder="1" applyAlignment="1">
      <alignment horizontal="right" vertical="top" wrapText="1"/>
    </xf>
    <xf numFmtId="0" fontId="150" fillId="0" borderId="107" xfId="162" applyFont="1" applyBorder="1" applyAlignment="1">
      <alignment vertical="center" wrapText="1"/>
    </xf>
    <xf numFmtId="0" fontId="153" fillId="0" borderId="63" xfId="162" applyFont="1" applyBorder="1" applyAlignment="1">
      <alignment horizontal="center" vertical="center" wrapText="1"/>
    </xf>
    <xf numFmtId="0" fontId="153" fillId="0" borderId="115" xfId="162" applyFont="1" applyBorder="1" applyAlignment="1">
      <alignment horizontal="center" vertical="center" wrapText="1"/>
    </xf>
    <xf numFmtId="0" fontId="153" fillId="0" borderId="54" xfId="162" applyFont="1" applyBorder="1" applyAlignment="1">
      <alignment horizontal="center" vertical="center" wrapText="1"/>
    </xf>
    <xf numFmtId="0" fontId="153" fillId="0" borderId="116" xfId="162" applyFont="1" applyBorder="1" applyAlignment="1">
      <alignment horizontal="center" vertical="center" wrapText="1"/>
    </xf>
    <xf numFmtId="0" fontId="153" fillId="0" borderId="117" xfId="162" applyFont="1" applyBorder="1" applyAlignment="1">
      <alignment horizontal="center" vertical="center" wrapText="1"/>
    </xf>
    <xf numFmtId="0" fontId="153" fillId="0" borderId="122" xfId="162" applyFont="1" applyBorder="1" applyAlignment="1">
      <alignment horizontal="center" vertical="center" wrapText="1"/>
    </xf>
    <xf numFmtId="0" fontId="153" fillId="0" borderId="64" xfId="162" applyFont="1" applyBorder="1" applyAlignment="1">
      <alignment horizontal="center" vertical="center" wrapText="1"/>
    </xf>
    <xf numFmtId="0" fontId="153" fillId="0" borderId="65" xfId="162" applyFont="1" applyBorder="1" applyAlignment="1">
      <alignment horizontal="center" vertical="center" wrapText="1"/>
    </xf>
    <xf numFmtId="0" fontId="153" fillId="0" borderId="55" xfId="162" applyFont="1" applyBorder="1" applyAlignment="1">
      <alignment horizontal="center" vertical="center" wrapText="1"/>
    </xf>
    <xf numFmtId="0" fontId="176" fillId="0" borderId="111" xfId="163" applyFont="1" applyBorder="1" applyAlignment="1">
      <alignment horizontal="right"/>
    </xf>
    <xf numFmtId="168" fontId="43" fillId="0" borderId="0" xfId="163" applyNumberFormat="1" applyFont="1" applyAlignment="1">
      <alignment horizontal="center" vertical="center"/>
    </xf>
    <xf numFmtId="168" fontId="77" fillId="0" borderId="0" xfId="163" applyNumberFormat="1" applyFont="1" applyAlignment="1">
      <alignment horizontal="center" vertical="center"/>
    </xf>
    <xf numFmtId="168" fontId="148" fillId="0" borderId="0" xfId="163" applyNumberFormat="1" applyFont="1" applyAlignment="1">
      <alignment horizontal="center" vertical="center" wrapText="1"/>
    </xf>
    <xf numFmtId="168" fontId="77" fillId="2" borderId="0" xfId="163" applyNumberFormat="1" applyFont="1" applyFill="1" applyAlignment="1">
      <alignment horizontal="center" vertical="center"/>
    </xf>
    <xf numFmtId="0" fontId="150" fillId="0" borderId="107" xfId="164" applyFont="1" applyBorder="1" applyAlignment="1">
      <alignment vertical="center" wrapText="1"/>
    </xf>
    <xf numFmtId="0" fontId="150" fillId="0" borderId="109" xfId="164" applyFont="1" applyBorder="1" applyAlignment="1">
      <alignment horizontal="left" vertical="center" wrapText="1"/>
    </xf>
    <xf numFmtId="0" fontId="150" fillId="0" borderId="110" xfId="164" applyFont="1" applyBorder="1" applyAlignment="1">
      <alignment horizontal="left" vertical="center" wrapText="1"/>
    </xf>
    <xf numFmtId="0" fontId="176" fillId="0" borderId="107" xfId="164" applyFont="1" applyBorder="1" applyAlignment="1">
      <alignment horizontal="right" vertical="center"/>
    </xf>
    <xf numFmtId="167" fontId="157" fillId="0" borderId="107" xfId="0" applyFont="1" applyBorder="1" applyAlignment="1">
      <alignment horizontal="center" vertical="center" wrapText="1"/>
    </xf>
    <xf numFmtId="167" fontId="157" fillId="2" borderId="109" xfId="0" applyFont="1" applyFill="1" applyBorder="1" applyAlignment="1">
      <alignment horizontal="center" vertical="center" wrapText="1"/>
    </xf>
    <xf numFmtId="167" fontId="157" fillId="2" borderId="108" xfId="0" applyFont="1" applyFill="1" applyBorder="1" applyAlignment="1">
      <alignment horizontal="center" vertical="center" wrapText="1"/>
    </xf>
    <xf numFmtId="167" fontId="157" fillId="0" borderId="113" xfId="0" applyFont="1" applyBorder="1" applyAlignment="1">
      <alignment horizontal="center" vertical="center" wrapText="1"/>
    </xf>
    <xf numFmtId="167" fontId="157" fillId="0" borderId="79" xfId="0" applyFont="1" applyBorder="1" applyAlignment="1">
      <alignment horizontal="center" vertical="center" wrapText="1"/>
    </xf>
    <xf numFmtId="167" fontId="157" fillId="0" borderId="137" xfId="0" applyFont="1" applyBorder="1" applyAlignment="1">
      <alignment horizontal="center" vertical="center" wrapText="1"/>
    </xf>
    <xf numFmtId="167" fontId="157" fillId="0" borderId="133" xfId="0" applyFont="1" applyBorder="1" applyAlignment="1">
      <alignment horizontal="center" vertical="center" wrapText="1"/>
    </xf>
    <xf numFmtId="0" fontId="150" fillId="0" borderId="115" xfId="215" applyFont="1" applyBorder="1" applyAlignment="1">
      <alignment vertical="center" wrapText="1"/>
    </xf>
    <xf numFmtId="0" fontId="150" fillId="0" borderId="0" xfId="215" applyFont="1" applyAlignment="1">
      <alignment vertical="center" wrapText="1"/>
    </xf>
    <xf numFmtId="0" fontId="150" fillId="0" borderId="115" xfId="215" applyFont="1" applyBorder="1" applyAlignment="1">
      <alignment horizontal="left" vertical="center" wrapText="1"/>
    </xf>
    <xf numFmtId="0" fontId="150" fillId="0" borderId="0" xfId="215" applyFont="1" applyAlignment="1">
      <alignment horizontal="left" vertical="center" wrapText="1"/>
    </xf>
    <xf numFmtId="167" fontId="153" fillId="0" borderId="111" xfId="211" applyNumberFormat="1" applyFont="1" applyBorder="1" applyAlignment="1">
      <alignment horizontal="center" vertical="center" wrapText="1"/>
    </xf>
    <xf numFmtId="167" fontId="153" fillId="0" borderId="0" xfId="211" applyNumberFormat="1" applyFont="1" applyAlignment="1">
      <alignment horizontal="center" vertical="center" wrapText="1"/>
    </xf>
    <xf numFmtId="167" fontId="153" fillId="0" borderId="12" xfId="211" applyNumberFormat="1" applyFont="1" applyBorder="1" applyAlignment="1">
      <alignment horizontal="center" vertical="center" wrapText="1"/>
    </xf>
    <xf numFmtId="2" fontId="153" fillId="0" borderId="113" xfId="211" applyNumberFormat="1" applyFont="1" applyBorder="1" applyAlignment="1">
      <alignment horizontal="center" vertical="center" wrapText="1"/>
    </xf>
    <xf numFmtId="2" fontId="153" fillId="0" borderId="119" xfId="211" applyNumberFormat="1" applyFont="1" applyBorder="1" applyAlignment="1">
      <alignment horizontal="center" vertical="center" wrapText="1"/>
    </xf>
    <xf numFmtId="2" fontId="153" fillId="0" borderId="140" xfId="211" applyNumberFormat="1" applyFont="1" applyBorder="1" applyAlignment="1">
      <alignment horizontal="center" vertical="center" wrapText="1"/>
    </xf>
    <xf numFmtId="2" fontId="153" fillId="0" borderId="111" xfId="211" applyNumberFormat="1" applyFont="1" applyBorder="1" applyAlignment="1">
      <alignment horizontal="center" vertical="center" wrapText="1"/>
    </xf>
    <xf numFmtId="2" fontId="153" fillId="0" borderId="0" xfId="211" applyNumberFormat="1" applyFont="1" applyAlignment="1">
      <alignment horizontal="center" vertical="center" wrapText="1"/>
    </xf>
    <xf numFmtId="2" fontId="153" fillId="0" borderId="12" xfId="211" applyNumberFormat="1" applyFont="1" applyBorder="1" applyAlignment="1">
      <alignment horizontal="center" vertical="center" wrapText="1"/>
    </xf>
    <xf numFmtId="0" fontId="150" fillId="0" borderId="93" xfId="211" applyFont="1" applyBorder="1" applyAlignment="1">
      <alignment horizontal="center" vertical="center" wrapText="1"/>
    </xf>
    <xf numFmtId="0" fontId="150" fillId="0" borderId="126" xfId="211" applyFont="1" applyBorder="1" applyAlignment="1">
      <alignment horizontal="center" vertical="center" wrapText="1"/>
    </xf>
    <xf numFmtId="0" fontId="153" fillId="0" borderId="119" xfId="211" applyFont="1" applyBorder="1" applyAlignment="1">
      <alignment horizontal="center" vertical="center" wrapText="1"/>
    </xf>
    <xf numFmtId="0" fontId="153" fillId="0" borderId="140" xfId="211" applyFont="1" applyBorder="1" applyAlignment="1">
      <alignment horizontal="center" vertical="center" wrapText="1"/>
    </xf>
    <xf numFmtId="0" fontId="153" fillId="0" borderId="0" xfId="211" applyFont="1" applyAlignment="1">
      <alignment horizontal="center" vertical="center" wrapText="1"/>
    </xf>
    <xf numFmtId="0" fontId="153" fillId="0" borderId="12" xfId="211" applyFont="1" applyBorder="1" applyAlignment="1">
      <alignment horizontal="center" vertical="center" wrapText="1"/>
    </xf>
    <xf numFmtId="1" fontId="153" fillId="0" borderId="119" xfId="211" applyNumberFormat="1" applyFont="1" applyBorder="1" applyAlignment="1">
      <alignment horizontal="center" vertical="center" wrapText="1"/>
    </xf>
    <xf numFmtId="1" fontId="153" fillId="0" borderId="140" xfId="211" applyNumberFormat="1" applyFont="1" applyBorder="1" applyAlignment="1">
      <alignment horizontal="center" vertical="center" wrapText="1"/>
    </xf>
    <xf numFmtId="0" fontId="150" fillId="0" borderId="125" xfId="211" applyFont="1" applyBorder="1" applyAlignment="1">
      <alignment horizontal="center" vertical="center" wrapText="1"/>
    </xf>
    <xf numFmtId="0" fontId="153" fillId="0" borderId="113" xfId="211" applyFont="1" applyBorder="1" applyAlignment="1">
      <alignment horizontal="center" vertical="center" wrapText="1"/>
    </xf>
    <xf numFmtId="0" fontId="153" fillId="0" borderId="111" xfId="211" applyFont="1" applyBorder="1" applyAlignment="1">
      <alignment horizontal="center" vertical="center" wrapText="1"/>
    </xf>
    <xf numFmtId="1" fontId="153" fillId="0" borderId="113" xfId="211" applyNumberFormat="1" applyFont="1" applyBorder="1" applyAlignment="1">
      <alignment horizontal="center" vertical="center" wrapText="1"/>
    </xf>
    <xf numFmtId="0" fontId="153" fillId="0" borderId="33" xfId="211" applyFont="1" applyBorder="1" applyAlignment="1">
      <alignment horizontal="center" vertical="center" wrapText="1"/>
    </xf>
    <xf numFmtId="1" fontId="153" fillId="0" borderId="33" xfId="211" applyNumberFormat="1" applyFont="1" applyBorder="1" applyAlignment="1">
      <alignment horizontal="center" vertical="center" wrapText="1"/>
    </xf>
    <xf numFmtId="167" fontId="157" fillId="0" borderId="0" xfId="0" applyFont="1" applyAlignment="1">
      <alignment horizontal="center" vertical="top"/>
    </xf>
    <xf numFmtId="2" fontId="153" fillId="0" borderId="33" xfId="211" applyNumberFormat="1" applyFont="1" applyBorder="1" applyAlignment="1">
      <alignment horizontal="center" vertical="center" wrapText="1"/>
    </xf>
    <xf numFmtId="167" fontId="157" fillId="0" borderId="68" xfId="0" applyFont="1" applyBorder="1" applyAlignment="1">
      <alignment horizontal="center" vertical="center" wrapText="1"/>
    </xf>
    <xf numFmtId="167" fontId="157" fillId="0" borderId="69" xfId="0" applyFont="1" applyBorder="1" applyAlignment="1">
      <alignment horizontal="center" vertical="center" wrapText="1"/>
    </xf>
    <xf numFmtId="167" fontId="157" fillId="0" borderId="67" xfId="0" applyFont="1" applyBorder="1" applyAlignment="1">
      <alignment horizontal="center" vertical="center" wrapText="1"/>
    </xf>
    <xf numFmtId="167" fontId="157" fillId="0" borderId="135" xfId="0" applyFont="1" applyBorder="1" applyAlignment="1">
      <alignment horizontal="center" vertical="center" wrapText="1"/>
    </xf>
    <xf numFmtId="167" fontId="157" fillId="0" borderId="93" xfId="0" applyFont="1" applyBorder="1" applyAlignment="1">
      <alignment horizontal="center" vertical="center" wrapText="1"/>
    </xf>
    <xf numFmtId="167" fontId="157" fillId="0" borderId="134" xfId="0" applyFont="1" applyBorder="1" applyAlignment="1">
      <alignment horizontal="center" vertical="center" wrapText="1"/>
    </xf>
    <xf numFmtId="167" fontId="157" fillId="0" borderId="49" xfId="0" applyFont="1" applyBorder="1" applyAlignment="1">
      <alignment horizontal="center" vertical="center" wrapText="1"/>
    </xf>
    <xf numFmtId="167" fontId="157" fillId="0" borderId="119" xfId="0" applyFont="1" applyBorder="1" applyAlignment="1">
      <alignment horizontal="center" vertical="center" wrapText="1"/>
    </xf>
    <xf numFmtId="167" fontId="181" fillId="0" borderId="115" xfId="0" applyFont="1" applyBorder="1" applyAlignment="1">
      <alignment horizontal="left" vertical="top"/>
    </xf>
    <xf numFmtId="167" fontId="181" fillId="0" borderId="0" xfId="0" applyFont="1" applyAlignment="1">
      <alignment horizontal="left" vertical="top"/>
    </xf>
    <xf numFmtId="167" fontId="156" fillId="0" borderId="68" xfId="0" applyFont="1" applyBorder="1" applyAlignment="1">
      <alignment horizontal="center" vertical="top" wrapText="1"/>
    </xf>
    <xf numFmtId="167" fontId="156" fillId="0" borderId="136" xfId="0" applyFont="1" applyBorder="1" applyAlignment="1">
      <alignment horizontal="center" vertical="top" wrapText="1"/>
    </xf>
    <xf numFmtId="0" fontId="182" fillId="0" borderId="65" xfId="211" applyFont="1" applyBorder="1" applyAlignment="1">
      <alignment horizontal="center"/>
    </xf>
    <xf numFmtId="0" fontId="182" fillId="0" borderId="138" xfId="211" applyFont="1" applyBorder="1" applyAlignment="1">
      <alignment horizontal="center"/>
    </xf>
    <xf numFmtId="0" fontId="125" fillId="0" borderId="119" xfId="211" applyFont="1" applyBorder="1" applyAlignment="1">
      <alignment horizontal="center" vertical="center"/>
    </xf>
    <xf numFmtId="0" fontId="125" fillId="0" borderId="33" xfId="211" applyFont="1" applyBorder="1" applyAlignment="1">
      <alignment horizontal="center" vertical="center"/>
    </xf>
    <xf numFmtId="0" fontId="125" fillId="0" borderId="65" xfId="211" applyFont="1" applyBorder="1" applyAlignment="1">
      <alignment horizontal="center"/>
    </xf>
    <xf numFmtId="0" fontId="125" fillId="0" borderId="138" xfId="211" applyFont="1" applyBorder="1" applyAlignment="1">
      <alignment horizontal="center"/>
    </xf>
    <xf numFmtId="0" fontId="125" fillId="0" borderId="113" xfId="211" applyFont="1" applyBorder="1" applyAlignment="1">
      <alignment horizontal="center"/>
    </xf>
    <xf numFmtId="0" fontId="125" fillId="0" borderId="119" xfId="211" applyFont="1" applyBorder="1" applyAlignment="1">
      <alignment horizontal="center"/>
    </xf>
    <xf numFmtId="0" fontId="125" fillId="0" borderId="140" xfId="211" applyFont="1" applyBorder="1" applyAlignment="1">
      <alignment horizontal="center"/>
    </xf>
    <xf numFmtId="0" fontId="125" fillId="0" borderId="139" xfId="211" applyFont="1" applyBorder="1" applyAlignment="1">
      <alignment horizontal="center"/>
    </xf>
    <xf numFmtId="0" fontId="125" fillId="0" borderId="137" xfId="211" applyFont="1" applyBorder="1" applyAlignment="1">
      <alignment horizontal="center"/>
    </xf>
    <xf numFmtId="0" fontId="125" fillId="0" borderId="121" xfId="211" applyFont="1" applyBorder="1" applyAlignment="1">
      <alignment horizontal="center"/>
    </xf>
    <xf numFmtId="0" fontId="125" fillId="0" borderId="142" xfId="211" applyFont="1" applyBorder="1" applyAlignment="1">
      <alignment horizontal="center"/>
    </xf>
    <xf numFmtId="0" fontId="182" fillId="0" borderId="119" xfId="211" applyFont="1" applyBorder="1" applyAlignment="1">
      <alignment horizontal="center"/>
    </xf>
    <xf numFmtId="0" fontId="182" fillId="0" borderId="140" xfId="211" applyFont="1" applyBorder="1" applyAlignment="1">
      <alignment horizontal="center"/>
    </xf>
  </cellXfs>
  <cellStyles count="230">
    <cellStyle name="20% - Accent1 2" xfId="98" xr:uid="{00000000-0005-0000-0000-000000000000}"/>
    <cellStyle name="20% - Accent2 2" xfId="99" xr:uid="{00000000-0005-0000-0000-000001000000}"/>
    <cellStyle name="20% - Accent3 2" xfId="100" xr:uid="{00000000-0005-0000-0000-000002000000}"/>
    <cellStyle name="20% - Accent4 2" xfId="101" xr:uid="{00000000-0005-0000-0000-000003000000}"/>
    <cellStyle name="20% - Accent5 2" xfId="102" xr:uid="{00000000-0005-0000-0000-000004000000}"/>
    <cellStyle name="20% - Accent6 2" xfId="103" xr:uid="{00000000-0005-0000-0000-000005000000}"/>
    <cellStyle name="40% - Accent1 2" xfId="104" xr:uid="{00000000-0005-0000-0000-000006000000}"/>
    <cellStyle name="40% - Accent2 2" xfId="105" xr:uid="{00000000-0005-0000-0000-000007000000}"/>
    <cellStyle name="40% - Accent3 2" xfId="106" xr:uid="{00000000-0005-0000-0000-000008000000}"/>
    <cellStyle name="40% - Accent4 2" xfId="107" xr:uid="{00000000-0005-0000-0000-000009000000}"/>
    <cellStyle name="40% - Accent5 2" xfId="108" xr:uid="{00000000-0005-0000-0000-00000A000000}"/>
    <cellStyle name="40% - Accent6 2" xfId="109" xr:uid="{00000000-0005-0000-0000-00000B000000}"/>
    <cellStyle name="60% - Accent1 2" xfId="110" xr:uid="{00000000-0005-0000-0000-00000C000000}"/>
    <cellStyle name="60% - Accent2 2" xfId="111" xr:uid="{00000000-0005-0000-0000-00000D000000}"/>
    <cellStyle name="60% - Accent3 2" xfId="112" xr:uid="{00000000-0005-0000-0000-00000E000000}"/>
    <cellStyle name="60% - Accent4 2" xfId="113" xr:uid="{00000000-0005-0000-0000-00000F000000}"/>
    <cellStyle name="60% - Accent5 2" xfId="114" xr:uid="{00000000-0005-0000-0000-000010000000}"/>
    <cellStyle name="60% - Accent6 2" xfId="115" xr:uid="{00000000-0005-0000-0000-000011000000}"/>
    <cellStyle name="Accent1 2" xfId="116" xr:uid="{00000000-0005-0000-0000-000012000000}"/>
    <cellStyle name="Accent2 2" xfId="117" xr:uid="{00000000-0005-0000-0000-000013000000}"/>
    <cellStyle name="Accent3 2" xfId="118" xr:uid="{00000000-0005-0000-0000-000014000000}"/>
    <cellStyle name="Accent4 2" xfId="119" xr:uid="{00000000-0005-0000-0000-000015000000}"/>
    <cellStyle name="Accent5 2" xfId="120" xr:uid="{00000000-0005-0000-0000-000016000000}"/>
    <cellStyle name="Accent6 2" xfId="121" xr:uid="{00000000-0005-0000-0000-000017000000}"/>
    <cellStyle name="Bad 2" xfId="122" xr:uid="{00000000-0005-0000-0000-000018000000}"/>
    <cellStyle name="Calculation 2" xfId="123" xr:uid="{00000000-0005-0000-0000-000019000000}"/>
    <cellStyle name="Check Cell 2" xfId="124" xr:uid="{00000000-0005-0000-0000-00001A000000}"/>
    <cellStyle name="Comma 2" xfId="96" xr:uid="{00000000-0005-0000-0000-00001B000000}"/>
    <cellStyle name="Comma 2 2" xfId="165" xr:uid="{00000000-0005-0000-0000-00001C000000}"/>
    <cellStyle name="Comma 2 3" xfId="166" xr:uid="{00000000-0005-0000-0000-00001D000000}"/>
    <cellStyle name="Comma 2 7" xfId="167" xr:uid="{00000000-0005-0000-0000-00001E000000}"/>
    <cellStyle name="Comma 3" xfId="29" xr:uid="{00000000-0005-0000-0000-00001F000000}"/>
    <cellStyle name="Comma 4" xfId="146" xr:uid="{00000000-0005-0000-0000-000020000000}"/>
    <cellStyle name="Comma 4 2" xfId="160" xr:uid="{00000000-0005-0000-0000-000021000000}"/>
    <cellStyle name="Currency 2" xfId="168" xr:uid="{00000000-0005-0000-0000-000023000000}"/>
    <cellStyle name="Currency 3" xfId="169" xr:uid="{00000000-0005-0000-0000-000024000000}"/>
    <cellStyle name="Explanatory Text 2" xfId="125" xr:uid="{00000000-0005-0000-0000-000025000000}"/>
    <cellStyle name="Good 2" xfId="126" xr:uid="{00000000-0005-0000-0000-000026000000}"/>
    <cellStyle name="Heading 1 2" xfId="127" xr:uid="{00000000-0005-0000-0000-000027000000}"/>
    <cellStyle name="Heading 2 2" xfId="128" xr:uid="{00000000-0005-0000-0000-000028000000}"/>
    <cellStyle name="Heading 3 2" xfId="129" xr:uid="{00000000-0005-0000-0000-000029000000}"/>
    <cellStyle name="Heading 4 2" xfId="130" xr:uid="{00000000-0005-0000-0000-00002A000000}"/>
    <cellStyle name="Hyperlink" xfId="1" builtinId="8"/>
    <cellStyle name="Hyperlink 2" xfId="170" xr:uid="{00000000-0005-0000-0000-00002C000000}"/>
    <cellStyle name="Hyperlink 2 2" xfId="171" xr:uid="{00000000-0005-0000-0000-00002D000000}"/>
    <cellStyle name="Input 2" xfId="131" xr:uid="{00000000-0005-0000-0000-00002E000000}"/>
    <cellStyle name="Linked Cell 2" xfId="132" xr:uid="{00000000-0005-0000-0000-00002F000000}"/>
    <cellStyle name="Neutral 2" xfId="133" xr:uid="{00000000-0005-0000-0000-000030000000}"/>
    <cellStyle name="Normal" xfId="0" builtinId="0"/>
    <cellStyle name="Normal 10" xfId="9" xr:uid="{00000000-0005-0000-0000-000032000000}"/>
    <cellStyle name="Normal 10 2" xfId="38" xr:uid="{00000000-0005-0000-0000-000033000000}"/>
    <cellStyle name="Normal 10 2 2" xfId="77" xr:uid="{00000000-0005-0000-0000-000034000000}"/>
    <cellStyle name="Normal 10 3" xfId="59" xr:uid="{00000000-0005-0000-0000-000035000000}"/>
    <cellStyle name="Normal 10 4" xfId="90" xr:uid="{00000000-0005-0000-0000-000036000000}"/>
    <cellStyle name="Normal 11" xfId="11" xr:uid="{00000000-0005-0000-0000-000037000000}"/>
    <cellStyle name="Normal 11 2" xfId="40" xr:uid="{00000000-0005-0000-0000-000038000000}"/>
    <cellStyle name="Normal 11 2 2" xfId="79" xr:uid="{00000000-0005-0000-0000-000039000000}"/>
    <cellStyle name="Normal 11 3" xfId="61" xr:uid="{00000000-0005-0000-0000-00003A000000}"/>
    <cellStyle name="Normal 12" xfId="10" xr:uid="{00000000-0005-0000-0000-00003B000000}"/>
    <cellStyle name="Normal 12 2" xfId="31" xr:uid="{00000000-0005-0000-0000-00003C000000}"/>
    <cellStyle name="Normal 12 2 2" xfId="49" xr:uid="{00000000-0005-0000-0000-00003D000000}"/>
    <cellStyle name="Normal 12 2 2 2" xfId="88" xr:uid="{00000000-0005-0000-0000-00003E000000}"/>
    <cellStyle name="Normal 12 2 3" xfId="70" xr:uid="{00000000-0005-0000-0000-00003F000000}"/>
    <cellStyle name="Normal 12 3" xfId="39" xr:uid="{00000000-0005-0000-0000-000040000000}"/>
    <cellStyle name="Normal 12 3 2" xfId="78" xr:uid="{00000000-0005-0000-0000-000041000000}"/>
    <cellStyle name="Normal 12 4" xfId="60" xr:uid="{00000000-0005-0000-0000-000042000000}"/>
    <cellStyle name="Normal 13" xfId="12" xr:uid="{00000000-0005-0000-0000-000043000000}"/>
    <cellStyle name="Normal 13 2" xfId="30" xr:uid="{00000000-0005-0000-0000-000044000000}"/>
    <cellStyle name="Normal 13 2 2" xfId="48" xr:uid="{00000000-0005-0000-0000-000045000000}"/>
    <cellStyle name="Normal 13 2 2 2" xfId="87" xr:uid="{00000000-0005-0000-0000-000046000000}"/>
    <cellStyle name="Normal 13 2 3" xfId="69" xr:uid="{00000000-0005-0000-0000-000047000000}"/>
    <cellStyle name="Normal 13 3" xfId="41" xr:uid="{00000000-0005-0000-0000-000048000000}"/>
    <cellStyle name="Normal 13 3 2" xfId="80" xr:uid="{00000000-0005-0000-0000-000049000000}"/>
    <cellStyle name="Normal 13 4" xfId="62" xr:uid="{00000000-0005-0000-0000-00004A000000}"/>
    <cellStyle name="Normal 14" xfId="13" xr:uid="{00000000-0005-0000-0000-00004B000000}"/>
    <cellStyle name="Normal 14 2" xfId="42" xr:uid="{00000000-0005-0000-0000-00004C000000}"/>
    <cellStyle name="Normal 14 2 2" xfId="81" xr:uid="{00000000-0005-0000-0000-00004D000000}"/>
    <cellStyle name="Normal 14 3" xfId="63" xr:uid="{00000000-0005-0000-0000-00004E000000}"/>
    <cellStyle name="Normal 15" xfId="20" xr:uid="{00000000-0005-0000-0000-00004F000000}"/>
    <cellStyle name="Normal 15 2" xfId="45" xr:uid="{00000000-0005-0000-0000-000050000000}"/>
    <cellStyle name="Normal 15 2 2" xfId="84" xr:uid="{00000000-0005-0000-0000-000051000000}"/>
    <cellStyle name="Normal 15 2 2 2 2" xfId="93" xr:uid="{00000000-0005-0000-0000-000052000000}"/>
    <cellStyle name="Normal 15 2 5" xfId="94" xr:uid="{00000000-0005-0000-0000-000053000000}"/>
    <cellStyle name="Normal 15 2 6" xfId="95" xr:uid="{00000000-0005-0000-0000-000054000000}"/>
    <cellStyle name="Normal 15 3" xfId="22" xr:uid="{00000000-0005-0000-0000-000055000000}"/>
    <cellStyle name="Normal 15 4" xfId="66" xr:uid="{00000000-0005-0000-0000-000056000000}"/>
    <cellStyle name="Normal 15 5" xfId="91" xr:uid="{00000000-0005-0000-0000-000057000000}"/>
    <cellStyle name="Normal 15 6" xfId="92" xr:uid="{00000000-0005-0000-0000-000058000000}"/>
    <cellStyle name="Normal 16" xfId="27" xr:uid="{00000000-0005-0000-0000-000059000000}"/>
    <cellStyle name="Normal 16 2" xfId="47" xr:uid="{00000000-0005-0000-0000-00005A000000}"/>
    <cellStyle name="Normal 16 2 2" xfId="86" xr:uid="{00000000-0005-0000-0000-00005B000000}"/>
    <cellStyle name="Normal 16 2 3" xfId="172" xr:uid="{00000000-0005-0000-0000-00005C000000}"/>
    <cellStyle name="Normal 16 2 4" xfId="173" xr:uid="{00000000-0005-0000-0000-00005D000000}"/>
    <cellStyle name="Normal 16 2 4 2" xfId="174" xr:uid="{00000000-0005-0000-0000-00005E000000}"/>
    <cellStyle name="Normal 16 3" xfId="68" xr:uid="{00000000-0005-0000-0000-00005F000000}"/>
    <cellStyle name="Normal 16 4" xfId="140" xr:uid="{00000000-0005-0000-0000-000060000000}"/>
    <cellStyle name="Normal 16 4 2" xfId="145" xr:uid="{00000000-0005-0000-0000-000061000000}"/>
    <cellStyle name="Normal 16 5" xfId="147" xr:uid="{00000000-0005-0000-0000-000062000000}"/>
    <cellStyle name="Normal 16 5 2" xfId="161" xr:uid="{00000000-0005-0000-0000-000063000000}"/>
    <cellStyle name="Normal 16 5 2 2" xfId="216" xr:uid="{00000000-0005-0000-0000-000064000000}"/>
    <cellStyle name="Normal 17" xfId="21" xr:uid="{00000000-0005-0000-0000-000065000000}"/>
    <cellStyle name="Normal 17 2" xfId="46" xr:uid="{00000000-0005-0000-0000-000066000000}"/>
    <cellStyle name="Normal 17 2 2" xfId="85" xr:uid="{00000000-0005-0000-0000-000067000000}"/>
    <cellStyle name="Normal 17 3" xfId="67" xr:uid="{00000000-0005-0000-0000-000068000000}"/>
    <cellStyle name="Normal 18" xfId="52" xr:uid="{00000000-0005-0000-0000-000069000000}"/>
    <cellStyle name="Normal 18 2" xfId="141" xr:uid="{00000000-0005-0000-0000-00006A000000}"/>
    <cellStyle name="Normal 19" xfId="51" xr:uid="{00000000-0005-0000-0000-00006B000000}"/>
    <cellStyle name="Normal 2" xfId="2" xr:uid="{00000000-0005-0000-0000-00006C000000}"/>
    <cellStyle name="Normal 2 10" xfId="26" xr:uid="{00000000-0005-0000-0000-00006D000000}"/>
    <cellStyle name="Normal 2 11" xfId="175" xr:uid="{00000000-0005-0000-0000-00006E000000}"/>
    <cellStyle name="Normal 2 12" xfId="176" xr:uid="{00000000-0005-0000-0000-00006F000000}"/>
    <cellStyle name="Normal 2 13" xfId="177" xr:uid="{00000000-0005-0000-0000-000070000000}"/>
    <cellStyle name="Normal 2 14" xfId="178" xr:uid="{00000000-0005-0000-0000-000071000000}"/>
    <cellStyle name="Normal 2 15" xfId="151" xr:uid="{00000000-0005-0000-0000-000072000000}"/>
    <cellStyle name="Normal 2 15 2" xfId="152" xr:uid="{00000000-0005-0000-0000-000073000000}"/>
    <cellStyle name="Normal 2 15 2 2" xfId="153" xr:uid="{00000000-0005-0000-0000-000074000000}"/>
    <cellStyle name="Normal 2 2" xfId="14" xr:uid="{00000000-0005-0000-0000-000075000000}"/>
    <cellStyle name="Normal 2 2 2" xfId="16" xr:uid="{00000000-0005-0000-0000-000076000000}"/>
    <cellStyle name="Normal 2 2 2 2" xfId="43" xr:uid="{00000000-0005-0000-0000-000077000000}"/>
    <cellStyle name="Normal 2 2 2 2 2" xfId="82" xr:uid="{00000000-0005-0000-0000-000078000000}"/>
    <cellStyle name="Normal 2 2 2 2 3" xfId="150" xr:uid="{00000000-0005-0000-0000-000079000000}"/>
    <cellStyle name="Normal 2 2 2 2 3 2" xfId="224" xr:uid="{00000000-0005-0000-0000-00007A000000}"/>
    <cellStyle name="Normal 2 2 2 2 3 3" xfId="227" xr:uid="{6E671452-D427-42FB-A7EE-F7DF9FA035AF}"/>
    <cellStyle name="Normal 2 2 2 2 3 4" xfId="229" xr:uid="{F2FE9EBB-0BA0-450E-9CF6-8F3003481145}"/>
    <cellStyle name="Normal 2 2 2 3" xfId="64" xr:uid="{00000000-0005-0000-0000-00007B000000}"/>
    <cellStyle name="Normal 2 2 2 3 2" xfId="179" xr:uid="{00000000-0005-0000-0000-00007C000000}"/>
    <cellStyle name="Normal 2 2 2 4" xfId="148" xr:uid="{00000000-0005-0000-0000-00007D000000}"/>
    <cellStyle name="Normal 2 2 2 4 2" xfId="212" xr:uid="{00000000-0005-0000-0000-00007E000000}"/>
    <cellStyle name="Normal 2 2 2 4 3" xfId="223" xr:uid="{00000000-0005-0000-0000-00007F000000}"/>
    <cellStyle name="Normal 2 2 2 4 4" xfId="226" xr:uid="{1049F281-8388-4692-B418-178A0AE04429}"/>
    <cellStyle name="Normal 2 2 2 5" xfId="180" xr:uid="{00000000-0005-0000-0000-000080000000}"/>
    <cellStyle name="Normal 2 2 2 6" xfId="225" xr:uid="{E9C0E485-D9FD-4797-91EE-7F4FC2F6255C}"/>
    <cellStyle name="Normal 2 2 2 8" xfId="221" xr:uid="{00000000-0005-0000-0000-000081000000}"/>
    <cellStyle name="Normal 2 2 3" xfId="181" xr:uid="{00000000-0005-0000-0000-000082000000}"/>
    <cellStyle name="Normal 2 2 4" xfId="182" xr:uid="{00000000-0005-0000-0000-000083000000}"/>
    <cellStyle name="Normal 2 3" xfId="25" xr:uid="{00000000-0005-0000-0000-000084000000}"/>
    <cellStyle name="Normal 2 3 2" xfId="183" xr:uid="{00000000-0005-0000-0000-000085000000}"/>
    <cellStyle name="Normal 2 4" xfId="24" xr:uid="{00000000-0005-0000-0000-000086000000}"/>
    <cellStyle name="Normal 2 5" xfId="142" xr:uid="{00000000-0005-0000-0000-000087000000}"/>
    <cellStyle name="Normal 2 6" xfId="184" xr:uid="{00000000-0005-0000-0000-000088000000}"/>
    <cellStyle name="Normal 2 7" xfId="185" xr:uid="{00000000-0005-0000-0000-000089000000}"/>
    <cellStyle name="Normal 2 8" xfId="186" xr:uid="{00000000-0005-0000-0000-00008A000000}"/>
    <cellStyle name="Normal 2 9" xfId="187" xr:uid="{00000000-0005-0000-0000-00008B000000}"/>
    <cellStyle name="Normal 20" xfId="28" xr:uid="{00000000-0005-0000-0000-00008C000000}"/>
    <cellStyle name="Normal 21" xfId="154" xr:uid="{00000000-0005-0000-0000-00008D000000}"/>
    <cellStyle name="Normal 21 2" xfId="155" xr:uid="{00000000-0005-0000-0000-00008E000000}"/>
    <cellStyle name="Normal 21 2 2" xfId="157" xr:uid="{00000000-0005-0000-0000-00008F000000}"/>
    <cellStyle name="Normal 21 2 2 2" xfId="164" xr:uid="{00000000-0005-0000-0000-000090000000}"/>
    <cellStyle name="Normal 21 2 2 3" xfId="215" xr:uid="{00000000-0005-0000-0000-000091000000}"/>
    <cellStyle name="Normal 21 2 2 4" xfId="220" xr:uid="{00000000-0005-0000-0000-000092000000}"/>
    <cellStyle name="Normal 21 3" xfId="156" xr:uid="{00000000-0005-0000-0000-000093000000}"/>
    <cellStyle name="Normal 21 3 2" xfId="163" xr:uid="{00000000-0005-0000-0000-000094000000}"/>
    <cellStyle name="Normal 21 3 3" xfId="214" xr:uid="{00000000-0005-0000-0000-000095000000}"/>
    <cellStyle name="Normal 21 3 4" xfId="219" xr:uid="{00000000-0005-0000-0000-000096000000}"/>
    <cellStyle name="Normal 21 4" xfId="158" xr:uid="{00000000-0005-0000-0000-000097000000}"/>
    <cellStyle name="Normal 21 4 2" xfId="162" xr:uid="{00000000-0005-0000-0000-000098000000}"/>
    <cellStyle name="Normal 21 4 3" xfId="213" xr:uid="{00000000-0005-0000-0000-000099000000}"/>
    <cellStyle name="Normal 21 4 4" xfId="218" xr:uid="{00000000-0005-0000-0000-00009A000000}"/>
    <cellStyle name="Normal 21 5" xfId="159" xr:uid="{00000000-0005-0000-0000-00009B000000}"/>
    <cellStyle name="Normal 21 5 2" xfId="211" xr:uid="{00000000-0005-0000-0000-00009C000000}"/>
    <cellStyle name="Normal 21 5 3" xfId="217" xr:uid="{00000000-0005-0000-0000-00009D000000}"/>
    <cellStyle name="Normal 22" xfId="188" xr:uid="{00000000-0005-0000-0000-00009E000000}"/>
    <cellStyle name="Normal 23" xfId="189" xr:uid="{00000000-0005-0000-0000-00009F000000}"/>
    <cellStyle name="Normal 3" xfId="17" xr:uid="{00000000-0005-0000-0000-0000A0000000}"/>
    <cellStyle name="Normal 3 10" xfId="190" xr:uid="{00000000-0005-0000-0000-0000A1000000}"/>
    <cellStyle name="Normal 3 11" xfId="191" xr:uid="{00000000-0005-0000-0000-0000A2000000}"/>
    <cellStyle name="Normal 3 11 2" xfId="192" xr:uid="{00000000-0005-0000-0000-0000A3000000}"/>
    <cellStyle name="Normal 3 11 2 2" xfId="193" xr:uid="{00000000-0005-0000-0000-0000A4000000}"/>
    <cellStyle name="Normal 3 2" xfId="19" xr:uid="{00000000-0005-0000-0000-0000A5000000}"/>
    <cellStyle name="Normal 3 2 2" xfId="134" xr:uid="{00000000-0005-0000-0000-0000A6000000}"/>
    <cellStyle name="Normal 3 2 3" xfId="149" xr:uid="{00000000-0005-0000-0000-0000A7000000}"/>
    <cellStyle name="Normal 3 3" xfId="32" xr:uid="{00000000-0005-0000-0000-0000A8000000}"/>
    <cellStyle name="Normal 3 3 2" xfId="50" xr:uid="{00000000-0005-0000-0000-0000A9000000}"/>
    <cellStyle name="Normal 3 3 2 2" xfId="89" xr:uid="{00000000-0005-0000-0000-0000AA000000}"/>
    <cellStyle name="Normal 3 3 3" xfId="71" xr:uid="{00000000-0005-0000-0000-0000AB000000}"/>
    <cellStyle name="Normal 3 3 4" xfId="144" xr:uid="{00000000-0005-0000-0000-0000AC000000}"/>
    <cellStyle name="Normal 3 3 8" xfId="222" xr:uid="{00000000-0005-0000-0000-0000AD000000}"/>
    <cellStyle name="Normal 3 4" xfId="194" xr:uid="{00000000-0005-0000-0000-0000AE000000}"/>
    <cellStyle name="Normal 3 5" xfId="195" xr:uid="{00000000-0005-0000-0000-0000AF000000}"/>
    <cellStyle name="Normal 3 6" xfId="196" xr:uid="{00000000-0005-0000-0000-0000B0000000}"/>
    <cellStyle name="Normal 3 7" xfId="197" xr:uid="{00000000-0005-0000-0000-0000B1000000}"/>
    <cellStyle name="Normal 3 8" xfId="198" xr:uid="{00000000-0005-0000-0000-0000B2000000}"/>
    <cellStyle name="Normal 3 9" xfId="199" xr:uid="{00000000-0005-0000-0000-0000B3000000}"/>
    <cellStyle name="Normal 4" xfId="18" xr:uid="{00000000-0005-0000-0000-0000B4000000}"/>
    <cellStyle name="Normal 4 2" xfId="44" xr:uid="{00000000-0005-0000-0000-0000B5000000}"/>
    <cellStyle name="Normal 4 2 2" xfId="83" xr:uid="{00000000-0005-0000-0000-0000B6000000}"/>
    <cellStyle name="Normal 4 3" xfId="65" xr:uid="{00000000-0005-0000-0000-0000B7000000}"/>
    <cellStyle name="Normal 5" xfId="4" xr:uid="{00000000-0005-0000-0000-0000B8000000}"/>
    <cellStyle name="Normal 5 2" xfId="33" xr:uid="{00000000-0005-0000-0000-0000B9000000}"/>
    <cellStyle name="Normal 5 2 2" xfId="72" xr:uid="{00000000-0005-0000-0000-0000BA000000}"/>
    <cellStyle name="Normal 5 3" xfId="54" xr:uid="{00000000-0005-0000-0000-0000BB000000}"/>
    <cellStyle name="Normal 6" xfId="6" xr:uid="{00000000-0005-0000-0000-0000BC000000}"/>
    <cellStyle name="Normal 6 2" xfId="35" xr:uid="{00000000-0005-0000-0000-0000BD000000}"/>
    <cellStyle name="Normal 6 2 2" xfId="74" xr:uid="{00000000-0005-0000-0000-0000BE000000}"/>
    <cellStyle name="Normal 6 3" xfId="56" xr:uid="{00000000-0005-0000-0000-0000BF000000}"/>
    <cellStyle name="Normal 6 4" xfId="143" xr:uid="{00000000-0005-0000-0000-0000C0000000}"/>
    <cellStyle name="Normal 7" xfId="7" xr:uid="{00000000-0005-0000-0000-0000C1000000}"/>
    <cellStyle name="Normal 7 2" xfId="36" xr:uid="{00000000-0005-0000-0000-0000C2000000}"/>
    <cellStyle name="Normal 7 2 2" xfId="75" xr:uid="{00000000-0005-0000-0000-0000C3000000}"/>
    <cellStyle name="Normal 7 3" xfId="57" xr:uid="{00000000-0005-0000-0000-0000C4000000}"/>
    <cellStyle name="Normal 7 4" xfId="200" xr:uid="{00000000-0005-0000-0000-0000C5000000}"/>
    <cellStyle name="Normal 7 5" xfId="201" xr:uid="{00000000-0005-0000-0000-0000C6000000}"/>
    <cellStyle name="Normal 7 6" xfId="202" xr:uid="{00000000-0005-0000-0000-0000C7000000}"/>
    <cellStyle name="Normal 7 7" xfId="203" xr:uid="{00000000-0005-0000-0000-0000C8000000}"/>
    <cellStyle name="Normal 7 8" xfId="204" xr:uid="{00000000-0005-0000-0000-0000C9000000}"/>
    <cellStyle name="Normal 8" xfId="5" xr:uid="{00000000-0005-0000-0000-0000CA000000}"/>
    <cellStyle name="Normal 8 2" xfId="34" xr:uid="{00000000-0005-0000-0000-0000CB000000}"/>
    <cellStyle name="Normal 8 2 2" xfId="73" xr:uid="{00000000-0005-0000-0000-0000CC000000}"/>
    <cellStyle name="Normal 8 3" xfId="55" xr:uid="{00000000-0005-0000-0000-0000CD000000}"/>
    <cellStyle name="Normal 9" xfId="8" xr:uid="{00000000-0005-0000-0000-0000CE000000}"/>
    <cellStyle name="Normal 9 2" xfId="37" xr:uid="{00000000-0005-0000-0000-0000CF000000}"/>
    <cellStyle name="Normal 9 2 2" xfId="76" xr:uid="{00000000-0005-0000-0000-0000D0000000}"/>
    <cellStyle name="Normal 9 2 3" xfId="228" xr:uid="{C8735824-C8D5-4C6F-A82B-ED553F42CF10}"/>
    <cellStyle name="Normal 9 3" xfId="58" xr:uid="{00000000-0005-0000-0000-0000D1000000}"/>
    <cellStyle name="Normal_Sheet2" xfId="23" xr:uid="{00000000-0005-0000-0000-0000D2000000}"/>
    <cellStyle name="Note 2" xfId="135" xr:uid="{00000000-0005-0000-0000-0000D3000000}"/>
    <cellStyle name="Output 2" xfId="136" xr:uid="{00000000-0005-0000-0000-0000D4000000}"/>
    <cellStyle name="Percent" xfId="3" builtinId="5"/>
    <cellStyle name="Percent 10" xfId="97" xr:uid="{00000000-0005-0000-0000-0000D6000000}"/>
    <cellStyle name="Percent 10 2" xfId="205" xr:uid="{00000000-0005-0000-0000-0000D7000000}"/>
    <cellStyle name="Percent 15" xfId="206" xr:uid="{00000000-0005-0000-0000-0000D8000000}"/>
    <cellStyle name="Percent 2" xfId="53" xr:uid="{00000000-0005-0000-0000-0000D9000000}"/>
    <cellStyle name="Percent 3" xfId="15" xr:uid="{00000000-0005-0000-0000-0000DA000000}"/>
    <cellStyle name="Percent 4" xfId="207" xr:uid="{00000000-0005-0000-0000-0000DB000000}"/>
    <cellStyle name="Percent 5" xfId="208" xr:uid="{00000000-0005-0000-0000-0000DC000000}"/>
    <cellStyle name="Percent 6" xfId="209" xr:uid="{00000000-0005-0000-0000-0000DD000000}"/>
    <cellStyle name="Title 2" xfId="137" xr:uid="{00000000-0005-0000-0000-0000DE000000}"/>
    <cellStyle name="Total 2" xfId="138" xr:uid="{00000000-0005-0000-0000-0000DF000000}"/>
    <cellStyle name="Warning Text 2" xfId="139" xr:uid="{00000000-0005-0000-0000-0000E0000000}"/>
    <cellStyle name="常规_Sheet4_1" xfId="210" xr:uid="{00000000-0005-0000-0000-0000E1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externalLink" Target="externalLinks/externalLink15.xml"/><Relationship Id="rId1" Type="http://schemas.openxmlformats.org/officeDocument/2006/relationships/worksheet" Target="worksheets/sheet1.xml"/><Relationship Id="rId6" Type="http://schemas.openxmlformats.org/officeDocument/2006/relationships/worksheet" Target="worksheets/sheet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n-GB"/>
              <a:t>Basic Cost</a:t>
            </a:r>
          </a:p>
        </c:rich>
      </c:tx>
      <c:layout>
        <c:manualLayout>
          <c:xMode val="edge"/>
          <c:yMode val="edge"/>
          <c:x val="0.26239931547018158"/>
          <c:y val="0.84897959183673455"/>
        </c:manualLayout>
      </c:layout>
      <c:overlay val="1"/>
    </c:title>
    <c:autoTitleDeleted val="0"/>
    <c:view3D>
      <c:rotX val="30"/>
      <c:rotY val="0"/>
      <c:rAngAx val="0"/>
    </c:view3D>
    <c:floor>
      <c:thickness val="0"/>
    </c:floor>
    <c:sideWall>
      <c:thickness val="0"/>
    </c:sideWall>
    <c:backWall>
      <c:thickness val="0"/>
    </c:backWall>
    <c:plotArea>
      <c:layout>
        <c:manualLayout>
          <c:layoutTarget val="inner"/>
          <c:xMode val="edge"/>
          <c:yMode val="edge"/>
          <c:x val="7.4432864522207695E-2"/>
          <c:y val="1.3542063725695648E-2"/>
          <c:w val="0.59997978078356407"/>
          <c:h val="0.89339125712734191"/>
        </c:manualLayout>
      </c:layout>
      <c:pie3DChart>
        <c:varyColors val="1"/>
        <c:ser>
          <c:idx val="0"/>
          <c:order val="0"/>
          <c:dPt>
            <c:idx val="0"/>
            <c:bubble3D val="0"/>
            <c:extLst>
              <c:ext xmlns:c16="http://schemas.microsoft.com/office/drawing/2014/chart" uri="{C3380CC4-5D6E-409C-BE32-E72D297353CC}">
                <c16:uniqueId val="{00000000-84BF-4DA2-A63B-2260E9C7B67C}"/>
              </c:ext>
            </c:extLst>
          </c:dPt>
          <c:dPt>
            <c:idx val="1"/>
            <c:bubble3D val="0"/>
            <c:extLst>
              <c:ext xmlns:c16="http://schemas.microsoft.com/office/drawing/2014/chart" uri="{C3380CC4-5D6E-409C-BE32-E72D297353CC}">
                <c16:uniqueId val="{00000001-84BF-4DA2-A63B-2260E9C7B67C}"/>
              </c:ext>
            </c:extLst>
          </c:dPt>
          <c:dPt>
            <c:idx val="2"/>
            <c:bubble3D val="0"/>
            <c:extLst>
              <c:ext xmlns:c16="http://schemas.microsoft.com/office/drawing/2014/chart" uri="{C3380CC4-5D6E-409C-BE32-E72D297353CC}">
                <c16:uniqueId val="{00000002-84BF-4DA2-A63B-2260E9C7B67C}"/>
              </c:ext>
            </c:extLst>
          </c:dPt>
          <c:dPt>
            <c:idx val="3"/>
            <c:bubble3D val="0"/>
            <c:extLst>
              <c:ext xmlns:c16="http://schemas.microsoft.com/office/drawing/2014/chart" uri="{C3380CC4-5D6E-409C-BE32-E72D297353CC}">
                <c16:uniqueId val="{00000003-84BF-4DA2-A63B-2260E9C7B67C}"/>
              </c:ext>
            </c:extLst>
          </c:dPt>
          <c:dPt>
            <c:idx val="4"/>
            <c:bubble3D val="0"/>
            <c:extLst>
              <c:ext xmlns:c16="http://schemas.microsoft.com/office/drawing/2014/chart" uri="{C3380CC4-5D6E-409C-BE32-E72D297353CC}">
                <c16:uniqueId val="{00000004-84BF-4DA2-A63B-2260E9C7B67C}"/>
              </c:ext>
            </c:extLst>
          </c:dPt>
          <c:dPt>
            <c:idx val="5"/>
            <c:bubble3D val="0"/>
            <c:extLst>
              <c:ext xmlns:c16="http://schemas.microsoft.com/office/drawing/2014/chart" uri="{C3380CC4-5D6E-409C-BE32-E72D297353CC}">
                <c16:uniqueId val="{00000005-84BF-4DA2-A63B-2260E9C7B67C}"/>
              </c:ext>
            </c:extLst>
          </c:dPt>
          <c:dPt>
            <c:idx val="6"/>
            <c:bubble3D val="0"/>
            <c:extLst>
              <c:ext xmlns:c16="http://schemas.microsoft.com/office/drawing/2014/chart" uri="{C3380CC4-5D6E-409C-BE32-E72D297353CC}">
                <c16:uniqueId val="{00000006-84BF-4DA2-A63B-2260E9C7B67C}"/>
              </c:ext>
            </c:extLst>
          </c:dPt>
          <c:dPt>
            <c:idx val="7"/>
            <c:bubble3D val="0"/>
            <c:extLst>
              <c:ext xmlns:c16="http://schemas.microsoft.com/office/drawing/2014/chart" uri="{C3380CC4-5D6E-409C-BE32-E72D297353CC}">
                <c16:uniqueId val="{00000007-84BF-4DA2-A63B-2260E9C7B67C}"/>
              </c:ext>
            </c:extLst>
          </c:dPt>
          <c:dPt>
            <c:idx val="8"/>
            <c:bubble3D val="0"/>
            <c:extLst>
              <c:ext xmlns:c16="http://schemas.microsoft.com/office/drawing/2014/chart" uri="{C3380CC4-5D6E-409C-BE32-E72D297353CC}">
                <c16:uniqueId val="{00000008-84BF-4DA2-A63B-2260E9C7B67C}"/>
              </c:ext>
            </c:extLst>
          </c:dPt>
          <c:dPt>
            <c:idx val="9"/>
            <c:bubble3D val="0"/>
            <c:extLst>
              <c:ext xmlns:c16="http://schemas.microsoft.com/office/drawing/2014/chart" uri="{C3380CC4-5D6E-409C-BE32-E72D297353CC}">
                <c16:uniqueId val="{00000009-84BF-4DA2-A63B-2260E9C7B67C}"/>
              </c:ext>
            </c:extLst>
          </c:dPt>
          <c:dPt>
            <c:idx val="10"/>
            <c:bubble3D val="0"/>
            <c:extLst>
              <c:ext xmlns:c16="http://schemas.microsoft.com/office/drawing/2014/chart" uri="{C3380CC4-5D6E-409C-BE32-E72D297353CC}">
                <c16:uniqueId val="{0000000A-84BF-4DA2-A63B-2260E9C7B67C}"/>
              </c:ext>
            </c:extLst>
          </c:dPt>
          <c:dLbls>
            <c:spPr>
              <a:noFill/>
              <a:ln>
                <a:noFill/>
              </a:ln>
              <a:effectLst/>
            </c:spPr>
            <c:txPr>
              <a:bodyPr/>
              <a:lstStyle/>
              <a:p>
                <a:pPr>
                  <a:defRPr sz="1000" b="0" i="0" u="none" strike="noStrike" baseline="0">
                    <a:solidFill>
                      <a:srgbClr val="000000"/>
                    </a:solidFill>
                    <a:latin typeface="Calibri"/>
                    <a:ea typeface="Calibri"/>
                    <a:cs typeface="Calibri"/>
                  </a:defRPr>
                </a:pPr>
                <a:endParaRPr lang="en-US"/>
              </a:p>
            </c:txPr>
            <c:dLblPos val="outEnd"/>
            <c:showLegendKey val="0"/>
            <c:showVal val="0"/>
            <c:showCatName val="0"/>
            <c:showSerName val="0"/>
            <c:showPercent val="1"/>
            <c:showBubbleSize val="0"/>
            <c:showLeaderLines val="1"/>
            <c:extLst>
              <c:ext xmlns:c15="http://schemas.microsoft.com/office/drawing/2012/chart" uri="{CE6537A1-D6FC-4f65-9D91-7224C49458BB}"/>
            </c:extLst>
          </c:dLbls>
          <c:cat>
            <c:strRef>
              <c:f>'Pie Chart'!$B$3:$B$6</c:f>
              <c:strCache>
                <c:ptCount val="4"/>
                <c:pt idx="0">
                  <c:v>Mechanical</c:v>
                </c:pt>
                <c:pt idx="1">
                  <c:v>Electrical</c:v>
                </c:pt>
                <c:pt idx="2">
                  <c:v>Building Structure</c:v>
                </c:pt>
                <c:pt idx="3">
                  <c:v>Civil others</c:v>
                </c:pt>
              </c:strCache>
            </c:strRef>
          </c:cat>
          <c:val>
            <c:numRef>
              <c:f>'Pie Chart'!$C$3:$C$6</c:f>
              <c:numCache>
                <c:formatCode>0.00_)</c:formatCode>
                <c:ptCount val="4"/>
                <c:pt idx="0">
                  <c:v>0</c:v>
                </c:pt>
                <c:pt idx="1">
                  <c:v>0</c:v>
                </c:pt>
                <c:pt idx="2">
                  <c:v>0</c:v>
                </c:pt>
                <c:pt idx="3">
                  <c:v>0</c:v>
                </c:pt>
              </c:numCache>
            </c:numRef>
          </c:val>
          <c:extLst>
            <c:ext xmlns:c16="http://schemas.microsoft.com/office/drawing/2014/chart" uri="{C3380CC4-5D6E-409C-BE32-E72D297353CC}">
              <c16:uniqueId val="{0000000B-84BF-4DA2-A63B-2260E9C7B67C}"/>
            </c:ext>
          </c:extLst>
        </c:ser>
        <c:dLbls>
          <c:showLegendKey val="0"/>
          <c:showVal val="0"/>
          <c:showCatName val="0"/>
          <c:showSerName val="0"/>
          <c:showPercent val="0"/>
          <c:showBubbleSize val="0"/>
          <c:showLeaderLines val="1"/>
        </c:dLbls>
      </c:pie3DChart>
      <c:spPr>
        <a:noFill/>
        <a:ln w="25400">
          <a:noFill/>
        </a:ln>
      </c:spPr>
    </c:plotArea>
    <c:legend>
      <c:legendPos val="r"/>
      <c:layout>
        <c:manualLayout>
          <c:xMode val="edge"/>
          <c:yMode val="edge"/>
          <c:x val="0.72689067712689759"/>
          <c:y val="3.2915713122066641E-2"/>
          <c:w val="0.24910347744993411"/>
          <c:h val="0.94826344982739219"/>
        </c:manualLayout>
      </c:layout>
      <c:overlay val="0"/>
      <c:txPr>
        <a:bodyPr/>
        <a:lstStyle/>
        <a:p>
          <a:pPr rtl="0">
            <a:defRPr sz="92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838200</xdr:colOff>
      <xdr:row>6</xdr:row>
      <xdr:rowOff>0</xdr:rowOff>
    </xdr:from>
    <xdr:to>
      <xdr:col>1</xdr:col>
      <xdr:colOff>942975</xdr:colOff>
      <xdr:row>7</xdr:row>
      <xdr:rowOff>78018</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1228725" y="1685925"/>
          <a:ext cx="104775" cy="3637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838200</xdr:colOff>
      <xdr:row>6</xdr:row>
      <xdr:rowOff>0</xdr:rowOff>
    </xdr:from>
    <xdr:to>
      <xdr:col>1</xdr:col>
      <xdr:colOff>942975</xdr:colOff>
      <xdr:row>6</xdr:row>
      <xdr:rowOff>161925</xdr:rowOff>
    </xdr:to>
    <xdr:sp macro="" textlink="">
      <xdr:nvSpPr>
        <xdr:cNvPr id="3" name="Text Box 2">
          <a:extLst>
            <a:ext uri="{FF2B5EF4-FFF2-40B4-BE49-F238E27FC236}">
              <a16:creationId xmlns:a16="http://schemas.microsoft.com/office/drawing/2014/main" id="{00000000-0008-0000-0000-000003000000}"/>
            </a:ext>
          </a:extLst>
        </xdr:cNvPr>
        <xdr:cNvSpPr txBox="1">
          <a:spLocks noChangeArrowheads="1"/>
        </xdr:cNvSpPr>
      </xdr:nvSpPr>
      <xdr:spPr bwMode="auto">
        <a:xfrm>
          <a:off x="1228725" y="1685925"/>
          <a:ext cx="1047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838200</xdr:colOff>
      <xdr:row>6</xdr:row>
      <xdr:rowOff>0</xdr:rowOff>
    </xdr:from>
    <xdr:to>
      <xdr:col>1</xdr:col>
      <xdr:colOff>942975</xdr:colOff>
      <xdr:row>7</xdr:row>
      <xdr:rowOff>78018</xdr:rowOff>
    </xdr:to>
    <xdr:sp macro="" textlink="">
      <xdr:nvSpPr>
        <xdr:cNvPr id="4" name="Text Box 1">
          <a:extLst>
            <a:ext uri="{FF2B5EF4-FFF2-40B4-BE49-F238E27FC236}">
              <a16:creationId xmlns:a16="http://schemas.microsoft.com/office/drawing/2014/main" id="{00000000-0008-0000-0000-000004000000}"/>
            </a:ext>
          </a:extLst>
        </xdr:cNvPr>
        <xdr:cNvSpPr txBox="1">
          <a:spLocks noChangeArrowheads="1"/>
        </xdr:cNvSpPr>
      </xdr:nvSpPr>
      <xdr:spPr bwMode="auto">
        <a:xfrm>
          <a:off x="1228725" y="1685925"/>
          <a:ext cx="104775" cy="3637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838200</xdr:colOff>
      <xdr:row>6</xdr:row>
      <xdr:rowOff>0</xdr:rowOff>
    </xdr:from>
    <xdr:to>
      <xdr:col>1</xdr:col>
      <xdr:colOff>942975</xdr:colOff>
      <xdr:row>6</xdr:row>
      <xdr:rowOff>161925</xdr:rowOff>
    </xdr:to>
    <xdr:sp macro="" textlink="">
      <xdr:nvSpPr>
        <xdr:cNvPr id="5" name="Text Box 2">
          <a:extLst>
            <a:ext uri="{FF2B5EF4-FFF2-40B4-BE49-F238E27FC236}">
              <a16:creationId xmlns:a16="http://schemas.microsoft.com/office/drawing/2014/main" id="{00000000-0008-0000-0000-000005000000}"/>
            </a:ext>
          </a:extLst>
        </xdr:cNvPr>
        <xdr:cNvSpPr txBox="1">
          <a:spLocks noChangeArrowheads="1"/>
        </xdr:cNvSpPr>
      </xdr:nvSpPr>
      <xdr:spPr bwMode="auto">
        <a:xfrm>
          <a:off x="1228725" y="1685925"/>
          <a:ext cx="1047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838200</xdr:colOff>
      <xdr:row>6</xdr:row>
      <xdr:rowOff>0</xdr:rowOff>
    </xdr:from>
    <xdr:to>
      <xdr:col>1</xdr:col>
      <xdr:colOff>942975</xdr:colOff>
      <xdr:row>7</xdr:row>
      <xdr:rowOff>146873</xdr:rowOff>
    </xdr:to>
    <xdr:sp macro="" textlink="">
      <xdr:nvSpPr>
        <xdr:cNvPr id="2" name="Text Box 1">
          <a:extLst>
            <a:ext uri="{FF2B5EF4-FFF2-40B4-BE49-F238E27FC236}">
              <a16:creationId xmlns:a16="http://schemas.microsoft.com/office/drawing/2014/main" id="{00000000-0008-0000-0100-000002000000}"/>
            </a:ext>
          </a:extLst>
        </xdr:cNvPr>
        <xdr:cNvSpPr txBox="1">
          <a:spLocks noChangeArrowheads="1"/>
        </xdr:cNvSpPr>
      </xdr:nvSpPr>
      <xdr:spPr bwMode="auto">
        <a:xfrm>
          <a:off x="1228725" y="1685925"/>
          <a:ext cx="104775" cy="36594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838200</xdr:colOff>
      <xdr:row>6</xdr:row>
      <xdr:rowOff>0</xdr:rowOff>
    </xdr:from>
    <xdr:to>
      <xdr:col>1</xdr:col>
      <xdr:colOff>942975</xdr:colOff>
      <xdr:row>6</xdr:row>
      <xdr:rowOff>161925</xdr:rowOff>
    </xdr:to>
    <xdr:sp macro="" textlink="">
      <xdr:nvSpPr>
        <xdr:cNvPr id="3" name="Text Box 2">
          <a:extLst>
            <a:ext uri="{FF2B5EF4-FFF2-40B4-BE49-F238E27FC236}">
              <a16:creationId xmlns:a16="http://schemas.microsoft.com/office/drawing/2014/main" id="{00000000-0008-0000-0100-000003000000}"/>
            </a:ext>
          </a:extLst>
        </xdr:cNvPr>
        <xdr:cNvSpPr txBox="1">
          <a:spLocks noChangeArrowheads="1"/>
        </xdr:cNvSpPr>
      </xdr:nvSpPr>
      <xdr:spPr bwMode="auto">
        <a:xfrm>
          <a:off x="1228725" y="1685925"/>
          <a:ext cx="1047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838200</xdr:colOff>
      <xdr:row>6</xdr:row>
      <xdr:rowOff>0</xdr:rowOff>
    </xdr:from>
    <xdr:to>
      <xdr:col>1</xdr:col>
      <xdr:colOff>942975</xdr:colOff>
      <xdr:row>7</xdr:row>
      <xdr:rowOff>146873</xdr:rowOff>
    </xdr:to>
    <xdr:sp macro="" textlink="">
      <xdr:nvSpPr>
        <xdr:cNvPr id="4" name="Text Box 1">
          <a:extLst>
            <a:ext uri="{FF2B5EF4-FFF2-40B4-BE49-F238E27FC236}">
              <a16:creationId xmlns:a16="http://schemas.microsoft.com/office/drawing/2014/main" id="{00000000-0008-0000-0100-000004000000}"/>
            </a:ext>
          </a:extLst>
        </xdr:cNvPr>
        <xdr:cNvSpPr txBox="1">
          <a:spLocks noChangeArrowheads="1"/>
        </xdr:cNvSpPr>
      </xdr:nvSpPr>
      <xdr:spPr bwMode="auto">
        <a:xfrm>
          <a:off x="1228725" y="1685925"/>
          <a:ext cx="104775" cy="36594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838200</xdr:colOff>
      <xdr:row>6</xdr:row>
      <xdr:rowOff>0</xdr:rowOff>
    </xdr:from>
    <xdr:to>
      <xdr:col>1</xdr:col>
      <xdr:colOff>942975</xdr:colOff>
      <xdr:row>6</xdr:row>
      <xdr:rowOff>161925</xdr:rowOff>
    </xdr:to>
    <xdr:sp macro="" textlink="">
      <xdr:nvSpPr>
        <xdr:cNvPr id="5" name="Text Box 2">
          <a:extLst>
            <a:ext uri="{FF2B5EF4-FFF2-40B4-BE49-F238E27FC236}">
              <a16:creationId xmlns:a16="http://schemas.microsoft.com/office/drawing/2014/main" id="{00000000-0008-0000-0100-000005000000}"/>
            </a:ext>
          </a:extLst>
        </xdr:cNvPr>
        <xdr:cNvSpPr txBox="1">
          <a:spLocks noChangeArrowheads="1"/>
        </xdr:cNvSpPr>
      </xdr:nvSpPr>
      <xdr:spPr bwMode="auto">
        <a:xfrm>
          <a:off x="1228725" y="1685925"/>
          <a:ext cx="1047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24</xdr:col>
      <xdr:colOff>666750</xdr:colOff>
      <xdr:row>39</xdr:row>
      <xdr:rowOff>238125</xdr:rowOff>
    </xdr:from>
    <xdr:to>
      <xdr:col>24</xdr:col>
      <xdr:colOff>666750</xdr:colOff>
      <xdr:row>41</xdr:row>
      <xdr:rowOff>0</xdr:rowOff>
    </xdr:to>
    <xdr:sp macro="" textlink="">
      <xdr:nvSpPr>
        <xdr:cNvPr id="20597" name="Line 1">
          <a:extLst>
            <a:ext uri="{FF2B5EF4-FFF2-40B4-BE49-F238E27FC236}">
              <a16:creationId xmlns:a16="http://schemas.microsoft.com/office/drawing/2014/main" id="{00000000-0008-0000-0400-000075500000}"/>
            </a:ext>
          </a:extLst>
        </xdr:cNvPr>
        <xdr:cNvSpPr>
          <a:spLocks noChangeShapeType="1"/>
        </xdr:cNvSpPr>
      </xdr:nvSpPr>
      <xdr:spPr bwMode="auto">
        <a:xfrm>
          <a:off x="24803100" y="9896475"/>
          <a:ext cx="0" cy="257175"/>
        </a:xfrm>
        <a:prstGeom prst="line">
          <a:avLst/>
        </a:prstGeom>
        <a:noFill/>
        <a:ln w="9525">
          <a:solidFill>
            <a:srgbClr val="000000"/>
          </a:solidFill>
          <a:round/>
          <a:headEnd/>
          <a:tailEnd type="triangle" w="med" len="med"/>
        </a:ln>
      </xdr:spPr>
    </xdr:sp>
    <xdr:clientData/>
  </xdr:twoCellAnchor>
  <xdr:twoCellAnchor>
    <xdr:from>
      <xdr:col>24</xdr:col>
      <xdr:colOff>657225</xdr:colOff>
      <xdr:row>3</xdr:row>
      <xdr:rowOff>0</xdr:rowOff>
    </xdr:from>
    <xdr:to>
      <xdr:col>24</xdr:col>
      <xdr:colOff>657225</xdr:colOff>
      <xdr:row>4</xdr:row>
      <xdr:rowOff>9525</xdr:rowOff>
    </xdr:to>
    <xdr:sp macro="" textlink="">
      <xdr:nvSpPr>
        <xdr:cNvPr id="20599" name="Line 3">
          <a:extLst>
            <a:ext uri="{FF2B5EF4-FFF2-40B4-BE49-F238E27FC236}">
              <a16:creationId xmlns:a16="http://schemas.microsoft.com/office/drawing/2014/main" id="{00000000-0008-0000-0400-000077500000}"/>
            </a:ext>
          </a:extLst>
        </xdr:cNvPr>
        <xdr:cNvSpPr>
          <a:spLocks noChangeShapeType="1"/>
        </xdr:cNvSpPr>
      </xdr:nvSpPr>
      <xdr:spPr bwMode="auto">
        <a:xfrm>
          <a:off x="24793575" y="742950"/>
          <a:ext cx="0" cy="257175"/>
        </a:xfrm>
        <a:prstGeom prst="line">
          <a:avLst/>
        </a:prstGeom>
        <a:noFill/>
        <a:ln w="9525">
          <a:solidFill>
            <a:srgbClr val="000000"/>
          </a:solidFill>
          <a:round/>
          <a:headEnd/>
          <a:tailEnd type="triangle" w="med" len="med"/>
        </a:ln>
      </xdr:spPr>
    </xdr:sp>
    <xdr:clientData/>
  </xdr:twoCellAnchor>
  <xdr:twoCellAnchor>
    <xdr:from>
      <xdr:col>24</xdr:col>
      <xdr:colOff>657225</xdr:colOff>
      <xdr:row>3</xdr:row>
      <xdr:rowOff>0</xdr:rowOff>
    </xdr:from>
    <xdr:to>
      <xdr:col>26</xdr:col>
      <xdr:colOff>276225</xdr:colOff>
      <xdr:row>3</xdr:row>
      <xdr:rowOff>0</xdr:rowOff>
    </xdr:to>
    <xdr:sp macro="" textlink="">
      <xdr:nvSpPr>
        <xdr:cNvPr id="20600" name="Line 4">
          <a:extLst>
            <a:ext uri="{FF2B5EF4-FFF2-40B4-BE49-F238E27FC236}">
              <a16:creationId xmlns:a16="http://schemas.microsoft.com/office/drawing/2014/main" id="{00000000-0008-0000-0400-000078500000}"/>
            </a:ext>
          </a:extLst>
        </xdr:cNvPr>
        <xdr:cNvSpPr>
          <a:spLocks noChangeShapeType="1"/>
        </xdr:cNvSpPr>
      </xdr:nvSpPr>
      <xdr:spPr bwMode="auto">
        <a:xfrm>
          <a:off x="24793575" y="742950"/>
          <a:ext cx="1562100" cy="0"/>
        </a:xfrm>
        <a:prstGeom prst="line">
          <a:avLst/>
        </a:prstGeom>
        <a:noFill/>
        <a:ln w="9525">
          <a:solidFill>
            <a:srgbClr val="000000"/>
          </a:solidFill>
          <a:round/>
          <a:headEnd/>
          <a:tailEnd/>
        </a:ln>
      </xdr:spPr>
    </xdr:sp>
    <xdr:clientData/>
  </xdr:twoCellAnchor>
  <xdr:twoCellAnchor>
    <xdr:from>
      <xdr:col>24</xdr:col>
      <xdr:colOff>685800</xdr:colOff>
      <xdr:row>16</xdr:row>
      <xdr:rowOff>238125</xdr:rowOff>
    </xdr:from>
    <xdr:to>
      <xdr:col>26</xdr:col>
      <xdr:colOff>619125</xdr:colOff>
      <xdr:row>17</xdr:row>
      <xdr:rowOff>0</xdr:rowOff>
    </xdr:to>
    <xdr:sp macro="" textlink="">
      <xdr:nvSpPr>
        <xdr:cNvPr id="20601" name="Line 5">
          <a:extLst>
            <a:ext uri="{FF2B5EF4-FFF2-40B4-BE49-F238E27FC236}">
              <a16:creationId xmlns:a16="http://schemas.microsoft.com/office/drawing/2014/main" id="{00000000-0008-0000-0400-000079500000}"/>
            </a:ext>
          </a:extLst>
        </xdr:cNvPr>
        <xdr:cNvSpPr>
          <a:spLocks noChangeShapeType="1"/>
        </xdr:cNvSpPr>
      </xdr:nvSpPr>
      <xdr:spPr bwMode="auto">
        <a:xfrm>
          <a:off x="24822150" y="4200525"/>
          <a:ext cx="1876425" cy="9525"/>
        </a:xfrm>
        <a:prstGeom prst="line">
          <a:avLst/>
        </a:prstGeom>
        <a:noFill/>
        <a:ln w="9525">
          <a:solidFill>
            <a:srgbClr val="000000"/>
          </a:solidFill>
          <a:round/>
          <a:headEnd/>
          <a:tailEnd/>
        </a:ln>
      </xdr:spPr>
    </xdr:sp>
    <xdr:clientData/>
  </xdr:twoCellAnchor>
  <xdr:twoCellAnchor>
    <xdr:from>
      <xdr:col>24</xdr:col>
      <xdr:colOff>666750</xdr:colOff>
      <xdr:row>16</xdr:row>
      <xdr:rowOff>228600</xdr:rowOff>
    </xdr:from>
    <xdr:to>
      <xdr:col>24</xdr:col>
      <xdr:colOff>666750</xdr:colOff>
      <xdr:row>17</xdr:row>
      <xdr:rowOff>238125</xdr:rowOff>
    </xdr:to>
    <xdr:sp macro="" textlink="">
      <xdr:nvSpPr>
        <xdr:cNvPr id="20602" name="Line 6">
          <a:extLst>
            <a:ext uri="{FF2B5EF4-FFF2-40B4-BE49-F238E27FC236}">
              <a16:creationId xmlns:a16="http://schemas.microsoft.com/office/drawing/2014/main" id="{00000000-0008-0000-0400-00007A500000}"/>
            </a:ext>
          </a:extLst>
        </xdr:cNvPr>
        <xdr:cNvSpPr>
          <a:spLocks noChangeShapeType="1"/>
        </xdr:cNvSpPr>
      </xdr:nvSpPr>
      <xdr:spPr bwMode="auto">
        <a:xfrm>
          <a:off x="24803100" y="4191000"/>
          <a:ext cx="0" cy="257175"/>
        </a:xfrm>
        <a:prstGeom prst="line">
          <a:avLst/>
        </a:prstGeom>
        <a:noFill/>
        <a:ln w="9525">
          <a:solidFill>
            <a:srgbClr val="000000"/>
          </a:solidFill>
          <a:round/>
          <a:headEnd/>
          <a:tailEnd type="triangle" w="med" len="med"/>
        </a:ln>
      </xdr:spPr>
    </xdr:sp>
    <xdr:clientData/>
  </xdr:twoCellAnchor>
  <xdr:twoCellAnchor>
    <xdr:from>
      <xdr:col>24</xdr:col>
      <xdr:colOff>638175</xdr:colOff>
      <xdr:row>40</xdr:row>
      <xdr:rowOff>0</xdr:rowOff>
    </xdr:from>
    <xdr:to>
      <xdr:col>25</xdr:col>
      <xdr:colOff>457200</xdr:colOff>
      <xdr:row>40</xdr:row>
      <xdr:rowOff>0</xdr:rowOff>
    </xdr:to>
    <xdr:sp macro="" textlink="">
      <xdr:nvSpPr>
        <xdr:cNvPr id="20603" name="Line 7">
          <a:extLst>
            <a:ext uri="{FF2B5EF4-FFF2-40B4-BE49-F238E27FC236}">
              <a16:creationId xmlns:a16="http://schemas.microsoft.com/office/drawing/2014/main" id="{00000000-0008-0000-0400-00007B500000}"/>
            </a:ext>
          </a:extLst>
        </xdr:cNvPr>
        <xdr:cNvSpPr>
          <a:spLocks noChangeShapeType="1"/>
        </xdr:cNvSpPr>
      </xdr:nvSpPr>
      <xdr:spPr bwMode="auto">
        <a:xfrm>
          <a:off x="24774525" y="9906000"/>
          <a:ext cx="66675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0</xdr:colOff>
      <xdr:row>1</xdr:row>
      <xdr:rowOff>0</xdr:rowOff>
    </xdr:from>
    <xdr:to>
      <xdr:col>6</xdr:col>
      <xdr:colOff>714375</xdr:colOff>
      <xdr:row>3</xdr:row>
      <xdr:rowOff>114300</xdr:rowOff>
    </xdr:to>
    <xdr:pic>
      <xdr:nvPicPr>
        <xdr:cNvPr id="2" name="Picture 3" descr="logo_dashboard">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10150" y="190500"/>
          <a:ext cx="71437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34</xdr:col>
      <xdr:colOff>0</xdr:colOff>
      <xdr:row>1</xdr:row>
      <xdr:rowOff>0</xdr:rowOff>
    </xdr:from>
    <xdr:to>
      <xdr:col>34</xdr:col>
      <xdr:colOff>714375</xdr:colOff>
      <xdr:row>3</xdr:row>
      <xdr:rowOff>114300</xdr:rowOff>
    </xdr:to>
    <xdr:pic>
      <xdr:nvPicPr>
        <xdr:cNvPr id="2" name="Picture 3" descr="logo_dashboard">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70550" y="190500"/>
          <a:ext cx="71437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714375</xdr:colOff>
      <xdr:row>2</xdr:row>
      <xdr:rowOff>114300</xdr:rowOff>
    </xdr:to>
    <xdr:pic>
      <xdr:nvPicPr>
        <xdr:cNvPr id="2" name="Picture 3" descr="logo_dashboard">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0"/>
          <a:ext cx="71437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5</xdr:col>
      <xdr:colOff>238125</xdr:colOff>
      <xdr:row>1</xdr:row>
      <xdr:rowOff>66675</xdr:rowOff>
    </xdr:from>
    <xdr:to>
      <xdr:col>10</xdr:col>
      <xdr:colOff>885825</xdr:colOff>
      <xdr:row>13</xdr:row>
      <xdr:rowOff>0</xdr:rowOff>
    </xdr:to>
    <xdr:graphicFrame macro="">
      <xdr:nvGraphicFramePr>
        <xdr:cNvPr id="2" name="Chart 1">
          <a:extLst>
            <a:ext uri="{FF2B5EF4-FFF2-40B4-BE49-F238E27FC236}">
              <a16:creationId xmlns:a16="http://schemas.microsoft.com/office/drawing/2014/main" id="{00000000-0008-0000-1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Documents%20and%20Settings\worksphere\Local%20Settings\Temporary%20Internet%20Files\OLK1D\polaris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obps0002\dfs\Mum\OPS\Finance\RESULTS\2003\JUL03\India%20PL3107\India%20PL3107.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obps0002\dfs\Regional\Thailand\DailyPL\May03\Daily%20PL2705.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Y:\Sgp\IT\Planning%20and%20Projects\Projects\Acorn%203\Budget\Acorn%203%20Budget%201st%20Cut%20-%20280505.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Y:\Documents%20and%20Settings\treloara\Local%20Settings\Temporary%20Internet%20Files\OLK276\Pearl%20Capex%20-%20Phase%20II.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obps0002\dfs\Mum\OPS\Finance\Reetesh\Cheque%20Payments\Payments%20GBS+SAP_voucher\October_03\CASH_061003.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Y:\louwc\Projects\Project%20Pearl\Budget%20and%20Quotations\Pearl_Budget_1.1a.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Y:\EXCEL\Reliance%20Infra..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Y:\EXCEL\NTENDER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Ravindra/Assignments/BSP/4941%20Extension%20of%20mixer%20bay%20and%20replacement%20of%2002%20nos.%20of%20mixer%20cranes%20125t+30t%20x%2028%20m%20span%20in%20SMS-2/Package%20cost/Package-2/Working%20File%204099.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Ravindra/Assignments/BSP/4941%20Extension%20of%20mixer%20bay%20and%20replacement%20of%2002%20nos.%20of%20mixer%20cranes%20125t+30t%20x%2028%20m%20span%20in%20SMS-2/Package%20cost/Package-2/4941_Pkg%20cost%20(Pkg-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adhubhai\c\Pravin\HARBOU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Y:\P&amp;C\Excel\TEMP\polaris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obps0002\dfs\Mum\OPS\Finance\RESULTS\2003\Jun03\India%20PL3006\India%20PL300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eserver\design\USER\HOUSING\SIRISH\temp.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Y:\Mum\IRCB\Finance\Fixed%20Asset\Desktop%20&amp;%20Laptops%20-%20Project%20Icebreaker\Barclays%20ATT%20Version%204.0.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OLPS0005\DFS\Ldn\FINCON\Transfer%20Pricing%20Calculations\2003\01.Sales_Credits\OctYTD2003_SC_Detail_v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Y:\Documents%20and%20Settings\treloara\Local%20Settings\Temporary%20Internet%20Files\OLK276\BCG050103HK_HK%20Citibank%2037th%20Floor%20Staging.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itin\c\Makers\Nitin\Orbi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60"/>
    </sheetNames>
    <sheetDataSet>
      <sheetData sheetId="0" refreshError="1">
        <row r="1">
          <cell r="G1">
            <v>1.0225</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
      <sheetName val="ImportFiles"/>
      <sheetName val="FX Rates"/>
      <sheetName val="FX Delta"/>
      <sheetName val="Summary (INR)"/>
      <sheetName val="Summary (GBP)"/>
      <sheetName val="Flash"/>
      <sheetName val="Formal"/>
      <sheetName val="Clean MIS"/>
      <sheetName val="Bonds"/>
      <sheetName val="MM_FX"/>
      <sheetName val="IR Derv"/>
      <sheetName val="Primary"/>
      <sheetName val="Sec Tdg"/>
      <sheetName val="FISS Vol"/>
      <sheetName val="FISS Pos"/>
      <sheetName val="FISS"/>
      <sheetName val="FISS Accr"/>
      <sheetName val="Checks"/>
      <sheetName val="Atlas"/>
      <sheetName val="Oscar"/>
      <sheetName val="Varone"/>
      <sheetName val="Funding"/>
      <sheetName val="Atlas 11"/>
      <sheetName val="BNOS Checks"/>
      <sheetName val="Summit"/>
      <sheetName val="Reserve"/>
      <sheetName val="RMPSummit"/>
      <sheetName val="RMP"/>
      <sheetName val="RMPSYS"/>
    </sheetNames>
    <sheetDataSet>
      <sheetData sheetId="0" refreshError="1"/>
      <sheetData sheetId="1" refreshError="1"/>
      <sheetData sheetId="2" refreshError="1">
        <row r="18">
          <cell r="C18">
            <v>193.82601</v>
          </cell>
        </row>
        <row r="19">
          <cell r="C19">
            <v>1.60785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Macro"/>
      <sheetName val="Summary"/>
      <sheetName val="Flash"/>
      <sheetName val="Formal"/>
      <sheetName val="Clean MIS"/>
      <sheetName val="Backtesting"/>
      <sheetName val="Forex"/>
      <sheetName val="MM"/>
      <sheetName val="Bonds"/>
      <sheetName val="IR Derv"/>
      <sheetName val="Secondary"/>
      <sheetName val="Primary"/>
      <sheetName val="FISS Pos"/>
      <sheetName val="Provisions"/>
      <sheetName val="Checks2"/>
      <sheetName val="Checks"/>
      <sheetName val="RMPSYS"/>
      <sheetName val="RMPSummit"/>
      <sheetName val="Atlas"/>
      <sheetName val="Summit"/>
      <sheetName val="FISS"/>
      <sheetName val="FISS Vol"/>
      <sheetName val="FISS Accr"/>
      <sheetName val="Oscar"/>
      <sheetName val="Varone"/>
      <sheetName val="SBT"/>
      <sheetName val="Mthend FX"/>
      <sheetName val="F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row r="7">
          <cell r="C7">
            <v>68.540969365281754</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mp;L"/>
      <sheetName val="Summary"/>
      <sheetName val="Budget Lines"/>
      <sheetName val="Working"/>
    </sheetNames>
    <sheetDataSet>
      <sheetData sheetId="0" refreshError="1"/>
      <sheetData sheetId="1" refreshError="1"/>
      <sheetData sheetId="2" refreshError="1"/>
      <sheetData sheetId="3" refreshError="1">
        <row r="7">
          <cell r="N7">
            <v>144000</v>
          </cell>
        </row>
        <row r="8">
          <cell r="N8">
            <v>12000</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ex Request Navigation Sheet"/>
      <sheetName val="COVER"/>
      <sheetName val="Capital Spend Request Form"/>
      <sheetName val="Dialog1"/>
      <sheetName val="CapEx Line Items"/>
      <sheetName val="Audio Visual  Quote"/>
      <sheetName val="Cabling QTE010_2005"/>
      <sheetName val="Cabling QTE016_2005"/>
      <sheetName val="Cabling QTE021_2005"/>
      <sheetName val="Cabling QTE022_2004"/>
      <sheetName val="Rack Quotes"/>
      <sheetName val="Check List"/>
      <sheetName val="Instructions"/>
      <sheetName val="FX rates vs £"/>
      <sheetName val="Ref Data"/>
      <sheetName val="Contract Finance Review"/>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rivers"/>
      <sheetName val="SAP Upload "/>
      <sheetName val="Source"/>
      <sheetName val="GBS Voucher"/>
      <sheetName val="SAP Account"/>
      <sheetName val="SAP Voucher"/>
      <sheetName val="Empl No"/>
      <sheetName val="cost apportioning table"/>
      <sheetName val="TDS Rates"/>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P&amp;L Analysis"/>
      <sheetName val="Budget Lines"/>
      <sheetName val="Committed Spend"/>
      <sheetName val="Working"/>
    </sheetNames>
    <sheetDataSet>
      <sheetData sheetId="0" refreshError="1"/>
      <sheetData sheetId="1" refreshError="1"/>
      <sheetData sheetId="2" refreshError="1">
        <row r="2">
          <cell r="G2">
            <v>14.43</v>
          </cell>
        </row>
      </sheetData>
      <sheetData sheetId="3" refreshError="1"/>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ited-opt1"/>
      <sheetName val="United-opt2"/>
      <sheetName val="United-opt1 (R1)"/>
      <sheetName val="MTM"/>
      <sheetName val="nvm"/>
      <sheetName val="Mktg"/>
      <sheetName val="NRJ Quote (Popup)"/>
      <sheetName val="NRJ Quote (Flap)"/>
    </sheetNames>
    <sheetDataSet>
      <sheetData sheetId="0"/>
      <sheetData sheetId="1"/>
      <sheetData sheetId="2"/>
      <sheetData sheetId="3"/>
      <sheetData sheetId="4"/>
      <sheetData sheetId="5">
        <row r="3">
          <cell r="F3">
            <v>1.1499999999999999</v>
          </cell>
        </row>
      </sheetData>
      <sheetData sheetId="6"/>
      <sheetData sheetId="7"/>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BI(Siliguri)"/>
      <sheetName val="Foodland (2)"/>
    </sheetNames>
    <sheetDataSet>
      <sheetData sheetId="0"/>
      <sheetData sheetId="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is"/>
      <sheetName val="capcost(GST)"/>
      <sheetName val="TE"/>
      <sheetName val="cashflow"/>
      <sheetName val="Finan.summary"/>
      <sheetName val="MOM"/>
      <sheetName val="Initial MOM"/>
      <sheetName val="Comp"/>
      <sheetName val="Basis Pollution"/>
      <sheetName val="Capcost Pollution"/>
      <sheetName val="ccfg3&amp;4"/>
    </sheetNames>
    <sheetDataSet>
      <sheetData sheetId="0"/>
      <sheetData sheetId="1">
        <row r="1">
          <cell r="E1" t="str">
            <v>S T E E L   A U T H O R I T Y   OF   I N D I A    L I M I T E D</v>
          </cell>
        </row>
        <row r="10">
          <cell r="BK10">
            <v>0</v>
          </cell>
        </row>
        <row r="11">
          <cell r="BK11">
            <v>0</v>
          </cell>
        </row>
        <row r="12">
          <cell r="BK12">
            <v>0</v>
          </cell>
        </row>
        <row r="14">
          <cell r="BK14">
            <v>0</v>
          </cell>
        </row>
      </sheetData>
      <sheetData sheetId="2"/>
      <sheetData sheetId="3"/>
      <sheetData sheetId="4">
        <row r="24">
          <cell r="E24">
            <v>1</v>
          </cell>
        </row>
      </sheetData>
      <sheetData sheetId="5"/>
      <sheetData sheetId="6"/>
      <sheetData sheetId="7"/>
      <sheetData sheetId="8"/>
      <sheetData sheetId="9"/>
      <sheetData sheetId="10"/>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ic"/>
      <sheetName val="Escalation"/>
      <sheetName val="Basic_CostCmt"/>
      <sheetName val="CC"/>
      <sheetName val="GM"/>
      <sheetName val="cash flow"/>
      <sheetName val="FA"/>
      <sheetName val="Gross Margin"/>
      <sheetName val="CashFlow"/>
      <sheetName val="Fin. Summary"/>
      <sheetName val="MoM"/>
      <sheetName val="Pkg Cost"/>
      <sheetName val="Pie Chart"/>
      <sheetName val="Pkgcost (Turn key)"/>
      <sheetName val="CTE Rate"/>
      <sheetName val="Structural"/>
      <sheetName val="Civil"/>
      <sheetName val="Electrical"/>
      <sheetName val="Electrical (Reply)"/>
      <sheetName val="Structural (Reply)"/>
      <sheetName val="Civil (Reply)"/>
      <sheetName val="CC for Enabling"/>
    </sheetNames>
    <sheetDataSet>
      <sheetData sheetId="0" refreshError="1"/>
      <sheetData sheetId="1">
        <row r="41">
          <cell r="F41">
            <v>1.0530355896720167</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Vihar"/>
      <sheetName val="SCG"/>
      <sheetName val="102VV"/>
      <sheetName val="102Roma+Light"/>
      <sheetName val="Poddar1"/>
      <sheetName val="103-V V"/>
      <sheetName val="103VVB"/>
      <sheetName val="103VV"/>
      <sheetName val="Sewri"/>
      <sheetName val="Sewree"/>
      <sheetName val="Mat."/>
      <sheetName val="202VV"/>
      <sheetName val="Sheet4"/>
      <sheetName val="Poddar"/>
      <sheetName val="102-VV"/>
      <sheetName val="Anchor Roma Rates"/>
      <sheetName val="Anchor Roma Details"/>
      <sheetName val="MAK CREATIONS - General "/>
      <sheetName val="320"/>
      <sheetName val="MADHUKRUPS - CARP "/>
      <sheetName val="MADHUKRUPS - CARP Final  sheet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sheetData sheetId="16"/>
      <sheetData sheetId="17"/>
      <sheetData sheetId="18"/>
      <sheetData sheetId="19"/>
      <sheetData sheetId="2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60"/>
      <sheetName val="Shoppers Stop"/>
    </sheetNames>
    <sheetDataSet>
      <sheetData sheetId="0" refreshError="1">
        <row r="1">
          <cell r="G1">
            <v>1.0225</v>
          </cell>
        </row>
      </sheetData>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
      <sheetName val="ImportFiles"/>
      <sheetName val="FX Rates"/>
      <sheetName val="FX Delta"/>
      <sheetName val="Summary (INR)"/>
      <sheetName val="Summary (GBP)"/>
      <sheetName val="Flash"/>
      <sheetName val="Formal"/>
      <sheetName val="Clean MIS"/>
      <sheetName val="Bonds"/>
      <sheetName val="MM_FX"/>
      <sheetName val="IR Derv"/>
      <sheetName val="Primary"/>
      <sheetName val="Sec Tdg"/>
      <sheetName val="FISS Vol"/>
      <sheetName val="FISS Pos"/>
      <sheetName val="FISS"/>
      <sheetName val="FISS Accr"/>
      <sheetName val="Checks"/>
      <sheetName val="Atlas"/>
      <sheetName val="Oscar"/>
      <sheetName val="Varone"/>
      <sheetName val="Funding"/>
      <sheetName val="Atlas 11"/>
      <sheetName val="BNOS Checks"/>
      <sheetName val="Summit"/>
      <sheetName val="Reserve"/>
      <sheetName val="RMPSummit"/>
      <sheetName val="RMP"/>
      <sheetName val="RMPSYS"/>
    </sheetNames>
    <sheetDataSet>
      <sheetData sheetId="0" refreshError="1"/>
      <sheetData sheetId="1" refreshError="1"/>
      <sheetData sheetId="2" refreshError="1">
        <row r="17">
          <cell r="C17">
            <v>76.718369999999993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1">
          <cell r="P1" t="str">
            <v>Amount</v>
          </cell>
          <cell r="Q1" t="str">
            <v>Long Form</v>
          </cell>
        </row>
        <row r="2">
          <cell r="P2">
            <v>-1.04</v>
          </cell>
          <cell r="Q2" t="str">
            <v xml:space="preserve">INMU9999PLPOCHFMNT SELL DN     </v>
          </cell>
        </row>
        <row r="3">
          <cell r="P3">
            <v>9.9700000000000006</v>
          </cell>
          <cell r="Q3" t="str">
            <v xml:space="preserve">INMU9999PSOFCHFPROF SELL OFF   </v>
          </cell>
        </row>
        <row r="4">
          <cell r="P4">
            <v>-6.4</v>
          </cell>
          <cell r="Q4" t="str">
            <v xml:space="preserve">INMU9999CASHCHF CASHCHFCASH            </v>
          </cell>
        </row>
        <row r="5">
          <cell r="P5">
            <v>-9.9700000000000006</v>
          </cell>
          <cell r="Q5" t="str">
            <v>INMU9999OFUND   FUNDCHFOVERNIGHT FUNDIN</v>
          </cell>
        </row>
        <row r="6">
          <cell r="P6">
            <v>-1.44</v>
          </cell>
          <cell r="Q6" t="str">
            <v xml:space="preserve">INMU9999SETTCONTBNOSCHFBOOK NOSTRO     </v>
          </cell>
        </row>
        <row r="7">
          <cell r="P7">
            <v>-5029.6499999999996</v>
          </cell>
          <cell r="Q7" t="str">
            <v xml:space="preserve">INMUCRESZUR     NOSTCHFNOSTRO          </v>
          </cell>
        </row>
        <row r="8">
          <cell r="P8">
            <v>-31628.79</v>
          </cell>
          <cell r="Q8" t="str">
            <v xml:space="preserve">INMUIF01        PLPOCHFMNT SELL DN     </v>
          </cell>
        </row>
        <row r="9">
          <cell r="P9">
            <v>36665.879999999997</v>
          </cell>
          <cell r="Q9" t="str">
            <v xml:space="preserve">INMUIF01        PLPOCHFMNT SELL DN     </v>
          </cell>
        </row>
        <row r="10">
          <cell r="P10">
            <v>-31064.32</v>
          </cell>
          <cell r="Q10" t="str">
            <v xml:space="preserve">INMUIF01        PSOFCHFPROF SELL OFF   </v>
          </cell>
        </row>
        <row r="11">
          <cell r="P11">
            <v>31054.35</v>
          </cell>
          <cell r="Q11" t="str">
            <v>INMUIF01FXREALPLFXRKCHFFX REAL RESULTS-</v>
          </cell>
        </row>
        <row r="12">
          <cell r="P12">
            <v>9.9700000000000006</v>
          </cell>
          <cell r="Q12" t="str">
            <v>INMUIF01OFUND   FUNDCHFOVERNIGHT FUNDIN</v>
          </cell>
        </row>
        <row r="13">
          <cell r="P13">
            <v>-5037.09</v>
          </cell>
          <cell r="Q13" t="str">
            <v xml:space="preserve">INMUIF01SETTCONTBNOSCHFBOOK NOSTRO     </v>
          </cell>
        </row>
        <row r="14">
          <cell r="P14">
            <v>5038.53</v>
          </cell>
          <cell r="Q14" t="str">
            <v>INMUSETTCONT    BNCOCHFBOOK NOSTRO CONT</v>
          </cell>
        </row>
        <row r="15">
          <cell r="P15">
            <v>218.78</v>
          </cell>
          <cell r="Q15" t="str">
            <v xml:space="preserve">INMU9999PLPOEURMNT SELL DN     </v>
          </cell>
        </row>
        <row r="16">
          <cell r="P16">
            <v>-239.91</v>
          </cell>
          <cell r="Q16" t="str">
            <v xml:space="preserve">INMU9999PLPOEURMNT SELL DN     </v>
          </cell>
        </row>
        <row r="17">
          <cell r="P17">
            <v>167.96</v>
          </cell>
          <cell r="Q17" t="str">
            <v xml:space="preserve">INMU9999PSOFEURPROF SELL OFF   </v>
          </cell>
        </row>
        <row r="18">
          <cell r="P18">
            <v>-900.34</v>
          </cell>
          <cell r="Q18" t="str">
            <v xml:space="preserve">INMU9999CASHEUR CASHEURCASH            </v>
          </cell>
        </row>
        <row r="19">
          <cell r="P19">
            <v>-167.96</v>
          </cell>
          <cell r="Q19" t="str">
            <v>INMU9999OFUND   FUNDEUROVERNIGHT FUNDIN</v>
          </cell>
        </row>
        <row r="20">
          <cell r="P20">
            <v>-4.12</v>
          </cell>
          <cell r="Q20" t="str">
            <v xml:space="preserve">INMU9999SETTCONTBNOSEURBOOK NOSTRO     </v>
          </cell>
        </row>
        <row r="21">
          <cell r="P21">
            <v>-10177.4</v>
          </cell>
          <cell r="Q21" t="str">
            <v xml:space="preserve">INMUBARCLDN     NOSTEURNOSTRO          </v>
          </cell>
        </row>
        <row r="22">
          <cell r="P22">
            <v>18185.8</v>
          </cell>
          <cell r="Q22" t="str">
            <v xml:space="preserve">INMUIF01        PLPOEURMNT SELL DN     </v>
          </cell>
        </row>
        <row r="23">
          <cell r="P23">
            <v>-23067.96</v>
          </cell>
          <cell r="Q23" t="str">
            <v xml:space="preserve">INMUIF01        PLPOEURMNT SELL DN     </v>
          </cell>
        </row>
        <row r="24">
          <cell r="P24">
            <v>18512.599999999999</v>
          </cell>
          <cell r="Q24" t="str">
            <v xml:space="preserve">INMUIF01        PSOFEURPROF SELL OFF   </v>
          </cell>
        </row>
        <row r="25">
          <cell r="P25">
            <v>-18473.47</v>
          </cell>
          <cell r="Q25" t="str">
            <v>INMUIF01FXREALPLFXRKEURFX REAL RESULTS-</v>
          </cell>
        </row>
        <row r="26">
          <cell r="P26">
            <v>-39.130000000000003</v>
          </cell>
          <cell r="Q26" t="str">
            <v>INMUIF01OFUND   FUNDEUROVERNIGHT FUNDIN</v>
          </cell>
        </row>
        <row r="27">
          <cell r="P27">
            <v>4882.16</v>
          </cell>
          <cell r="Q27" t="str">
            <v xml:space="preserve">INMUIF01SETTCONTBNOSEURBOOK NOSTRO     </v>
          </cell>
        </row>
        <row r="28">
          <cell r="P28">
            <v>-55.18</v>
          </cell>
          <cell r="Q28" t="str">
            <v xml:space="preserve">INMUIM02        PLPOEURMNT SELL DN     </v>
          </cell>
        </row>
        <row r="29">
          <cell r="P29">
            <v>59.65</v>
          </cell>
          <cell r="Q29" t="str">
            <v xml:space="preserve">INMUIM02        PLPOEURMNT SELL DN     </v>
          </cell>
        </row>
        <row r="30">
          <cell r="P30">
            <v>-48.94</v>
          </cell>
          <cell r="Q30" t="str">
            <v xml:space="preserve">INMUIM02        PSOFEURPROF SELL OFF   </v>
          </cell>
        </row>
        <row r="31">
          <cell r="P31">
            <v>249.02</v>
          </cell>
          <cell r="Q31" t="str">
            <v>INMUIM02DTMF    AINPEURACCR INT PAYABLE</v>
          </cell>
        </row>
        <row r="32">
          <cell r="P32">
            <v>15727.54</v>
          </cell>
          <cell r="Q32" t="str">
            <v>INMUIM02DTMF    DTMMEURDEPOSIT TAKEN MM</v>
          </cell>
        </row>
        <row r="33">
          <cell r="P33">
            <v>-158.15</v>
          </cell>
          <cell r="Q33" t="str">
            <v>INMUIM02DTMF    INAPEURACCRUED INT EXPE</v>
          </cell>
        </row>
        <row r="34">
          <cell r="P34">
            <v>207.09</v>
          </cell>
          <cell r="Q34" t="str">
            <v>INMUIM02OFUND   FUNDEUROVERNIGHT FUNDIN</v>
          </cell>
        </row>
        <row r="35">
          <cell r="P35">
            <v>-15981.03</v>
          </cell>
          <cell r="Q35" t="str">
            <v xml:space="preserve">INMUIM02SETTCONTBNOSEURBOOK NOSTRO     </v>
          </cell>
        </row>
        <row r="36">
          <cell r="P36">
            <v>11102.99</v>
          </cell>
          <cell r="Q36" t="str">
            <v>INMUSETTCONT    BNCOEURBOOK NOSTRO CONT</v>
          </cell>
        </row>
        <row r="37">
          <cell r="P37">
            <v>-15</v>
          </cell>
          <cell r="Q37" t="str">
            <v xml:space="preserve">INMU9000SETTCONTBNOSGBPBOOK NOSTRO     </v>
          </cell>
        </row>
        <row r="38">
          <cell r="P38">
            <v>15</v>
          </cell>
          <cell r="Q38" t="str">
            <v>INMU9000STALEORDOTHLGBPOTHER LIABILITIE</v>
          </cell>
        </row>
        <row r="39">
          <cell r="P39">
            <v>-7000</v>
          </cell>
          <cell r="Q39" t="str">
            <v>INMU9000TCHAGBP TCHAGBPTRAVEL CHEQ-NO I</v>
          </cell>
        </row>
        <row r="40">
          <cell r="P40">
            <v>7000</v>
          </cell>
          <cell r="Q40" t="str">
            <v>INMU9000TCHCGBP TCHCGBPTRAVEL CHEQ - CO</v>
          </cell>
        </row>
        <row r="41">
          <cell r="P41">
            <v>-360842.54</v>
          </cell>
          <cell r="Q41" t="str">
            <v xml:space="preserve">INMU9999PLPOGBPMNT SELL DN     </v>
          </cell>
        </row>
        <row r="42">
          <cell r="P42">
            <v>2186885.4</v>
          </cell>
          <cell r="Q42" t="str">
            <v xml:space="preserve">INMU9999PLPOGBPMNT SELL DN     </v>
          </cell>
        </row>
        <row r="43">
          <cell r="P43">
            <v>-2189171.19</v>
          </cell>
          <cell r="Q43" t="str">
            <v xml:space="preserve">INMU9999PSOFGBPPROF SELL OFF   </v>
          </cell>
        </row>
        <row r="44">
          <cell r="P44">
            <v>-840</v>
          </cell>
          <cell r="Q44" t="str">
            <v xml:space="preserve">INMU9999CASHGBP CASHGBPCASH            </v>
          </cell>
        </row>
        <row r="45">
          <cell r="P45">
            <v>-1287111.55</v>
          </cell>
          <cell r="Q45" t="str">
            <v>INMU9999GUATGBP GUATGBPMEMO CONT. GUAR.</v>
          </cell>
        </row>
        <row r="46">
          <cell r="P46">
            <v>1287111.55</v>
          </cell>
          <cell r="Q46" t="str">
            <v>INMU9999GUCONGBPGUATGBPMEMO CONT. GUAR.</v>
          </cell>
        </row>
        <row r="47">
          <cell r="P47">
            <v>56440.33</v>
          </cell>
          <cell r="Q47" t="str">
            <v>INMU9999MATFDGBPOTHLGBPOTHER LIABILITIE</v>
          </cell>
        </row>
        <row r="48">
          <cell r="P48">
            <v>-2913.81</v>
          </cell>
          <cell r="Q48" t="str">
            <v>INMU9999OFUND   FUNDGBPOVERNIGHT FUNDIN</v>
          </cell>
        </row>
        <row r="49">
          <cell r="P49">
            <v>-1321089</v>
          </cell>
          <cell r="Q49" t="str">
            <v>INMU9999SALCRRECSBONGBPSALES CR FM BOND</v>
          </cell>
        </row>
        <row r="50">
          <cell r="P50">
            <v>2192085</v>
          </cell>
          <cell r="Q50" t="str">
            <v>INMU9999SALECR  SGBDGBPSALES CR FM BNDS</v>
          </cell>
        </row>
        <row r="51">
          <cell r="P51">
            <v>382506.17</v>
          </cell>
          <cell r="Q51" t="str">
            <v xml:space="preserve">INMU9999SETTCONTBNOSGBPBOOK NOSTRO     </v>
          </cell>
        </row>
        <row r="52">
          <cell r="P52">
            <v>-191079</v>
          </cell>
          <cell r="Q52" t="str">
            <v xml:space="preserve">INMUBARCLDN     NOSTGBPNOSTRO          </v>
          </cell>
        </row>
        <row r="53">
          <cell r="P53">
            <v>-287330.76</v>
          </cell>
          <cell r="Q53" t="str">
            <v xml:space="preserve">INMUIF01        PLPOGBPMNT SELL DN     </v>
          </cell>
        </row>
        <row r="54">
          <cell r="P54">
            <v>120321.98</v>
          </cell>
          <cell r="Q54" t="str">
            <v xml:space="preserve">INMUIF01        PLPOGBPMNT SELL DN     </v>
          </cell>
        </row>
        <row r="55">
          <cell r="P55">
            <v>-83020.479999999996</v>
          </cell>
          <cell r="Q55" t="str">
            <v xml:space="preserve">INMUIF01        PSOFGBPPROF SELL OFF   </v>
          </cell>
        </row>
        <row r="56">
          <cell r="P56">
            <v>-1750000</v>
          </cell>
          <cell r="Q56" t="str">
            <v>INMUIF01FWDPOS  CXFPGBPFX PURCHASED (ME</v>
          </cell>
        </row>
        <row r="57">
          <cell r="P57">
            <v>1750000</v>
          </cell>
          <cell r="Q57" t="str">
            <v>INMUIF01FWDPOS  FPOKGBPFORWARD POSITION</v>
          </cell>
        </row>
        <row r="58">
          <cell r="P58">
            <v>-1599521.56</v>
          </cell>
          <cell r="Q58" t="str">
            <v>INMUIF01FXNPV   UNFKGBPFX UNREALISED NP</v>
          </cell>
        </row>
        <row r="59">
          <cell r="P59">
            <v>655262.69999999995</v>
          </cell>
          <cell r="Q59" t="str">
            <v>INMUIF01FXREALPLFXRKGBPFX REAL RESULTS-</v>
          </cell>
        </row>
        <row r="60">
          <cell r="P60">
            <v>-28585.919999999998</v>
          </cell>
          <cell r="Q60" t="str">
            <v>INMUIF01OFUND   FUNDGBPOVERNIGHT FUNDIN</v>
          </cell>
        </row>
        <row r="61">
          <cell r="P61">
            <v>1616530.34</v>
          </cell>
          <cell r="Q61" t="str">
            <v xml:space="preserve">INMUIF01SETTCONTBNOSGBPBOOK NOSTRO     </v>
          </cell>
        </row>
        <row r="62">
          <cell r="P62">
            <v>-393656.3</v>
          </cell>
          <cell r="Q62" t="str">
            <v>INMUIF01UNRLPL  FXUKGBPFX U/REAL RESULT</v>
          </cell>
        </row>
        <row r="63">
          <cell r="P63">
            <v>47.85</v>
          </cell>
          <cell r="Q63" t="str">
            <v xml:space="preserve">INMUIM01        PLPOGBPMNT SELL DN     </v>
          </cell>
        </row>
        <row r="64">
          <cell r="P64">
            <v>-47.85</v>
          </cell>
          <cell r="Q64" t="str">
            <v xml:space="preserve">INMUIM01        PLPOGBPMNT SELL DN     </v>
          </cell>
        </row>
        <row r="65">
          <cell r="P65">
            <v>0.17</v>
          </cell>
          <cell r="Q65" t="str">
            <v xml:space="preserve">INMUIM01        PSOFGBPPROF SELL OFF   </v>
          </cell>
        </row>
        <row r="66">
          <cell r="P66">
            <v>-0.17</v>
          </cell>
          <cell r="Q66" t="str">
            <v>INMUIM01OFUND   FUNDGBPOVERNIGHT FUNDIN</v>
          </cell>
        </row>
        <row r="67">
          <cell r="P67">
            <v>27959.64</v>
          </cell>
          <cell r="Q67" t="str">
            <v xml:space="preserve">INMUIM02        PLPOGBPMNT SELL DN     </v>
          </cell>
        </row>
        <row r="68">
          <cell r="P68">
            <v>-26960.799999999999</v>
          </cell>
          <cell r="Q68" t="str">
            <v xml:space="preserve">INMUIM02        PLPOGBPMNT SELL DN     </v>
          </cell>
        </row>
        <row r="69">
          <cell r="P69">
            <v>-5476.39</v>
          </cell>
          <cell r="Q69" t="str">
            <v xml:space="preserve">INMUIM02        PSOFGBPPROF SELL OFF   </v>
          </cell>
        </row>
        <row r="70">
          <cell r="P70">
            <v>28417.68</v>
          </cell>
          <cell r="Q70" t="str">
            <v>INMUIM02DTMF    AINPGBPACCR INT PAYABLE</v>
          </cell>
        </row>
        <row r="71">
          <cell r="P71">
            <v>1367623.63</v>
          </cell>
          <cell r="Q71" t="str">
            <v>INMUIM02DTMF    DTMMGBPDEPOSIT TAKEN MM</v>
          </cell>
        </row>
        <row r="72">
          <cell r="P72">
            <v>-26023.51</v>
          </cell>
          <cell r="Q72" t="str">
            <v>INMUIM02DTMF    INAPGBPACCRUED INT EXPE</v>
          </cell>
        </row>
        <row r="73">
          <cell r="P73">
            <v>31499.9</v>
          </cell>
          <cell r="Q73" t="str">
            <v>INMUIM02OFUND   FUNDGBPOVERNIGHT FUNDIN</v>
          </cell>
        </row>
        <row r="74">
          <cell r="P74">
            <v>-1397040.15</v>
          </cell>
          <cell r="Q74" t="str">
            <v xml:space="preserve">INMUIM02SETTCONTBNOSGBPBOOK NOSTRO     </v>
          </cell>
        </row>
        <row r="75">
          <cell r="P75">
            <v>-37.450000000000003</v>
          </cell>
          <cell r="Q75" t="str">
            <v xml:space="preserve">INMUJVIC        PLPOGBPMNT SELL DN     </v>
          </cell>
        </row>
        <row r="76">
          <cell r="P76">
            <v>30.9</v>
          </cell>
          <cell r="Q76" t="str">
            <v xml:space="preserve">INMUJVIC        PLPOGBPMNT SELL DN     </v>
          </cell>
        </row>
        <row r="77">
          <cell r="P77">
            <v>-30.9</v>
          </cell>
          <cell r="Q77" t="str">
            <v xml:space="preserve">INMUJVIC        PSOFGBPPROF SELL OFF   </v>
          </cell>
        </row>
        <row r="78">
          <cell r="P78">
            <v>30.9</v>
          </cell>
          <cell r="Q78" t="str">
            <v>INMUJVICOFUND   FUNDGBPOVERNIGHT FUNDIN</v>
          </cell>
        </row>
        <row r="79">
          <cell r="P79">
            <v>6.55</v>
          </cell>
          <cell r="Q79" t="str">
            <v xml:space="preserve">INMUJVICSETTCONTBNOSGBPBOOK NOSTRO     </v>
          </cell>
        </row>
        <row r="80">
          <cell r="P80">
            <v>37.450000000000003</v>
          </cell>
          <cell r="Q80" t="str">
            <v xml:space="preserve">INMUJVIN        PLPOGBPMNT SELL DN     </v>
          </cell>
        </row>
        <row r="81">
          <cell r="P81">
            <v>-30.9</v>
          </cell>
          <cell r="Q81" t="str">
            <v xml:space="preserve">INMUJVIN        PLPOGBPMNT SELL DN     </v>
          </cell>
        </row>
        <row r="82">
          <cell r="P82">
            <v>30.9</v>
          </cell>
          <cell r="Q82" t="str">
            <v xml:space="preserve">INMUJVIN        PSOFGBPPROF SELL OFF   </v>
          </cell>
        </row>
        <row r="83">
          <cell r="P83">
            <v>-30.9</v>
          </cell>
          <cell r="Q83" t="str">
            <v>INMUJVINOFUND   FUNDGBPOVERNIGHT FUNDIN</v>
          </cell>
        </row>
        <row r="84">
          <cell r="P84">
            <v>-6.55</v>
          </cell>
          <cell r="Q84" t="str">
            <v xml:space="preserve">INMUJVINSETTCONTBNOSGBPBOOK NOSTRO     </v>
          </cell>
        </row>
        <row r="85">
          <cell r="P85">
            <v>-751981.36</v>
          </cell>
          <cell r="Q85" t="str">
            <v>INMUSETTCONT    BNCOGBPBOOK NOSTRO CONT</v>
          </cell>
        </row>
        <row r="86">
          <cell r="P86">
            <v>-0.31</v>
          </cell>
          <cell r="Q86" t="str">
            <v xml:space="preserve">INMU9999PLPOHKDMNT SELL DN     </v>
          </cell>
        </row>
        <row r="87">
          <cell r="P87">
            <v>1.79</v>
          </cell>
          <cell r="Q87" t="str">
            <v xml:space="preserve">INMU9999PSOFHKDPROF SELL OFF   </v>
          </cell>
        </row>
        <row r="88">
          <cell r="P88">
            <v>-360</v>
          </cell>
          <cell r="Q88" t="str">
            <v xml:space="preserve">INMU9999CASHHKD CASHHKDCASH            </v>
          </cell>
        </row>
        <row r="89">
          <cell r="P89">
            <v>-1.79</v>
          </cell>
          <cell r="Q89" t="str">
            <v>INMU9999OFUND   FUNDHKDOVERNIGHT FUNDIN</v>
          </cell>
        </row>
        <row r="90">
          <cell r="P90">
            <v>-0.09</v>
          </cell>
          <cell r="Q90" t="str">
            <v xml:space="preserve">INMU9999SETTCONTBNOSHKDBOOK NOSTRO     </v>
          </cell>
        </row>
        <row r="91">
          <cell r="P91">
            <v>-2162.4299999999998</v>
          </cell>
          <cell r="Q91" t="str">
            <v xml:space="preserve">INMUIF01        PLPOHKDMNT SELL DN     </v>
          </cell>
        </row>
        <row r="92">
          <cell r="P92">
            <v>2522.7399999999998</v>
          </cell>
          <cell r="Q92" t="str">
            <v xml:space="preserve">INMUIF01        PLPOHKDMNT SELL DN     </v>
          </cell>
        </row>
        <row r="93">
          <cell r="P93">
            <v>-2161.81</v>
          </cell>
          <cell r="Q93" t="str">
            <v xml:space="preserve">INMUIF01        PSOFHKDPROF SELL OFF   </v>
          </cell>
        </row>
        <row r="94">
          <cell r="P94">
            <v>2160.02</v>
          </cell>
          <cell r="Q94" t="str">
            <v>INMUIF01FXREALPLFXRKHKDFX REAL RESULTS-</v>
          </cell>
        </row>
        <row r="95">
          <cell r="P95">
            <v>1.79</v>
          </cell>
          <cell r="Q95" t="str">
            <v>INMUIF01OFUND   FUNDHKDOVERNIGHT FUNDIN</v>
          </cell>
        </row>
        <row r="96">
          <cell r="P96">
            <v>-360.31</v>
          </cell>
          <cell r="Q96" t="str">
            <v xml:space="preserve">INMUIF01SETTCONTBNOSHKDBOOK NOSTRO     </v>
          </cell>
        </row>
        <row r="97">
          <cell r="P97">
            <v>360.4</v>
          </cell>
          <cell r="Q97" t="str">
            <v>INMUSETTCONT    BNCOHKDBOOK NOSTRO CONT</v>
          </cell>
        </row>
        <row r="98">
          <cell r="P98">
            <v>1005339802.55</v>
          </cell>
          <cell r="Q98" t="str">
            <v xml:space="preserve">INMU7401PLPOINRMNT SELL DN     </v>
          </cell>
        </row>
        <row r="99">
          <cell r="P99">
            <v>63571902.039999999</v>
          </cell>
          <cell r="Q99" t="str">
            <v xml:space="preserve">INMU7401PLPOINRMNT SELL DN     </v>
          </cell>
        </row>
        <row r="100">
          <cell r="P100">
            <v>-1031191098.42</v>
          </cell>
          <cell r="Q100" t="str">
            <v xml:space="preserve">INMU7401PLPOINRMNT SELL DN     </v>
          </cell>
        </row>
        <row r="101">
          <cell r="P101">
            <v>-1109.1400000000001</v>
          </cell>
          <cell r="Q101" t="str">
            <v xml:space="preserve">INMU7401PSOFINRPROF SELL OFF   </v>
          </cell>
        </row>
        <row r="102">
          <cell r="P102">
            <v>-1474060723.1400001</v>
          </cell>
          <cell r="Q102" t="str">
            <v xml:space="preserve">INMU7401PSOFINRPROF SELL OFF   </v>
          </cell>
        </row>
        <row r="103">
          <cell r="P103">
            <v>-123930818.31999999</v>
          </cell>
          <cell r="Q103" t="str">
            <v>INMU7401OFUND   FUNDINROVERNIGHT FUNDIN</v>
          </cell>
        </row>
        <row r="104">
          <cell r="P104">
            <v>5913407625.3299999</v>
          </cell>
          <cell r="Q104" t="str">
            <v xml:space="preserve">INMU7401SETTCONTBNOSINRBOOK NOSTRO     </v>
          </cell>
        </row>
        <row r="105">
          <cell r="P105">
            <v>138897465.00999999</v>
          </cell>
          <cell r="Q105" t="str">
            <v xml:space="preserve">INMU7401SWAPTRD BBPRINRBID OFFER PROV  </v>
          </cell>
        </row>
        <row r="106">
          <cell r="P106">
            <v>-33488565.870000001</v>
          </cell>
          <cell r="Q106" t="str">
            <v>INMU7401SWAPTRD BOPRINRBID OFFER PL PRO</v>
          </cell>
        </row>
        <row r="107">
          <cell r="P107">
            <v>88485813500</v>
          </cell>
          <cell r="Q107" t="str">
            <v>INMU7401SWAPTRD CCCAINRCONTRA CONT ASSE</v>
          </cell>
        </row>
        <row r="108">
          <cell r="P108">
            <v>-87163291640</v>
          </cell>
          <cell r="Q108" t="str">
            <v>INMU7401SWAPTRD CCCLINRCONTRA CONT LIAB</v>
          </cell>
        </row>
        <row r="109">
          <cell r="P109">
            <v>-204729341</v>
          </cell>
          <cell r="Q109" t="str">
            <v xml:space="preserve">INMU7401SWAPTRD ETFEINREARLY TERM FEE  </v>
          </cell>
        </row>
        <row r="110">
          <cell r="P110">
            <v>87163291640</v>
          </cell>
          <cell r="Q110" t="str">
            <v>INMU7401SWAPTRD SWAMINRSWAP NOTIONAL RE</v>
          </cell>
        </row>
        <row r="111">
          <cell r="P111">
            <v>-88485813500</v>
          </cell>
          <cell r="Q111" t="str">
            <v>INMU7401SWAPTRD SWARINRSWAP NOTIONAL PA</v>
          </cell>
        </row>
        <row r="112">
          <cell r="P112">
            <v>26018800</v>
          </cell>
          <cell r="Q112" t="str">
            <v xml:space="preserve">INMU7401SWAPTRD SWFEINRSWAP FEE        </v>
          </cell>
        </row>
        <row r="113">
          <cell r="P113">
            <v>-2483040000</v>
          </cell>
          <cell r="Q113" t="str">
            <v>INMU7401SWAPTRD SWRKINRREALISED PL - SW</v>
          </cell>
        </row>
        <row r="114">
          <cell r="P114">
            <v>-20688151084.09</v>
          </cell>
          <cell r="Q114" t="str">
            <v xml:space="preserve">INMU7401SWAPTRD SWTAINRMTMREVAL P&amp;L BS </v>
          </cell>
        </row>
        <row r="115">
          <cell r="P115">
            <v>-1333007529.54</v>
          </cell>
          <cell r="Q115" t="str">
            <v xml:space="preserve">INMU7401SWAPTRD SWTBINRACCRUED INT REC </v>
          </cell>
        </row>
        <row r="116">
          <cell r="P116">
            <v>1212023595.4000001</v>
          </cell>
          <cell r="Q116" t="str">
            <v xml:space="preserve">INMU7401SWAPTRD SWTCINRACCRUED INT PAY </v>
          </cell>
        </row>
        <row r="117">
          <cell r="P117">
            <v>14487805290.43</v>
          </cell>
          <cell r="Q117" t="str">
            <v>INMU7401SWAPTRD SWTLINRSWAP MTM-EXTERNA</v>
          </cell>
        </row>
        <row r="118">
          <cell r="P118">
            <v>-1856011805.3499999</v>
          </cell>
          <cell r="Q118" t="str">
            <v>INMU7401SWAPTRD SWTPINRACCRUED INT EXPE</v>
          </cell>
        </row>
        <row r="119">
          <cell r="P119">
            <v>1769996282.8599999</v>
          </cell>
          <cell r="Q119" t="str">
            <v>INMU7401SWAPTRD SWTRINRACCRUED INTEREST</v>
          </cell>
        </row>
        <row r="120">
          <cell r="P120">
            <v>4610551311.25</v>
          </cell>
          <cell r="Q120" t="str">
            <v xml:space="preserve">INMU7401SWAPTRD SWTUINRMTM REVALUATION </v>
          </cell>
        </row>
        <row r="121">
          <cell r="P121">
            <v>80912.75</v>
          </cell>
          <cell r="Q121" t="str">
            <v xml:space="preserve">INMU7402PLPOINRMNT SELL DN     </v>
          </cell>
        </row>
        <row r="122">
          <cell r="P122">
            <v>-80924.84</v>
          </cell>
          <cell r="Q122" t="str">
            <v xml:space="preserve">INMU7402PLPOINRMNT SELL DN     </v>
          </cell>
        </row>
        <row r="123">
          <cell r="P123">
            <v>80924.84</v>
          </cell>
          <cell r="Q123" t="str">
            <v xml:space="preserve">INMU7402PSOFINRPROF SELL OFF   </v>
          </cell>
        </row>
        <row r="124">
          <cell r="P124">
            <v>-237826.51</v>
          </cell>
          <cell r="Q124" t="str">
            <v>INMU7402OFUND   FUNDINROVERNIGHT FUNDIN</v>
          </cell>
        </row>
        <row r="125">
          <cell r="P125">
            <v>156913.76</v>
          </cell>
          <cell r="Q125" t="str">
            <v xml:space="preserve">INMU7402SETTCONTBNOSINRBOOK NOSTRO     </v>
          </cell>
        </row>
        <row r="126">
          <cell r="P126">
            <v>2141500000</v>
          </cell>
          <cell r="Q126" t="str">
            <v>INMU7402SWAPTRD CCCAINRCONTRA CONT ASSE</v>
          </cell>
        </row>
        <row r="127">
          <cell r="P127">
            <v>-2141500000</v>
          </cell>
          <cell r="Q127" t="str">
            <v>INMU7402SWAPTRD CCCLINRCONTRA CONT LIAB</v>
          </cell>
        </row>
        <row r="128">
          <cell r="P128">
            <v>2141500000</v>
          </cell>
          <cell r="Q128" t="str">
            <v>INMU7402SWAPTRD SWAMINRSWAP NOTIONAL RE</v>
          </cell>
        </row>
        <row r="129">
          <cell r="P129">
            <v>-2141500000</v>
          </cell>
          <cell r="Q129" t="str">
            <v>INMU7402SWAPTRD SWARINRSWAP NOTIONAL PA</v>
          </cell>
        </row>
        <row r="130">
          <cell r="P130">
            <v>-2238582376.21</v>
          </cell>
          <cell r="Q130" t="str">
            <v xml:space="preserve">INMU7402SWAPTRD SWTAINRMTMREVAL P&amp;L BS </v>
          </cell>
        </row>
        <row r="131">
          <cell r="P131">
            <v>-6290909.5899999999</v>
          </cell>
          <cell r="Q131" t="str">
            <v xml:space="preserve">INMU7402SWAPTRD SWTBINRACCRUED INT REC </v>
          </cell>
        </row>
        <row r="132">
          <cell r="P132">
            <v>6290909.5899999999</v>
          </cell>
          <cell r="Q132" t="str">
            <v xml:space="preserve">INMU7402SWAPTRD SWTCINRACCRUED INT PAY </v>
          </cell>
        </row>
        <row r="133">
          <cell r="P133">
            <v>2238582376.21</v>
          </cell>
          <cell r="Q133" t="str">
            <v>INMU7402SWAPTRD SWTLINRSWAP MTM-EXTERNA</v>
          </cell>
        </row>
        <row r="134">
          <cell r="P134">
            <v>-6290909.5899999999</v>
          </cell>
          <cell r="Q134" t="str">
            <v>INMU7402SWAPTRD SWTPINRACCRUED INT EXPE</v>
          </cell>
        </row>
        <row r="135">
          <cell r="P135">
            <v>6290909.5899999999</v>
          </cell>
          <cell r="Q135" t="str">
            <v>INMU7402SWAPTRD SWTRINRACCRUED INTEREST</v>
          </cell>
        </row>
        <row r="136">
          <cell r="P136">
            <v>-24135113.649999999</v>
          </cell>
          <cell r="Q136" t="str">
            <v xml:space="preserve">INMU7404PLPOINRMNT SELL DN     </v>
          </cell>
        </row>
        <row r="137">
          <cell r="P137">
            <v>1591927.86</v>
          </cell>
          <cell r="Q137" t="str">
            <v xml:space="preserve">INMU7404PLPOINRMNT SELL DN     </v>
          </cell>
        </row>
        <row r="138">
          <cell r="P138">
            <v>22543187.18</v>
          </cell>
          <cell r="Q138" t="str">
            <v xml:space="preserve">INMU7404PLPOINRMNT SELL DN     </v>
          </cell>
        </row>
        <row r="139">
          <cell r="P139">
            <v>1</v>
          </cell>
          <cell r="Q139" t="str">
            <v xml:space="preserve">INMU7404PSOFINRPROF SELL OFF   </v>
          </cell>
        </row>
        <row r="140">
          <cell r="P140">
            <v>739854.37</v>
          </cell>
          <cell r="Q140" t="str">
            <v xml:space="preserve">INMU7404PSOFINRPROF SELL OFF   </v>
          </cell>
        </row>
        <row r="141">
          <cell r="P141">
            <v>122882.95</v>
          </cell>
          <cell r="Q141" t="str">
            <v>INMU7404OFUND   FUNDINROVERNIGHT FUNDIN</v>
          </cell>
        </row>
        <row r="142">
          <cell r="P142">
            <v>-862739.71</v>
          </cell>
          <cell r="Q142" t="str">
            <v xml:space="preserve">INMU7404SETTCONTBNOSINRBOOK NOSTRO     </v>
          </cell>
        </row>
        <row r="143">
          <cell r="P143">
            <v>7547091640</v>
          </cell>
          <cell r="Q143" t="str">
            <v>INMU7404SWAPTRD CCCAINRCONTRA CONT ASSE</v>
          </cell>
        </row>
        <row r="144">
          <cell r="P144">
            <v>-7547091640</v>
          </cell>
          <cell r="Q144" t="str">
            <v>INMU7404SWAPTRD CCCLINRCONTRA CONT LIAB</v>
          </cell>
        </row>
        <row r="145">
          <cell r="P145">
            <v>7547091640</v>
          </cell>
          <cell r="Q145" t="str">
            <v>INMU7404SWAPTRD SWAMINRSWAP NOTIONAL RE</v>
          </cell>
        </row>
        <row r="146">
          <cell r="P146">
            <v>-7547091640</v>
          </cell>
          <cell r="Q146" t="str">
            <v>INMU7404SWAPTRD SWARINRSWAP NOTIONAL PA</v>
          </cell>
        </row>
        <row r="147">
          <cell r="P147">
            <v>-2642357777.1599998</v>
          </cell>
          <cell r="Q147" t="str">
            <v xml:space="preserve">INMU7404SWAPTRD SWTAINRMTMREVAL P&amp;L BS </v>
          </cell>
        </row>
        <row r="148">
          <cell r="P148">
            <v>-100973939.68000001</v>
          </cell>
          <cell r="Q148" t="str">
            <v xml:space="preserve">INMU7404SWAPTRD SWTBINRACCRUED INT REC </v>
          </cell>
        </row>
        <row r="149">
          <cell r="P149">
            <v>100973939.68000001</v>
          </cell>
          <cell r="Q149" t="str">
            <v xml:space="preserve">INMU7404SWAPTRD SWTCINRACCRUED INT PAY </v>
          </cell>
        </row>
        <row r="150">
          <cell r="P150">
            <v>2642357777.1599998</v>
          </cell>
          <cell r="Q150" t="str">
            <v>INMU7404SWAPTRD SWTLINRSWAP MTM-EXTERNA</v>
          </cell>
        </row>
        <row r="151">
          <cell r="P151">
            <v>-209956760.40000001</v>
          </cell>
          <cell r="Q151" t="str">
            <v>INMU7404SWAPTRD SWTPINRACCRUED INT EXPE</v>
          </cell>
        </row>
        <row r="152">
          <cell r="P152">
            <v>209956760.40000001</v>
          </cell>
          <cell r="Q152" t="str">
            <v>INMU7404SWAPTRD SWTRINRACCRUED INTEREST</v>
          </cell>
        </row>
        <row r="153">
          <cell r="P153">
            <v>197235795.66</v>
          </cell>
          <cell r="Q153" t="str">
            <v xml:space="preserve">INMU7406PLPOINRMNT SELL DN     </v>
          </cell>
        </row>
        <row r="154">
          <cell r="P154">
            <v>-161517972.56999999</v>
          </cell>
          <cell r="Q154" t="str">
            <v xml:space="preserve">INMU7406PLPOINRMNT SELL DN     </v>
          </cell>
        </row>
        <row r="155">
          <cell r="P155">
            <v>139825384.19</v>
          </cell>
          <cell r="Q155" t="str">
            <v xml:space="preserve">INMU7406PSOFINRPROF SELL OFF   </v>
          </cell>
        </row>
        <row r="156">
          <cell r="P156">
            <v>5088778.3499999996</v>
          </cell>
          <cell r="Q156" t="str">
            <v>INMU7406OFUND   FUNDINROVERNIGHT FUNDIN</v>
          </cell>
        </row>
        <row r="157">
          <cell r="P157">
            <v>-290905056.62</v>
          </cell>
          <cell r="Q157" t="str">
            <v xml:space="preserve">INMU7406SETTCONTBNOSINRBOOK NOSTRO     </v>
          </cell>
        </row>
        <row r="158">
          <cell r="P158">
            <v>22466384.838638537</v>
          </cell>
          <cell r="Q158" t="str">
            <v xml:space="preserve">INMU7406SWAPTRD BBPRINRBID OFFER PROV  </v>
          </cell>
        </row>
        <row r="159">
          <cell r="P159">
            <v>22112243.021361463</v>
          </cell>
          <cell r="Q159" t="str">
            <v>INMU7406SWAPTRD BOPRINRBID OFFER PL PRO</v>
          </cell>
        </row>
        <row r="160">
          <cell r="P160">
            <v>8401053123</v>
          </cell>
          <cell r="Q160" t="str">
            <v>INMU7406SWAPTRD CCCAINRCONTRA CONT ASSE</v>
          </cell>
        </row>
        <row r="161">
          <cell r="P161">
            <v>-8401053123</v>
          </cell>
          <cell r="Q161" t="str">
            <v>INMU7406SWAPTRD CCCLINRCONTRA CONT LIAB</v>
          </cell>
        </row>
        <row r="162">
          <cell r="P162">
            <v>-12300000</v>
          </cell>
          <cell r="Q162" t="str">
            <v xml:space="preserve">INMU7406SWAPTRD ETFEINREARLY TERM FEE  </v>
          </cell>
        </row>
        <row r="163">
          <cell r="P163">
            <v>8401053123</v>
          </cell>
          <cell r="Q163" t="str">
            <v>INMU7406SWAPTRD SWAMINRSWAP NOTIONAL RE</v>
          </cell>
        </row>
        <row r="164">
          <cell r="P164">
            <v>-8401053123</v>
          </cell>
          <cell r="Q164" t="str">
            <v>INMU7406SWAPTRD SWARINRSWAP NOTIONAL PA</v>
          </cell>
        </row>
        <row r="165">
          <cell r="P165">
            <v>14200000</v>
          </cell>
          <cell r="Q165" t="str">
            <v xml:space="preserve">INMU7406SWAPTRD SWFEINRSWAP FEE        </v>
          </cell>
        </row>
        <row r="166">
          <cell r="P166">
            <v>66688974.369999997</v>
          </cell>
          <cell r="Q166" t="str">
            <v xml:space="preserve">INMU7406SWAPTRD SWTAINRMTMREVAL P&amp;L BS </v>
          </cell>
        </row>
        <row r="167">
          <cell r="P167">
            <v>-25500553.219999999</v>
          </cell>
          <cell r="Q167" t="str">
            <v>INMU7406SWAPTRD SWTRINRACCRUED INTEREST</v>
          </cell>
        </row>
        <row r="168">
          <cell r="P168">
            <v>22606021.98</v>
          </cell>
          <cell r="Q168" t="str">
            <v xml:space="preserve">INMU7406SWAPTRD SWTUINRMTM REVALUATION </v>
          </cell>
        </row>
        <row r="169">
          <cell r="P169">
            <v>-145860458.16</v>
          </cell>
          <cell r="Q169" t="str">
            <v>INMU8556FIBSINRFISS DAILY P&amp;L B</v>
          </cell>
        </row>
        <row r="170">
          <cell r="P170">
            <v>-1284354365.96</v>
          </cell>
          <cell r="Q170" t="str">
            <v>INMU8556BOND    FISSINRFISS DUMMY NOSTR</v>
          </cell>
        </row>
        <row r="171">
          <cell r="P171">
            <v>-104073952.84</v>
          </cell>
          <cell r="Q171" t="str">
            <v>INMU8556OFUND   FUNDINROVERNIGHT FUNDIN</v>
          </cell>
        </row>
        <row r="172">
          <cell r="P172">
            <v>1534288776.96</v>
          </cell>
          <cell r="Q172" t="str">
            <v xml:space="preserve">INMU8556SETTCONTBNOSINRBOOK NOSTRO     </v>
          </cell>
        </row>
        <row r="173">
          <cell r="P173">
            <v>-4583202.1500000004</v>
          </cell>
          <cell r="Q173" t="str">
            <v>INMU8557FIBSINRFISS DAILY P&amp;L B</v>
          </cell>
        </row>
        <row r="174">
          <cell r="P174">
            <v>-183163162.59999999</v>
          </cell>
          <cell r="Q174" t="str">
            <v>INMU8557BOND    FISSINRFISS DUMMY NOSTR</v>
          </cell>
        </row>
        <row r="175">
          <cell r="P175">
            <v>-5964485.7599999998</v>
          </cell>
          <cell r="Q175" t="str">
            <v>INMU8557OFUND   FUNDINROVERNIGHT FUNDIN</v>
          </cell>
        </row>
        <row r="176">
          <cell r="P176">
            <v>193710850.50999999</v>
          </cell>
          <cell r="Q176" t="str">
            <v xml:space="preserve">INMU8557SETTCONTBNOSINRBOOK NOSTRO     </v>
          </cell>
        </row>
        <row r="177">
          <cell r="P177">
            <v>-5356919.84</v>
          </cell>
          <cell r="Q177" t="str">
            <v>INMU8558FIBSINRFISS DAILY P&amp;L B</v>
          </cell>
        </row>
        <row r="178">
          <cell r="P178">
            <v>-476751809.33999997</v>
          </cell>
          <cell r="Q178" t="str">
            <v>INMU8558BOND    FISSINRFISS DUMMY NOSTR</v>
          </cell>
        </row>
        <row r="179">
          <cell r="P179">
            <v>3500000</v>
          </cell>
          <cell r="Q179" t="str">
            <v>INMU8558FEESRECLFCREINRFEES &amp; COMM RECA</v>
          </cell>
        </row>
        <row r="180">
          <cell r="P180">
            <v>1115068.49</v>
          </cell>
          <cell r="Q180" t="str">
            <v>INMU8558INTBONDSINTRINRINTEREST RECEIVE</v>
          </cell>
        </row>
        <row r="181">
          <cell r="P181">
            <v>-9757006.3000000007</v>
          </cell>
          <cell r="Q181" t="str">
            <v>INMU8558OFUND   FUNDINROVERNIGHT FUNDIN</v>
          </cell>
        </row>
        <row r="182">
          <cell r="P182">
            <v>487250666.99000001</v>
          </cell>
          <cell r="Q182" t="str">
            <v xml:space="preserve">INMU8558SETTCONTBNOSINRBOOK NOSTRO     </v>
          </cell>
        </row>
        <row r="183">
          <cell r="P183">
            <v>-32482154.850000001</v>
          </cell>
          <cell r="Q183" t="str">
            <v>INMU8559FIBSINRFISS DAILY P&amp;L B</v>
          </cell>
        </row>
        <row r="184">
          <cell r="P184">
            <v>20588582.940000001</v>
          </cell>
          <cell r="Q184" t="str">
            <v>INMU8559BOND    FISSINRFISS DUMMY NOSTR</v>
          </cell>
        </row>
        <row r="185">
          <cell r="P185">
            <v>11377200</v>
          </cell>
          <cell r="Q185" t="str">
            <v>INMU8559FEESINCOFCRCINRFEES/COMM RECEIV</v>
          </cell>
        </row>
        <row r="186">
          <cell r="P186">
            <v>259726.02</v>
          </cell>
          <cell r="Q186" t="str">
            <v>INMU8559INTBONDSINTRINRINTEREST RECEIVE</v>
          </cell>
        </row>
        <row r="187">
          <cell r="P187">
            <v>-2896262.15</v>
          </cell>
          <cell r="Q187" t="str">
            <v>INMU8559OFUND   FUNDINROVERNIGHT FUNDIN</v>
          </cell>
        </row>
        <row r="188">
          <cell r="P188">
            <v>3152908.04</v>
          </cell>
          <cell r="Q188" t="str">
            <v xml:space="preserve">INMU8559SETTCONTBNOSINRBOOK NOSTRO     </v>
          </cell>
        </row>
        <row r="189">
          <cell r="P189">
            <v>2126548.87</v>
          </cell>
          <cell r="Q189" t="str">
            <v>INMU8560FIBSINRFISS DAILY P&amp;L B</v>
          </cell>
        </row>
        <row r="190">
          <cell r="P190">
            <v>-5146882.51</v>
          </cell>
          <cell r="Q190" t="str">
            <v>INMU8560BOND    FISSINRFISS DUMMY NOSTR</v>
          </cell>
        </row>
        <row r="191">
          <cell r="P191">
            <v>3655574.09</v>
          </cell>
          <cell r="Q191" t="str">
            <v>INMU8560OFUND   FUNDINROVERNIGHT FUNDIN</v>
          </cell>
        </row>
        <row r="192">
          <cell r="P192">
            <v>-635240.44999999995</v>
          </cell>
          <cell r="Q192" t="str">
            <v xml:space="preserve">INMU8560SETTCONTBNOSINRBOOK NOSTRO     </v>
          </cell>
        </row>
        <row r="193">
          <cell r="P193">
            <v>9427283.8000000007</v>
          </cell>
          <cell r="Q193" t="str">
            <v>INMU8561BOND    FISSINRFISS DUMMY NOSTR</v>
          </cell>
        </row>
        <row r="194">
          <cell r="P194">
            <v>-8257610.0999999996</v>
          </cell>
          <cell r="Q194" t="str">
            <v>INMU8561OFUND   FUNDINROVERNIGHT FUNDIN</v>
          </cell>
        </row>
        <row r="195">
          <cell r="P195">
            <v>-1169673.7</v>
          </cell>
          <cell r="Q195" t="str">
            <v xml:space="preserve">INMU8561SETTCONTBNOSINRBOOK NOSTRO     </v>
          </cell>
        </row>
        <row r="196">
          <cell r="P196">
            <v>-1637202.09</v>
          </cell>
          <cell r="Q196" t="str">
            <v>INMU8562FIBSINRFISS DAILY P&amp;L B</v>
          </cell>
        </row>
        <row r="197">
          <cell r="P197">
            <v>-84038107.829999998</v>
          </cell>
          <cell r="Q197" t="str">
            <v>INMU8562BOND    FISSINRFISS DUMMY NOSTR</v>
          </cell>
        </row>
        <row r="198">
          <cell r="P198">
            <v>-2597383.66</v>
          </cell>
          <cell r="Q198" t="str">
            <v>INMU8562OFUND   FUNDINROVERNIGHT FUNDIN</v>
          </cell>
        </row>
        <row r="199">
          <cell r="P199">
            <v>88272693.579999998</v>
          </cell>
          <cell r="Q199" t="str">
            <v xml:space="preserve">INMU8562SETTCONTBNOSINRBOOK NOSTRO     </v>
          </cell>
        </row>
        <row r="200">
          <cell r="P200">
            <v>-238158187.75</v>
          </cell>
          <cell r="Q200" t="str">
            <v>INMU8563BOND    FISSINRFISS DUMMY NOSTR</v>
          </cell>
        </row>
        <row r="201">
          <cell r="P201">
            <v>-3377224.46</v>
          </cell>
          <cell r="Q201" t="str">
            <v>INMU8563OFUND   FUNDINROVERNIGHT FUNDIN</v>
          </cell>
        </row>
        <row r="202">
          <cell r="P202">
            <v>241535412.21000001</v>
          </cell>
          <cell r="Q202" t="str">
            <v xml:space="preserve">INMU8563SETTCONTBNOSINRBOOK NOSTRO     </v>
          </cell>
        </row>
        <row r="203">
          <cell r="P203">
            <v>-183809.53</v>
          </cell>
          <cell r="Q203" t="str">
            <v xml:space="preserve">INMU9000PLPOINRMNT SELL DN     </v>
          </cell>
        </row>
        <row r="204">
          <cell r="P204">
            <v>211769.79</v>
          </cell>
          <cell r="Q204" t="str">
            <v xml:space="preserve">INMU9000PLPOINRMNT SELL DN     </v>
          </cell>
        </row>
        <row r="205">
          <cell r="P205">
            <v>-167217.18</v>
          </cell>
          <cell r="Q205" t="str">
            <v xml:space="preserve">INMU9000PSOFINRPROF SELL OFF   </v>
          </cell>
        </row>
        <row r="206">
          <cell r="P206">
            <v>-87500</v>
          </cell>
          <cell r="Q206" t="str">
            <v xml:space="preserve">INMU9000ADVRENT OTHAINROTHER ASSETS    </v>
          </cell>
        </row>
        <row r="207">
          <cell r="P207">
            <v>13431272.560000001</v>
          </cell>
          <cell r="Q207" t="str">
            <v>INMU9000BPCCINR BPCCINRBILLS-COLLECT CO</v>
          </cell>
        </row>
        <row r="208">
          <cell r="P208">
            <v>-13431272.560000001</v>
          </cell>
          <cell r="Q208" t="str">
            <v>INMU9000BPCLINR BPCLINRBILLS-COLLECTION</v>
          </cell>
        </row>
        <row r="209">
          <cell r="P209">
            <v>1316261.1499999999</v>
          </cell>
          <cell r="Q209" t="str">
            <v>INMU9000CASHORD OTHLINROTHER LIABILITIE</v>
          </cell>
        </row>
        <row r="210">
          <cell r="P210">
            <v>-53804003.159999996</v>
          </cell>
          <cell r="Q210" t="str">
            <v xml:space="preserve">INMU9000COMP    FASTINRFIXED ASSETS    </v>
          </cell>
        </row>
        <row r="211">
          <cell r="P211">
            <v>30108492.510000002</v>
          </cell>
          <cell r="Q211" t="str">
            <v xml:space="preserve">INMU9000DEPCOMP FASTINRFIXED ASSETS    </v>
          </cell>
        </row>
        <row r="212">
          <cell r="P212">
            <v>9760053</v>
          </cell>
          <cell r="Q212" t="str">
            <v xml:space="preserve">INMU9000DEPEQP  FASTINRFIXED ASSETS    </v>
          </cell>
        </row>
        <row r="213">
          <cell r="P213">
            <v>10435952</v>
          </cell>
          <cell r="Q213" t="str">
            <v xml:space="preserve">INMU9000DEPF&amp;F  FASTINRFIXED ASSETS    </v>
          </cell>
        </row>
        <row r="214">
          <cell r="P214">
            <v>5599853.7699999996</v>
          </cell>
          <cell r="Q214" t="str">
            <v xml:space="preserve">INMU9000DEPMVH  FASTINRFIXED ASSETS    </v>
          </cell>
        </row>
        <row r="215">
          <cell r="P215">
            <v>34036</v>
          </cell>
          <cell r="Q215" t="str">
            <v xml:space="preserve">INMU9000DEPPROP FASTINRFIXED ASSETS    </v>
          </cell>
        </row>
        <row r="216">
          <cell r="P216">
            <v>1884621.2</v>
          </cell>
          <cell r="Q216" t="str">
            <v>INMU9000ESSMARG OTHLINROTHER LIABILITIE</v>
          </cell>
        </row>
        <row r="217">
          <cell r="P217">
            <v>-11291118.98</v>
          </cell>
          <cell r="Q217" t="str">
            <v xml:space="preserve">INMU9000F&amp;F     FASTINRFIXED ASSETS    </v>
          </cell>
        </row>
        <row r="218">
          <cell r="P218">
            <v>-485999.3</v>
          </cell>
          <cell r="Q218" t="str">
            <v xml:space="preserve">INMU9000FREEPROPFASTINRFIXED ASSETS    </v>
          </cell>
        </row>
        <row r="219">
          <cell r="P219">
            <v>35204175</v>
          </cell>
          <cell r="Q219" t="str">
            <v>INMU9000HOEXPS  OTHLINROTHER LIABILITIE</v>
          </cell>
        </row>
        <row r="220">
          <cell r="P220">
            <v>6300</v>
          </cell>
          <cell r="Q220" t="str">
            <v>INMU9000HRSUSP  OTHLINROTHER LIABILITIE</v>
          </cell>
        </row>
        <row r="221">
          <cell r="P221">
            <v>46185444.759999998</v>
          </cell>
          <cell r="Q221" t="str">
            <v xml:space="preserve">INMU9000INCTAX  OTHAINROTHER ASSETS    </v>
          </cell>
        </row>
        <row r="222">
          <cell r="P222">
            <v>1854626</v>
          </cell>
          <cell r="Q222" t="str">
            <v xml:space="preserve">INMU9000INTAX   OTHAINROTHER ASSETS    </v>
          </cell>
        </row>
        <row r="223">
          <cell r="P223">
            <v>185015.14</v>
          </cell>
          <cell r="Q223" t="str">
            <v xml:space="preserve">INMU9000INTSWP  OTHAINROTHER ASSETS    </v>
          </cell>
        </row>
        <row r="224">
          <cell r="P224">
            <v>-262587155.88999999</v>
          </cell>
          <cell r="Q224" t="str">
            <v>INMU9000LINKINR LINKINRACCOUNTS PAYABLE</v>
          </cell>
        </row>
        <row r="225">
          <cell r="P225">
            <v>-8970589.2799999993</v>
          </cell>
          <cell r="Q225" t="str">
            <v xml:space="preserve">INMU9000MOTVEH  FASTINRFIXED ASSETS    </v>
          </cell>
        </row>
        <row r="226">
          <cell r="P226">
            <v>-12169548.85</v>
          </cell>
          <cell r="Q226" t="str">
            <v xml:space="preserve">INMU9000OFFEQP  FASTINRFIXED ASSETS    </v>
          </cell>
        </row>
        <row r="227">
          <cell r="P227">
            <v>-11671026.83</v>
          </cell>
          <cell r="Q227" t="str">
            <v>INMU9000OFUND   FUNDINROVERNIGHT FUNDIN</v>
          </cell>
        </row>
        <row r="228">
          <cell r="P228">
            <v>-1538985.17</v>
          </cell>
          <cell r="Q228" t="str">
            <v xml:space="preserve">INMU9000OTHAINR OTHAINROTHER ASSETS    </v>
          </cell>
        </row>
        <row r="229">
          <cell r="P229">
            <v>6936954.6699999999</v>
          </cell>
          <cell r="Q229" t="str">
            <v>INMU9000OTHLINR OTHLINROTHER LIABILITIE</v>
          </cell>
        </row>
        <row r="230">
          <cell r="P230">
            <v>-8455644.9499999993</v>
          </cell>
          <cell r="Q230" t="str">
            <v xml:space="preserve">INMU9000PREPD   OTHAINROTHER ASSETS    </v>
          </cell>
        </row>
        <row r="231">
          <cell r="P231">
            <v>-95903623</v>
          </cell>
          <cell r="Q231" t="str">
            <v xml:space="preserve">INMU9000REFDEP  OTHAINROTHER ASSETS    </v>
          </cell>
        </row>
        <row r="232">
          <cell r="P232">
            <v>484280860.55000001</v>
          </cell>
          <cell r="Q232" t="str">
            <v xml:space="preserve">INMU9000SETTCONTBNOSINRBOOK NOSTRO     </v>
          </cell>
        </row>
        <row r="233">
          <cell r="P233">
            <v>-9314794</v>
          </cell>
          <cell r="Q233" t="str">
            <v xml:space="preserve">INMU9000TAXRECL OTHAINROTHER ASSETS    </v>
          </cell>
        </row>
        <row r="234">
          <cell r="P234">
            <v>-173004</v>
          </cell>
          <cell r="Q234" t="str">
            <v>INMU9000TDSBOM  OTHLINROTHER LIABILITIE</v>
          </cell>
        </row>
        <row r="235">
          <cell r="P235">
            <v>5801</v>
          </cell>
          <cell r="Q235" t="str">
            <v>INMU9000TDSCON  OTHLINROTHER LIABILITIE</v>
          </cell>
        </row>
        <row r="236">
          <cell r="P236">
            <v>417593.4</v>
          </cell>
          <cell r="Q236" t="str">
            <v>INMU9000TDSCUST OTHLINROTHER LIABILITIE</v>
          </cell>
        </row>
        <row r="237">
          <cell r="P237">
            <v>-604533.4</v>
          </cell>
          <cell r="Q237" t="str">
            <v>INMU9000TDSDEL  OTHLINROTHER LIABILITIE</v>
          </cell>
        </row>
        <row r="238">
          <cell r="P238">
            <v>-221</v>
          </cell>
          <cell r="Q238" t="str">
            <v>INMU9000TDSFDPAYOTHLINROTHER LIABILITIE</v>
          </cell>
        </row>
        <row r="239">
          <cell r="P239">
            <v>52879.4</v>
          </cell>
          <cell r="Q239" t="str">
            <v>INMU9000TDSPROF OTHLINROTHER LIABILITIE</v>
          </cell>
        </row>
        <row r="240">
          <cell r="P240">
            <v>28051</v>
          </cell>
          <cell r="Q240" t="str">
            <v>INMU9000TDSRENT OTHLINROTHER LIABILITIE</v>
          </cell>
        </row>
        <row r="241">
          <cell r="P241">
            <v>-165067546.80000001</v>
          </cell>
          <cell r="Q241" t="str">
            <v>INMU9000TDSSEC  OTHLINROTHER LIABILITIE</v>
          </cell>
        </row>
        <row r="242">
          <cell r="P242">
            <v>299223.3</v>
          </cell>
          <cell r="Q242" t="str">
            <v>INMU9000UNPRCHQSOTHLINROTHER LIABILITIE</v>
          </cell>
        </row>
        <row r="243">
          <cell r="P243">
            <v>425093.68</v>
          </cell>
          <cell r="Q243" t="str">
            <v>INMU9000UNPRDDS OTHLINROTHER LIABILITIE</v>
          </cell>
        </row>
        <row r="244">
          <cell r="P244">
            <v>29066547.48</v>
          </cell>
          <cell r="Q244" t="str">
            <v xml:space="preserve">INMU9999PLPOINRMNT SELL DN     </v>
          </cell>
        </row>
        <row r="245">
          <cell r="P245">
            <v>603.42999999999995</v>
          </cell>
          <cell r="Q245" t="str">
            <v xml:space="preserve">INMU9999PLPOINRMNT SELL DN     </v>
          </cell>
        </row>
        <row r="246">
          <cell r="P246">
            <v>12359.39</v>
          </cell>
          <cell r="Q246" t="str">
            <v xml:space="preserve">INMU9999PLPOINRMNT SELL DN     </v>
          </cell>
        </row>
        <row r="247">
          <cell r="P247">
            <v>-168068565.06</v>
          </cell>
          <cell r="Q247" t="str">
            <v xml:space="preserve">INMU9999PLPOINRMNT SELL DN     </v>
          </cell>
        </row>
        <row r="248">
          <cell r="P248">
            <v>16.600000000000001</v>
          </cell>
          <cell r="Q248" t="str">
            <v xml:space="preserve">INMU9999PLPOINRMNT SELL DN     </v>
          </cell>
        </row>
        <row r="249">
          <cell r="P249">
            <v>-23.79</v>
          </cell>
          <cell r="Q249" t="str">
            <v xml:space="preserve">INMU9999PLPOINRMNT SELL DN     </v>
          </cell>
        </row>
        <row r="250">
          <cell r="P250">
            <v>284.35000000000002</v>
          </cell>
          <cell r="Q250" t="str">
            <v xml:space="preserve">INMU9999PLPOINRMNT SELL DN     </v>
          </cell>
        </row>
        <row r="251">
          <cell r="P251">
            <v>-1059913.8400000001</v>
          </cell>
          <cell r="Q251" t="str">
            <v xml:space="preserve">INMU9999PLPOINRMNT SELL DN     </v>
          </cell>
        </row>
        <row r="252">
          <cell r="P252">
            <v>-350.48</v>
          </cell>
          <cell r="Q252" t="str">
            <v xml:space="preserve">INMU9999PSOFINRPROF SELL OFF   </v>
          </cell>
        </row>
        <row r="253">
          <cell r="P253">
            <v>-8834</v>
          </cell>
          <cell r="Q253" t="str">
            <v xml:space="preserve">INMU9999PSOFINRPROF SELL OFF   </v>
          </cell>
        </row>
        <row r="254">
          <cell r="P254">
            <v>168242961.44999999</v>
          </cell>
          <cell r="Q254" t="str">
            <v xml:space="preserve">INMU9999PSOFINRPROF SELL OFF   </v>
          </cell>
        </row>
        <row r="255">
          <cell r="P255">
            <v>-10.85</v>
          </cell>
          <cell r="Q255" t="str">
            <v xml:space="preserve">INMU9999PSOFINRPROF SELL OFF   </v>
          </cell>
        </row>
        <row r="256">
          <cell r="P256">
            <v>23.79</v>
          </cell>
          <cell r="Q256" t="str">
            <v xml:space="preserve">INMU9999PSOFINRPROF SELL OFF   </v>
          </cell>
        </row>
        <row r="257">
          <cell r="P257">
            <v>-202.06</v>
          </cell>
          <cell r="Q257" t="str">
            <v xml:space="preserve">INMU9999PSOFINRPROF SELL OFF   </v>
          </cell>
        </row>
        <row r="258">
          <cell r="P258">
            <v>1079266</v>
          </cell>
          <cell r="Q258" t="str">
            <v xml:space="preserve">INMU9999PSOFINRPROF SELL OFF   </v>
          </cell>
        </row>
        <row r="259">
          <cell r="P259">
            <v>486000</v>
          </cell>
          <cell r="Q259" t="str">
            <v xml:space="preserve">INMU9999CAPASSETRESVINRRESERVES        </v>
          </cell>
        </row>
        <row r="260">
          <cell r="P260">
            <v>-49082</v>
          </cell>
          <cell r="Q260" t="str">
            <v xml:space="preserve">INMU9999CASHINR CASHINRCASH            </v>
          </cell>
        </row>
        <row r="261">
          <cell r="P261">
            <v>-1379543</v>
          </cell>
          <cell r="Q261" t="str">
            <v xml:space="preserve">INMU9999CCILCHGSFCRPINRFEES/COMM PAID  </v>
          </cell>
        </row>
        <row r="262">
          <cell r="P262">
            <v>61754177.170000002</v>
          </cell>
          <cell r="Q262" t="str">
            <v xml:space="preserve">INMU9999CRARRES RESVINRRESERVES        </v>
          </cell>
        </row>
        <row r="263">
          <cell r="P263">
            <v>-4393.91</v>
          </cell>
          <cell r="Q263" t="str">
            <v>INMU9999CURR    AINRINRACCR INT RECEIVA</v>
          </cell>
        </row>
        <row r="264">
          <cell r="P264">
            <v>638240.88</v>
          </cell>
          <cell r="Q264" t="str">
            <v>INMU9999CURR    INARINRACCR INTEREST IN</v>
          </cell>
        </row>
        <row r="265">
          <cell r="P265">
            <v>29881900</v>
          </cell>
          <cell r="Q265" t="str">
            <v xml:space="preserve">INMU9999GENRESV RESVINRRESERVES        </v>
          </cell>
        </row>
        <row r="266">
          <cell r="P266">
            <v>-4478741.9400000004</v>
          </cell>
          <cell r="Q266" t="str">
            <v>INMU9999GPSTLN  LOANINRLOANS &amp; ADVANCES</v>
          </cell>
        </row>
        <row r="267">
          <cell r="P267">
            <v>-81118181.579999998</v>
          </cell>
          <cell r="Q267" t="str">
            <v>INMU9999GUATINR GUATINRMEMO CONT. GUAR.</v>
          </cell>
        </row>
        <row r="268">
          <cell r="P268">
            <v>-20389177.719999999</v>
          </cell>
          <cell r="Q268" t="str">
            <v>INMU9999HLSTLN  LOANINRLOANS &amp; ADVANCES</v>
          </cell>
        </row>
        <row r="269">
          <cell r="P269">
            <v>-3519568.63</v>
          </cell>
          <cell r="Q269" t="str">
            <v>INMU9999INTREVSLINTRINRINTEREST RECEIVE</v>
          </cell>
        </row>
        <row r="270">
          <cell r="P270">
            <v>-172540.72</v>
          </cell>
          <cell r="Q270" t="str">
            <v xml:space="preserve">INMU9999INTSAVG INTPINRINTEREST PAID   </v>
          </cell>
        </row>
        <row r="271">
          <cell r="P271">
            <v>35069189.840000004</v>
          </cell>
          <cell r="Q271" t="str">
            <v xml:space="preserve">INMU9999INVFLUCTRESVINRRESERVES        </v>
          </cell>
        </row>
        <row r="272">
          <cell r="P272">
            <v>41018258.240000002</v>
          </cell>
          <cell r="Q272" t="str">
            <v>INMU9999MATFDINROTHLINROTHER LIABILITIE</v>
          </cell>
        </row>
        <row r="273">
          <cell r="P273">
            <v>42.74</v>
          </cell>
          <cell r="Q273" t="str">
            <v>INMU9999MINTINR INTZINRINT MISCELLANEOU</v>
          </cell>
        </row>
        <row r="274">
          <cell r="P274">
            <v>-514162.55</v>
          </cell>
          <cell r="Q274" t="str">
            <v>INMU9999MVSTLN  LOANINRLOANS &amp; ADVANCES</v>
          </cell>
        </row>
        <row r="275">
          <cell r="P275">
            <v>9344726.1300000008</v>
          </cell>
          <cell r="Q275" t="str">
            <v>INMU9999NOCIIS  ISUSINRINTEREST IN SUSP</v>
          </cell>
        </row>
        <row r="276">
          <cell r="P276">
            <v>107485989.87</v>
          </cell>
          <cell r="Q276" t="str">
            <v>INMU9999OFUND   FUNDINROVERNIGHT FUNDIN</v>
          </cell>
        </row>
        <row r="277">
          <cell r="P277">
            <v>193000</v>
          </cell>
          <cell r="Q277" t="str">
            <v>INMU9999PRVGINR PRVGINRPROV GEN OPERATI</v>
          </cell>
        </row>
        <row r="278">
          <cell r="P278">
            <v>453705301.82999998</v>
          </cell>
          <cell r="Q278" t="str">
            <v xml:space="preserve">INMU9999RESVINR RESVINRRESERVES        </v>
          </cell>
        </row>
        <row r="279">
          <cell r="P279">
            <v>2625999999.96</v>
          </cell>
          <cell r="Q279" t="str">
            <v xml:space="preserve">INMU9999SCAPINR SCAPINRSHARE CAPITAL   </v>
          </cell>
        </row>
        <row r="280">
          <cell r="P280">
            <v>-270889533.81999999</v>
          </cell>
          <cell r="Q280" t="str">
            <v xml:space="preserve">INMU9999SETTCONTBNOSINRBOOK NOSTRO     </v>
          </cell>
        </row>
        <row r="281">
          <cell r="P281">
            <v>103580846.2</v>
          </cell>
          <cell r="Q281" t="str">
            <v xml:space="preserve">INMU9999STATRESVRESVINRRESERVES        </v>
          </cell>
        </row>
        <row r="282">
          <cell r="P282">
            <v>34924</v>
          </cell>
          <cell r="Q282" t="str">
            <v>INMU9999VOST    INTRINRINTEREST RECEIVE</v>
          </cell>
        </row>
        <row r="283">
          <cell r="P283">
            <v>81118181.579999998</v>
          </cell>
          <cell r="Q283" t="str">
            <v>INMU999GUCONINR GUATINRMEMO CONT. GUAR.</v>
          </cell>
        </row>
        <row r="284">
          <cell r="P284">
            <v>12408</v>
          </cell>
          <cell r="Q284" t="str">
            <v>INMUALIMTOP     CURRINRCURRENT ACCOUNTS</v>
          </cell>
        </row>
        <row r="285">
          <cell r="P285">
            <v>164412.85999999999</v>
          </cell>
          <cell r="Q285" t="str">
            <v>INMUASARPOT     SAVGINRSAVINGS ACCOUNTS</v>
          </cell>
        </row>
        <row r="286">
          <cell r="P286">
            <v>66907304.170000002</v>
          </cell>
          <cell r="Q286" t="str">
            <v>INMUBARCBZW     CURRINRCURRENT ACCOUNTS</v>
          </cell>
        </row>
        <row r="287">
          <cell r="P287">
            <v>1389714.74</v>
          </cell>
          <cell r="Q287" t="str">
            <v xml:space="preserve">INMUBARCLDN     VOSTINRDUE TO BANKS    </v>
          </cell>
        </row>
        <row r="288">
          <cell r="P288">
            <v>119805.27</v>
          </cell>
          <cell r="Q288" t="str">
            <v>INMUBBBCLUB     SAVGINRSAVINGS ACCOUNTS</v>
          </cell>
        </row>
        <row r="289">
          <cell r="P289">
            <v>296960.83</v>
          </cell>
          <cell r="Q289" t="str">
            <v>INMUBBPLCGF     SAVGINRSAVINGS ACCOUNTS</v>
          </cell>
        </row>
        <row r="290">
          <cell r="P290">
            <v>1448492.58</v>
          </cell>
          <cell r="Q290" t="str">
            <v>INMUBBPLCPF     SAVGINRSAVINGS ACCOUNTS</v>
          </cell>
        </row>
        <row r="291">
          <cell r="P291">
            <v>723.63</v>
          </cell>
          <cell r="Q291" t="str">
            <v>INMUBERGERB     CURRINRCURRENT ACCOUNTS</v>
          </cell>
        </row>
        <row r="292">
          <cell r="P292">
            <v>2853587.35</v>
          </cell>
          <cell r="Q292" t="str">
            <v xml:space="preserve">INMUBOBUPLS     VOSTINRDUE TO BANKS    </v>
          </cell>
        </row>
        <row r="293">
          <cell r="P293">
            <v>98712</v>
          </cell>
          <cell r="Q293" t="str">
            <v>INMUBRITGUJ     CURRINRCURRENT ACCOUNTS</v>
          </cell>
        </row>
        <row r="294">
          <cell r="P294">
            <v>569.6</v>
          </cell>
          <cell r="Q294" t="str">
            <v>INMUCASSADN     SAVGINRSAVINGS ACCOUNTS</v>
          </cell>
        </row>
        <row r="295">
          <cell r="P295">
            <v>38656</v>
          </cell>
          <cell r="Q295" t="str">
            <v>INMUCASTIND     CURRINRCURRENT ACCOUNTS</v>
          </cell>
        </row>
        <row r="296">
          <cell r="P296">
            <v>1934895.65</v>
          </cell>
          <cell r="Q296" t="str">
            <v>INMUCHANDJJ     SAVGINRSAVINGS ACCOUNTS</v>
          </cell>
        </row>
        <row r="297">
          <cell r="P297">
            <v>8742.6</v>
          </cell>
          <cell r="Q297" t="str">
            <v>INMUCLARKEN     CURRINRCURRENT ACCOUNTS</v>
          </cell>
        </row>
        <row r="298">
          <cell r="P298">
            <v>-386.7</v>
          </cell>
          <cell r="Q298" t="str">
            <v xml:space="preserve">INMUCNRBBOM     NOSTINRNOSTRO          </v>
          </cell>
        </row>
        <row r="299">
          <cell r="P299">
            <v>697151</v>
          </cell>
          <cell r="Q299" t="str">
            <v>INMUESSELTE     CURRINRCURRENT ACCOUNTS</v>
          </cell>
        </row>
        <row r="300">
          <cell r="P300">
            <v>34.92</v>
          </cell>
          <cell r="Q300" t="str">
            <v>INMUFRANKLA     SAVGINRSAVINGS ACCOUNTS</v>
          </cell>
        </row>
        <row r="301">
          <cell r="P301">
            <v>-1130074</v>
          </cell>
          <cell r="Q301" t="str">
            <v>INMUFXBROK      BFDPINRBROKERAGE FEES P</v>
          </cell>
        </row>
        <row r="302">
          <cell r="P302">
            <v>7070.54</v>
          </cell>
          <cell r="Q302" t="str">
            <v>INMUGANDHIH     SAVGINRSAVINGS ACCOUNTS</v>
          </cell>
        </row>
        <row r="303">
          <cell r="P303">
            <v>3288.72</v>
          </cell>
          <cell r="Q303" t="str">
            <v>INMUGANDHIH     SAVGINRSAVINGS ACCOUNTS</v>
          </cell>
        </row>
        <row r="304">
          <cell r="P304">
            <v>2428.1999999999998</v>
          </cell>
          <cell r="Q304" t="str">
            <v>INMUGANESNS     SAVGINRSAVINGS ACCOUNTS</v>
          </cell>
        </row>
        <row r="305">
          <cell r="P305">
            <v>1362.8</v>
          </cell>
          <cell r="Q305" t="str">
            <v>INMUGARCHAB     SAVGINRSAVINGS ACCOUNTS</v>
          </cell>
        </row>
        <row r="306">
          <cell r="P306">
            <v>4091.28</v>
          </cell>
          <cell r="Q306" t="str">
            <v>INMUGIDWANN     SAVGINRSAVINGS ACCOUNTS</v>
          </cell>
        </row>
        <row r="307">
          <cell r="P307">
            <v>40241.79</v>
          </cell>
          <cell r="Q307" t="str">
            <v>INMUGUPTASP     SAVGINRSAVINGS ACCOUNTS</v>
          </cell>
        </row>
        <row r="308">
          <cell r="P308">
            <v>14701.67</v>
          </cell>
          <cell r="Q308" t="str">
            <v>INMUGUWALDC     SAVGINRSAVINGS ACCOUNTS</v>
          </cell>
        </row>
        <row r="309">
          <cell r="P309">
            <v>-5311924.3600000003</v>
          </cell>
          <cell r="Q309" t="str">
            <v xml:space="preserve">INMUHDFCMUM     NOSTINRNOSTRO          </v>
          </cell>
        </row>
        <row r="310">
          <cell r="P310">
            <v>-1824418.73</v>
          </cell>
          <cell r="Q310" t="str">
            <v xml:space="preserve">INMUHDFCMUM     NOSTINRNOSTRO          </v>
          </cell>
        </row>
        <row r="311">
          <cell r="P311">
            <v>-3287285088.6900001</v>
          </cell>
          <cell r="Q311" t="str">
            <v xml:space="preserve">INMUIF01        PLPOINRMNT SELL DN     </v>
          </cell>
        </row>
        <row r="312">
          <cell r="P312">
            <v>-872757.63</v>
          </cell>
          <cell r="Q312" t="str">
            <v xml:space="preserve">INMUIF01        PLPOINRMNT SELL DN     </v>
          </cell>
        </row>
        <row r="313">
          <cell r="P313">
            <v>1212013.02</v>
          </cell>
          <cell r="Q313" t="str">
            <v xml:space="preserve">INMUIF01        PLPOINRMNT SELL DN     </v>
          </cell>
        </row>
        <row r="314">
          <cell r="P314">
            <v>-6788319.1699999999</v>
          </cell>
          <cell r="Q314" t="str">
            <v xml:space="preserve">INMUIF01        PLPOINRMNT SELL DN     </v>
          </cell>
        </row>
        <row r="315">
          <cell r="P315">
            <v>-15348.27</v>
          </cell>
          <cell r="Q315" t="str">
            <v xml:space="preserve">INMUIF01        PLPOINRMNT SELL DN     </v>
          </cell>
        </row>
        <row r="316">
          <cell r="P316">
            <v>-65326808.409999996</v>
          </cell>
          <cell r="Q316" t="str">
            <v xml:space="preserve">INMUIF01        PLPOINRMNT SELL DN     </v>
          </cell>
        </row>
        <row r="317">
          <cell r="P317">
            <v>-541232.78</v>
          </cell>
          <cell r="Q317" t="str">
            <v xml:space="preserve">INMUIF01        PLPOINRMNT SELL DN     </v>
          </cell>
        </row>
        <row r="318">
          <cell r="P318">
            <v>2715290616.5</v>
          </cell>
          <cell r="Q318" t="str">
            <v xml:space="preserve">INMUIF01        PLPOINRMNT SELL DN     </v>
          </cell>
        </row>
        <row r="319">
          <cell r="P319">
            <v>1091332.5</v>
          </cell>
          <cell r="Q319" t="str">
            <v xml:space="preserve">INMUIF01        PSOFINRPROF SELL OFF   </v>
          </cell>
        </row>
        <row r="320">
          <cell r="P320">
            <v>-984337.26</v>
          </cell>
          <cell r="Q320" t="str">
            <v xml:space="preserve">INMUIF01        PSOFINRPROF SELL OFF   </v>
          </cell>
        </row>
        <row r="321">
          <cell r="P321">
            <v>6059670.3200000003</v>
          </cell>
          <cell r="Q321" t="str">
            <v xml:space="preserve">INMUIF01        PSOFINRPROF SELL OFF   </v>
          </cell>
        </row>
        <row r="322">
          <cell r="P322">
            <v>13116.44</v>
          </cell>
          <cell r="Q322" t="str">
            <v xml:space="preserve">INMUIF01        PSOFINRPROF SELL OFF   </v>
          </cell>
        </row>
        <row r="323">
          <cell r="P323">
            <v>3135.61</v>
          </cell>
          <cell r="Q323" t="str">
            <v xml:space="preserve">INMUIF01        PSOFINRPROF SELL OFF   </v>
          </cell>
        </row>
        <row r="324">
          <cell r="P324">
            <v>474172.67</v>
          </cell>
          <cell r="Q324" t="str">
            <v xml:space="preserve">INMUIF01        PSOFINRPROF SELL OFF   </v>
          </cell>
        </row>
        <row r="325">
          <cell r="P325">
            <v>126633384.42</v>
          </cell>
          <cell r="Q325" t="str">
            <v xml:space="preserve">INMUIF01        PSOFINRPROF SELL OFF   </v>
          </cell>
        </row>
        <row r="326">
          <cell r="P326">
            <v>-49288133748.029999</v>
          </cell>
          <cell r="Q326" t="str">
            <v>INMUIF01FWDPOS  CXFPINRFX PURCHASED (ME</v>
          </cell>
        </row>
        <row r="327">
          <cell r="P327">
            <v>55497473500</v>
          </cell>
          <cell r="Q327" t="str">
            <v xml:space="preserve">INMUIF01FWDPOS  CXFSINRFX SOLD (METAL) </v>
          </cell>
        </row>
        <row r="328">
          <cell r="P328">
            <v>-6209339751.9700003</v>
          </cell>
          <cell r="Q328" t="str">
            <v>INMUIF01FWDPOS  FPOKINRFORWARD POSITION</v>
          </cell>
        </row>
        <row r="329">
          <cell r="P329">
            <v>6149795174.4300003</v>
          </cell>
          <cell r="Q329" t="str">
            <v>INMUIF01FXNPV   UNFKINRFX UNREALISED NP</v>
          </cell>
        </row>
        <row r="330">
          <cell r="P330">
            <v>5652952039.8299999</v>
          </cell>
          <cell r="Q330" t="str">
            <v>INMUIF01FXREALPLFXRKINRFX REAL RESULTS-</v>
          </cell>
        </row>
        <row r="331">
          <cell r="P331">
            <v>95794113.010000005</v>
          </cell>
          <cell r="Q331" t="str">
            <v>INMUIF01OFUND   FUNDINROVERNIGHT FUNDIN</v>
          </cell>
        </row>
        <row r="332">
          <cell r="P332">
            <v>-5550764169.1499996</v>
          </cell>
          <cell r="Q332" t="str">
            <v xml:space="preserve">INMUIF01SETTCONTBNOSINRBOOK NOSTRO     </v>
          </cell>
        </row>
        <row r="333">
          <cell r="P333">
            <v>-5835610633.3900003</v>
          </cell>
          <cell r="Q333" t="str">
            <v>INMUIF01UNRLPL  FXUKINRFX U/REAL RESULT</v>
          </cell>
        </row>
        <row r="334">
          <cell r="P334">
            <v>24305043.59</v>
          </cell>
          <cell r="Q334" t="str">
            <v xml:space="preserve">INMUIM01        PLPOINRMNT SELL DN     </v>
          </cell>
        </row>
        <row r="335">
          <cell r="P335">
            <v>3636.5</v>
          </cell>
          <cell r="Q335" t="str">
            <v xml:space="preserve">INMUIM01        PLPOINRMNT SELL DN     </v>
          </cell>
        </row>
        <row r="336">
          <cell r="P336">
            <v>-24271686.399999999</v>
          </cell>
          <cell r="Q336" t="str">
            <v xml:space="preserve">INMUIM01        PLPOINRMNT SELL DN     </v>
          </cell>
        </row>
        <row r="337">
          <cell r="P337">
            <v>-13.43</v>
          </cell>
          <cell r="Q337" t="str">
            <v xml:space="preserve">INMUIM01        PSOFINRPROF SELL OFF   </v>
          </cell>
        </row>
        <row r="338">
          <cell r="P338">
            <v>203911.28</v>
          </cell>
          <cell r="Q338" t="str">
            <v xml:space="preserve">INMUIM01        PSOFINRPROF SELL OFF   </v>
          </cell>
        </row>
        <row r="339">
          <cell r="P339">
            <v>-445444.78</v>
          </cell>
          <cell r="Q339" t="str">
            <v>INMUIM01DPMF    AINRINRACCR INT RECEIVA</v>
          </cell>
        </row>
        <row r="340">
          <cell r="P340">
            <v>-1000500000</v>
          </cell>
          <cell r="Q340" t="str">
            <v>INMUIM01DPMF    DPMMINRMM DEPOSIT PLACE</v>
          </cell>
        </row>
        <row r="341">
          <cell r="P341">
            <v>5495581.7800000003</v>
          </cell>
          <cell r="Q341" t="str">
            <v>INMUIM01DPMF    INARINRACCR INTEREST IN</v>
          </cell>
        </row>
        <row r="342">
          <cell r="P342">
            <v>12357125</v>
          </cell>
          <cell r="Q342" t="str">
            <v>INMUIM01DTMF    AINPINRACCR INT PAYABLE</v>
          </cell>
        </row>
        <row r="343">
          <cell r="P343">
            <v>425700000</v>
          </cell>
          <cell r="Q343" t="str">
            <v>INMUIM01DTMF    DTMMINRDEPOSIT TAKEN MM</v>
          </cell>
        </row>
        <row r="344">
          <cell r="P344">
            <v>-54719790.229999997</v>
          </cell>
          <cell r="Q344" t="str">
            <v>INMUIM01DTMF    INAPINRACCRUED INT EXPE</v>
          </cell>
        </row>
        <row r="345">
          <cell r="P345">
            <v>52438210.450000003</v>
          </cell>
          <cell r="Q345" t="str">
            <v>INMUIM01OFUND   FUNDINROVERNIGHT FUNDIN</v>
          </cell>
        </row>
        <row r="346">
          <cell r="P346">
            <v>33280000</v>
          </cell>
          <cell r="Q346" t="str">
            <v>INMUIM01PRVNINR PRVNINRPROV INT NON-PER</v>
          </cell>
        </row>
        <row r="347">
          <cell r="P347">
            <v>530199926.24000001</v>
          </cell>
          <cell r="Q347" t="str">
            <v xml:space="preserve">INMUIM01SETTCONTBNOSINRBOOK NOSTRO     </v>
          </cell>
        </row>
        <row r="348">
          <cell r="P348">
            <v>-5170522.59</v>
          </cell>
          <cell r="Q348" t="str">
            <v xml:space="preserve">INMUIM02        PLPOINRMNT SELL DN     </v>
          </cell>
        </row>
        <row r="349">
          <cell r="P349">
            <v>-3123.9</v>
          </cell>
          <cell r="Q349" t="str">
            <v xml:space="preserve">INMUIM02        PLPOINRMNT SELL DN     </v>
          </cell>
        </row>
        <row r="350">
          <cell r="P350">
            <v>2058198.21</v>
          </cell>
          <cell r="Q350" t="str">
            <v xml:space="preserve">INMUIM02        PLPOINRMNT SELL DN     </v>
          </cell>
        </row>
        <row r="351">
          <cell r="P351">
            <v>3060542.38</v>
          </cell>
          <cell r="Q351" t="str">
            <v xml:space="preserve">INMUIM02        PLPOINRMNT SELL DN     </v>
          </cell>
        </row>
        <row r="352">
          <cell r="P352">
            <v>2566.16</v>
          </cell>
          <cell r="Q352" t="str">
            <v xml:space="preserve">INMUIM02        PSOFINRPROF SELL OFF   </v>
          </cell>
        </row>
        <row r="353">
          <cell r="P353">
            <v>419205.71</v>
          </cell>
          <cell r="Q353" t="str">
            <v xml:space="preserve">INMUIM02        PSOFINRPROF SELL OFF   </v>
          </cell>
        </row>
        <row r="354">
          <cell r="P354">
            <v>-175069.57</v>
          </cell>
          <cell r="Q354" t="str">
            <v xml:space="preserve">INMUIM02        PSOFINRPROF SELL OFF   </v>
          </cell>
        </row>
        <row r="355">
          <cell r="P355">
            <v>-223386.29</v>
          </cell>
          <cell r="Q355" t="str">
            <v>INMUIM02DPMF    AINRINRACCR INT RECEIVA</v>
          </cell>
        </row>
        <row r="356">
          <cell r="P356">
            <v>-33280000</v>
          </cell>
          <cell r="Q356" t="str">
            <v>INMUIM02DPMF    DPMMINRMM DEPOSIT PLACE</v>
          </cell>
        </row>
        <row r="357">
          <cell r="P357">
            <v>3063501.15</v>
          </cell>
          <cell r="Q357" t="str">
            <v>INMUIM02DPMF    INARINRACCR INTEREST IN</v>
          </cell>
        </row>
        <row r="358">
          <cell r="P358">
            <v>1386759.5</v>
          </cell>
          <cell r="Q358" t="str">
            <v>INMUIM02DTMF    AINPINRACCR INT PAYABLE</v>
          </cell>
        </row>
        <row r="359">
          <cell r="P359">
            <v>172280651.55000001</v>
          </cell>
          <cell r="Q359" t="str">
            <v>INMUIM02DTMF    DTMMINRDEPOSIT TAKEN MM</v>
          </cell>
        </row>
        <row r="360">
          <cell r="P360">
            <v>-9614224.1799999997</v>
          </cell>
          <cell r="Q360" t="str">
            <v>INMUIM02DTMF    INAPINRACCRUED INT EXPE</v>
          </cell>
        </row>
        <row r="361">
          <cell r="P361">
            <v>78032.98</v>
          </cell>
          <cell r="Q361" t="str">
            <v>INMUIM02INTINC  INTRINRINTEREST RECEIVE</v>
          </cell>
        </row>
        <row r="362">
          <cell r="P362">
            <v>8178048.21</v>
          </cell>
          <cell r="Q362" t="str">
            <v>INMUIM02OFUND   FUNDINROVERNIGHT FUNDIN</v>
          </cell>
        </row>
        <row r="363">
          <cell r="P363">
            <v>-142061179.31999999</v>
          </cell>
          <cell r="Q363" t="str">
            <v xml:space="preserve">INMUIM02SETTCONTBNOSINRBOOK NOSTRO     </v>
          </cell>
        </row>
        <row r="364">
          <cell r="P364">
            <v>109700</v>
          </cell>
          <cell r="Q364" t="str">
            <v>INMUINFINIT     CURRINRCURRENT ACCOUNTS</v>
          </cell>
        </row>
        <row r="365">
          <cell r="P365">
            <v>7243264</v>
          </cell>
          <cell r="Q365" t="str">
            <v>INMUINTONTAXRFNDINTZINRINT MISCELLANEOU</v>
          </cell>
        </row>
        <row r="366">
          <cell r="P366">
            <v>237137</v>
          </cell>
          <cell r="Q366" t="str">
            <v>INMUINTRBIBAL   INTZINRINT MISCELLANEOU</v>
          </cell>
        </row>
        <row r="367">
          <cell r="P367">
            <v>8930.83</v>
          </cell>
          <cell r="Q367" t="str">
            <v>INMUJAINMUK     SAVGINRSAVINGS ACCOUNTS</v>
          </cell>
        </row>
        <row r="368">
          <cell r="P368">
            <v>1187626.1000000001</v>
          </cell>
          <cell r="Q368" t="str">
            <v>INMUJETAIRW     CURRINRCURRENT ACCOUNTS</v>
          </cell>
        </row>
        <row r="369">
          <cell r="P369">
            <v>178652.14</v>
          </cell>
          <cell r="Q369" t="str">
            <v>INMUJISCOCO     CURRINRCURRENT ACCOUNTS</v>
          </cell>
        </row>
        <row r="370">
          <cell r="P370">
            <v>1737390</v>
          </cell>
          <cell r="Q370" t="str">
            <v>INMUJVIC        JVPLINRJOINT VENTURE PL</v>
          </cell>
        </row>
        <row r="371">
          <cell r="P371">
            <v>-9231.0400000000009</v>
          </cell>
          <cell r="Q371" t="str">
            <v xml:space="preserve">INMUJVIC        PLPOINRMNT SELL DN     </v>
          </cell>
        </row>
        <row r="372">
          <cell r="P372">
            <v>9733.31</v>
          </cell>
          <cell r="Q372" t="str">
            <v xml:space="preserve">INMUJVIC        PLPOINRMNT SELL DN     </v>
          </cell>
        </row>
        <row r="373">
          <cell r="P373">
            <v>-9733.31</v>
          </cell>
          <cell r="Q373" t="str">
            <v xml:space="preserve">INMUJVIC        PSOFINRPROF SELL OFF   </v>
          </cell>
        </row>
        <row r="374">
          <cell r="P374">
            <v>21404.03</v>
          </cell>
          <cell r="Q374" t="str">
            <v>INMUJVICOFUND   FUNDINROVERNIGHT FUNDIN</v>
          </cell>
        </row>
        <row r="375">
          <cell r="P375">
            <v>-1749562.99</v>
          </cell>
          <cell r="Q375" t="str">
            <v xml:space="preserve">INMUJVICSETTCONTBNOSINRBOOK NOSTRO     </v>
          </cell>
        </row>
        <row r="376">
          <cell r="P376">
            <v>-1737390</v>
          </cell>
          <cell r="Q376" t="str">
            <v>INMUJVIN        JVPLINRJOINT VENTURE PL</v>
          </cell>
        </row>
        <row r="377">
          <cell r="P377">
            <v>9231.0400000000009</v>
          </cell>
          <cell r="Q377" t="str">
            <v xml:space="preserve">INMUJVIN        PLPOINRMNT SELL DN     </v>
          </cell>
        </row>
        <row r="378">
          <cell r="P378">
            <v>-9733.31</v>
          </cell>
          <cell r="Q378" t="str">
            <v xml:space="preserve">INMUJVIN        PLPOINRMNT SELL DN     </v>
          </cell>
        </row>
        <row r="379">
          <cell r="P379">
            <v>9733.31</v>
          </cell>
          <cell r="Q379" t="str">
            <v xml:space="preserve">INMUJVIN        PSOFINRPROF SELL OFF   </v>
          </cell>
        </row>
        <row r="380">
          <cell r="P380">
            <v>-21404.03</v>
          </cell>
          <cell r="Q380" t="str">
            <v>INMUJVINOFUND   FUNDINROVERNIGHT FUNDIN</v>
          </cell>
        </row>
        <row r="381">
          <cell r="P381">
            <v>1749562.99</v>
          </cell>
          <cell r="Q381" t="str">
            <v xml:space="preserve">INMUJVINSETTCONTBNOSINRBOOK NOSTRO     </v>
          </cell>
        </row>
        <row r="382">
          <cell r="P382">
            <v>71901.42</v>
          </cell>
          <cell r="Q382" t="str">
            <v>INMUJVSLCOM     CURRINRCURRENT ACCOUNTS</v>
          </cell>
        </row>
        <row r="383">
          <cell r="P383">
            <v>3191.92</v>
          </cell>
          <cell r="Q383" t="str">
            <v>INMUKAPOORC     SAVGINRSAVINGS ACCOUNTS</v>
          </cell>
        </row>
        <row r="384">
          <cell r="P384">
            <v>13670.62</v>
          </cell>
          <cell r="Q384" t="str">
            <v>INMUKARAMCH     SAVGINRSAVINGS ACCOUNTS</v>
          </cell>
        </row>
        <row r="385">
          <cell r="P385">
            <v>0.12</v>
          </cell>
          <cell r="Q385" t="str">
            <v>INMUKSINVES     CURRINRCURRENT ACCOUNTS</v>
          </cell>
        </row>
        <row r="386">
          <cell r="P386">
            <v>56029.2</v>
          </cell>
          <cell r="Q386" t="str">
            <v>INMUMALKART     SAVGINRSAVINGS ACCOUNTS</v>
          </cell>
        </row>
        <row r="387">
          <cell r="P387">
            <v>-4046500</v>
          </cell>
          <cell r="Q387" t="str">
            <v>INMUMMBROK      BFDPINRBROKERAGE FEES P</v>
          </cell>
        </row>
        <row r="388">
          <cell r="P388">
            <v>1487.57</v>
          </cell>
          <cell r="Q388" t="str">
            <v>INMUMOHCARP     CURRINRCURRENT ACCOUNTS</v>
          </cell>
        </row>
        <row r="389">
          <cell r="P389">
            <v>6703.54</v>
          </cell>
          <cell r="Q389" t="str">
            <v>INMUNACAMOO     CURRINRCURRENT ACCOUNTS</v>
          </cell>
        </row>
        <row r="390">
          <cell r="P390">
            <v>5059.87</v>
          </cell>
          <cell r="Q390" t="str">
            <v>INMUNAWANIN     SAVGINRSAVINGS ACCOUNTS</v>
          </cell>
        </row>
        <row r="391">
          <cell r="P391">
            <v>-9164443.0700000003</v>
          </cell>
          <cell r="Q391" t="str">
            <v>INMUNOCILCO     CURRINRCURRENT ACCOUNTS</v>
          </cell>
        </row>
        <row r="392">
          <cell r="P392">
            <v>-1059330.08</v>
          </cell>
          <cell r="Q392" t="str">
            <v>INMUNOSTINT     INTZINRINT MISCELLANEOU</v>
          </cell>
        </row>
        <row r="393">
          <cell r="P393">
            <v>7981.72</v>
          </cell>
          <cell r="Q393" t="str">
            <v>INMUNVEXPOR     CURRINRCURRENT ACCOUNTS</v>
          </cell>
        </row>
        <row r="394">
          <cell r="P394">
            <v>67494.66</v>
          </cell>
          <cell r="Q394" t="str">
            <v>INMUPAGARMJ     SAVGINRSAVINGS ACCOUNTS</v>
          </cell>
        </row>
        <row r="395">
          <cell r="P395">
            <v>7383.18</v>
          </cell>
          <cell r="Q395" t="str">
            <v>INMUPATELSG     SAVGINRSAVINGS ACCOUNTS</v>
          </cell>
        </row>
        <row r="396">
          <cell r="P396">
            <v>1528.64</v>
          </cell>
          <cell r="Q396" t="str">
            <v>INMUPOPATPC     SAVGINRSAVINGS ACCOUNTS</v>
          </cell>
        </row>
        <row r="397">
          <cell r="P397">
            <v>104.15</v>
          </cell>
          <cell r="Q397" t="str">
            <v>INMUPUNJAMJ     SAVGINRSAVINGS ACCOUNTS</v>
          </cell>
        </row>
        <row r="398">
          <cell r="P398">
            <v>8000.95</v>
          </cell>
          <cell r="Q398" t="str">
            <v>INMURAMANPR     SAVGINRSAVINGS ACCOUNTS</v>
          </cell>
        </row>
        <row r="399">
          <cell r="P399">
            <v>40658</v>
          </cell>
          <cell r="Q399" t="str">
            <v>INMURAOBULU     SAVGINRSAVINGS ACCOUNTS</v>
          </cell>
        </row>
        <row r="400">
          <cell r="P400">
            <v>2199.06</v>
          </cell>
          <cell r="Q400" t="str">
            <v>INMURAONLPP     SAVGINRSAVINGS ACCOUNTS</v>
          </cell>
        </row>
        <row r="401">
          <cell r="P401">
            <v>-40690951.590000004</v>
          </cell>
          <cell r="Q401" t="str">
            <v xml:space="preserve">INMURBISBOM     NOSTINRNOSTRO          </v>
          </cell>
        </row>
        <row r="402">
          <cell r="P402">
            <v>4550</v>
          </cell>
          <cell r="Q402" t="str">
            <v>INMURELPETR     CURRINRCURRENT ACCOUNTS</v>
          </cell>
        </row>
        <row r="403">
          <cell r="P403">
            <v>1346257.1</v>
          </cell>
          <cell r="Q403" t="str">
            <v xml:space="preserve">INMUSCBLBOM     NOSTINRNOSTRO          </v>
          </cell>
        </row>
        <row r="404">
          <cell r="P404">
            <v>571872.19999999995</v>
          </cell>
          <cell r="Q404" t="str">
            <v xml:space="preserve">INMUSETLCHGS    FCRPINRFEES/COMM PAID  </v>
          </cell>
        </row>
        <row r="405">
          <cell r="P405">
            <v>-3217815442.8000002</v>
          </cell>
          <cell r="Q405" t="str">
            <v>INMUSETTCONT    BNCOINRBOOK NOSTRO CONT</v>
          </cell>
        </row>
        <row r="406">
          <cell r="P406">
            <v>-1153598.6000000001</v>
          </cell>
          <cell r="Q406" t="str">
            <v xml:space="preserve">INMUSETTCONT    BNOSINRBOOK NOSTRO     </v>
          </cell>
        </row>
        <row r="407">
          <cell r="P407">
            <v>33</v>
          </cell>
          <cell r="Q407" t="str">
            <v>INMUSHAHSOB     SAVGINRSAVINGS ACCOUNTS</v>
          </cell>
        </row>
        <row r="408">
          <cell r="P408">
            <v>1248.07</v>
          </cell>
          <cell r="Q408" t="str">
            <v>INMUSINGHMP     SAVGINRSAVINGS ACCOUNTS</v>
          </cell>
        </row>
        <row r="409">
          <cell r="P409">
            <v>24900</v>
          </cell>
          <cell r="Q409" t="str">
            <v>INMUSPICPET     CURRINRCURRENT ACCOUNTS</v>
          </cell>
        </row>
        <row r="410">
          <cell r="P410">
            <v>1.71</v>
          </cell>
          <cell r="Q410" t="str">
            <v xml:space="preserve">INMUSPOTPOS     SPOSINRSPOT POSITION   </v>
          </cell>
        </row>
        <row r="411">
          <cell r="P411">
            <v>146221.70000000001</v>
          </cell>
          <cell r="Q411" t="str">
            <v>INMUSUNNYBH     CURRINRCURRENT ACCOUNTS</v>
          </cell>
        </row>
        <row r="412">
          <cell r="P412">
            <v>162355.31</v>
          </cell>
          <cell r="Q412" t="str">
            <v>INMUSUREWIN     CURRINRCURRENT ACCOUNTS</v>
          </cell>
        </row>
        <row r="413">
          <cell r="P413">
            <v>7150.59</v>
          </cell>
          <cell r="Q413" t="str">
            <v>INMUTANDEMF     CURRINRCURRENT ACCOUNTS</v>
          </cell>
        </row>
        <row r="414">
          <cell r="P414">
            <v>141574.65</v>
          </cell>
          <cell r="Q414" t="str">
            <v>INMUTATAPET     CURRINRCURRENT ACCOUNTS</v>
          </cell>
        </row>
        <row r="415">
          <cell r="P415">
            <v>11208.81</v>
          </cell>
          <cell r="Q415" t="str">
            <v>INMUTEWANIR     SAVGINRSAVINGS ACCOUNTS</v>
          </cell>
        </row>
        <row r="416">
          <cell r="P416">
            <v>37.51</v>
          </cell>
          <cell r="Q416" t="str">
            <v>INMUTHOMASX     SAVGINRSAVINGS ACCOUNTS</v>
          </cell>
        </row>
        <row r="417">
          <cell r="P417">
            <v>3282.88</v>
          </cell>
          <cell r="Q417" t="str">
            <v>INMUVARDHAN     SAVGINRSAVINGS ACCOUNTS</v>
          </cell>
        </row>
        <row r="418">
          <cell r="P418">
            <v>223286.39999999999</v>
          </cell>
          <cell r="Q418" t="str">
            <v>INMUVASWARJ     SAVGINRSAVINGS ACCOUNTS</v>
          </cell>
        </row>
        <row r="419">
          <cell r="P419">
            <v>-847862.27</v>
          </cell>
          <cell r="Q419" t="str">
            <v>INMUWATCOCO     CURRINRCURRENT ACCOUNTS</v>
          </cell>
        </row>
        <row r="420">
          <cell r="P420">
            <v>103566.39999999999</v>
          </cell>
          <cell r="Q420" t="str">
            <v>INMUWOCKHAD     CURRINRCURRENT ACCOUNTS</v>
          </cell>
        </row>
        <row r="421">
          <cell r="P421">
            <v>323651544</v>
          </cell>
          <cell r="Q421" t="str">
            <v xml:space="preserve">INMU7401PLPOJPYMNT SELL DN     </v>
          </cell>
        </row>
        <row r="422">
          <cell r="P422">
            <v>-323655543</v>
          </cell>
          <cell r="Q422" t="str">
            <v xml:space="preserve">INMU7401PLPOJPYMNT SELL DN     </v>
          </cell>
        </row>
        <row r="423">
          <cell r="P423">
            <v>2876</v>
          </cell>
          <cell r="Q423" t="str">
            <v xml:space="preserve">INMU7401PSOFJPYPROF SELL OFF   </v>
          </cell>
        </row>
        <row r="424">
          <cell r="P424">
            <v>-5650</v>
          </cell>
          <cell r="Q424" t="str">
            <v xml:space="preserve">INMU7401SETTCONTBNOSJPYBOOK NOSTRO     </v>
          </cell>
        </row>
        <row r="425">
          <cell r="P425">
            <v>4244635993</v>
          </cell>
          <cell r="Q425" t="str">
            <v>INMU7401SWAPTRD CCCAJPYCONTRA CONT ASSE</v>
          </cell>
        </row>
        <row r="426">
          <cell r="P426">
            <v>-4244635993</v>
          </cell>
          <cell r="Q426" t="str">
            <v>INMU7401SWAPTRD CCCLJPYCONTRA CONT LIAB</v>
          </cell>
        </row>
        <row r="427">
          <cell r="P427">
            <v>4244635993</v>
          </cell>
          <cell r="Q427" t="str">
            <v>INMU7401SWAPTRD SWAMJPYSWAP NOTIONAL RE</v>
          </cell>
        </row>
        <row r="428">
          <cell r="P428">
            <v>-4244635993</v>
          </cell>
          <cell r="Q428" t="str">
            <v>INMU7401SWAPTRD SWARJPYSWAP NOTIONAL PA</v>
          </cell>
        </row>
        <row r="429">
          <cell r="P429">
            <v>-323645894</v>
          </cell>
          <cell r="Q429" t="str">
            <v xml:space="preserve">INMU7401SWAPTRD SWFEJPYSWAP FEE        </v>
          </cell>
        </row>
        <row r="430">
          <cell r="P430">
            <v>970937682</v>
          </cell>
          <cell r="Q430" t="str">
            <v>INMU7401SWAPTRD SWRKJPYREALISED PL - SW</v>
          </cell>
        </row>
        <row r="431">
          <cell r="P431">
            <v>-4242274686</v>
          </cell>
          <cell r="Q431" t="str">
            <v xml:space="preserve">INMU7401SWAPTRD SWTAJPYMTMREVAL P&amp;L BS </v>
          </cell>
        </row>
        <row r="432">
          <cell r="P432">
            <v>-222300</v>
          </cell>
          <cell r="Q432" t="str">
            <v xml:space="preserve">INMU7401SWAPTRD SWTBJPYACCRUED INT REC </v>
          </cell>
        </row>
        <row r="433">
          <cell r="P433">
            <v>222300</v>
          </cell>
          <cell r="Q433" t="str">
            <v xml:space="preserve">INMU7401SWAPTRD SWTCJPYACCRUED INT PAY </v>
          </cell>
        </row>
        <row r="434">
          <cell r="P434">
            <v>4242284335</v>
          </cell>
          <cell r="Q434" t="str">
            <v>INMU7401SWAPTRD SWTLJPYSWAP MTM-EXTERNA</v>
          </cell>
        </row>
        <row r="435">
          <cell r="P435">
            <v>-561410539</v>
          </cell>
          <cell r="Q435" t="str">
            <v>INMU7401SWAPTRD SWTPJPYACCRUED INT EXPE</v>
          </cell>
        </row>
        <row r="436">
          <cell r="P436">
            <v>424322</v>
          </cell>
          <cell r="Q436" t="str">
            <v>INMU7401SWAPTRD SWTRJPYACCRUED INTEREST</v>
          </cell>
        </row>
        <row r="437">
          <cell r="P437">
            <v>-86308447</v>
          </cell>
          <cell r="Q437" t="str">
            <v xml:space="preserve">INMU7401SWAPTRD SWTUJPYMTM REVALUATION </v>
          </cell>
        </row>
        <row r="438">
          <cell r="P438">
            <v>2358600000</v>
          </cell>
          <cell r="Q438" t="str">
            <v>INMU7402SWAPTRD CCCAJPYCONTRA CONT ASSE</v>
          </cell>
        </row>
        <row r="439">
          <cell r="P439">
            <v>-2358600000</v>
          </cell>
          <cell r="Q439" t="str">
            <v>INMU7402SWAPTRD CCCLJPYCONTRA CONT LIAB</v>
          </cell>
        </row>
        <row r="440">
          <cell r="P440">
            <v>2358600000</v>
          </cell>
          <cell r="Q440" t="str">
            <v>INMU7402SWAPTRD SWAMJPYSWAP NOTIONAL RE</v>
          </cell>
        </row>
        <row r="441">
          <cell r="P441">
            <v>-2358600000</v>
          </cell>
          <cell r="Q441" t="str">
            <v>INMU7402SWAPTRD SWARJPYSWAP NOTIONAL PA</v>
          </cell>
        </row>
        <row r="442">
          <cell r="P442">
            <v>-2504641198</v>
          </cell>
          <cell r="Q442" t="str">
            <v xml:space="preserve">INMU7402SWAPTRD SWTAJPYMTMREVAL P&amp;L BS </v>
          </cell>
        </row>
        <row r="443">
          <cell r="P443">
            <v>-11314818</v>
          </cell>
          <cell r="Q443" t="str">
            <v xml:space="preserve">INMU7402SWAPTRD SWTBJPYACCRUED INT REC </v>
          </cell>
        </row>
        <row r="444">
          <cell r="P444">
            <v>11314818</v>
          </cell>
          <cell r="Q444" t="str">
            <v xml:space="preserve">INMU7402SWAPTRD SWTCJPYACCRUED INT PAY </v>
          </cell>
        </row>
        <row r="445">
          <cell r="P445">
            <v>2504641198</v>
          </cell>
          <cell r="Q445" t="str">
            <v>INMU7402SWAPTRD SWTLJPYSWAP MTM-EXTERNA</v>
          </cell>
        </row>
        <row r="446">
          <cell r="P446">
            <v>-11314818</v>
          </cell>
          <cell r="Q446" t="str">
            <v>INMU7402SWAPTRD SWTPJPYACCRUED INT EXPE</v>
          </cell>
        </row>
        <row r="447">
          <cell r="P447">
            <v>11314818</v>
          </cell>
          <cell r="Q447" t="str">
            <v>INMU7402SWAPTRD SWTRJPYACCRUED INTEREST</v>
          </cell>
        </row>
        <row r="448">
          <cell r="P448">
            <v>-3074635993</v>
          </cell>
          <cell r="Q448" t="str">
            <v>INMU7404SWAPTRD CCCLJPYCONTRA CONT LIAB</v>
          </cell>
        </row>
        <row r="449">
          <cell r="P449">
            <v>3074635993</v>
          </cell>
          <cell r="Q449" t="str">
            <v>INMU7404SWAPTRD SWAMJPYSWAP NOTIONAL RE</v>
          </cell>
        </row>
        <row r="450">
          <cell r="P450">
            <v>-970937682</v>
          </cell>
          <cell r="Q450" t="str">
            <v>INMU7404SWAPTRD SWRKJPYREALISED PL - SW</v>
          </cell>
        </row>
        <row r="451">
          <cell r="P451">
            <v>-2988533878</v>
          </cell>
          <cell r="Q451" t="str">
            <v xml:space="preserve">INMU7404SWAPTRD SWTAJPYMTMREVAL P&amp;L BS </v>
          </cell>
        </row>
        <row r="452">
          <cell r="P452">
            <v>-83701524</v>
          </cell>
          <cell r="Q452" t="str">
            <v xml:space="preserve">INMU7404SWAPTRD SWTBJPYACCRUED INT REC </v>
          </cell>
        </row>
        <row r="453">
          <cell r="P453">
            <v>3072235402</v>
          </cell>
          <cell r="Q453" t="str">
            <v>INMU7404SWAPTRD SWTLJPYSWAP MTM-EXTERNA</v>
          </cell>
        </row>
        <row r="454">
          <cell r="P454">
            <v>968333635</v>
          </cell>
          <cell r="Q454" t="str">
            <v>INMU7404SWAPTRD SWTRJPYACCRUED INTEREST</v>
          </cell>
        </row>
        <row r="455">
          <cell r="P455">
            <v>2604047</v>
          </cell>
          <cell r="Q455" t="str">
            <v xml:space="preserve">INMU7404SWAPTRD SWTUJPYMTM REVALUATION </v>
          </cell>
        </row>
        <row r="456">
          <cell r="P456">
            <v>-60</v>
          </cell>
          <cell r="Q456" t="str">
            <v xml:space="preserve">INMU9999PLPOJPYMNT SELL DN     </v>
          </cell>
        </row>
        <row r="457">
          <cell r="P457">
            <v>60</v>
          </cell>
          <cell r="Q457" t="str">
            <v xml:space="preserve">INMU9999PLPOJPYMNT SELL DN     </v>
          </cell>
        </row>
        <row r="458">
          <cell r="P458">
            <v>-60</v>
          </cell>
          <cell r="Q458" t="str">
            <v xml:space="preserve">INMU9999PSOFJPYPROF SELL OFF   </v>
          </cell>
        </row>
        <row r="459">
          <cell r="P459">
            <v>-500</v>
          </cell>
          <cell r="Q459" t="str">
            <v xml:space="preserve">INMU9999CASHJPY CASHJPYCASH            </v>
          </cell>
        </row>
        <row r="460">
          <cell r="P460">
            <v>60</v>
          </cell>
          <cell r="Q460" t="str">
            <v>INMU9999MINTJPY INTZJPYINT MISCELLANEOU</v>
          </cell>
        </row>
        <row r="461">
          <cell r="P461">
            <v>3491772132</v>
          </cell>
          <cell r="Q461" t="str">
            <v xml:space="preserve">INMU9999SETTCONTBNOSJPYBOOK NOSTRO     </v>
          </cell>
        </row>
        <row r="462">
          <cell r="P462">
            <v>-2120438</v>
          </cell>
          <cell r="Q462" t="str">
            <v xml:space="preserve">INMUBOTKTKO     NOSTJPYNOSTRO          </v>
          </cell>
        </row>
        <row r="463">
          <cell r="P463">
            <v>-320629534</v>
          </cell>
          <cell r="Q463" t="str">
            <v xml:space="preserve">INMUIF01        PLPOJPYMNT SELL DN     </v>
          </cell>
        </row>
        <row r="464">
          <cell r="P464">
            <v>324177909</v>
          </cell>
          <cell r="Q464" t="str">
            <v xml:space="preserve">INMUIF01        PLPOJPYMNT SELL DN     </v>
          </cell>
        </row>
        <row r="465">
          <cell r="P465">
            <v>-143608</v>
          </cell>
          <cell r="Q465" t="str">
            <v xml:space="preserve">INMUIF01        PSOFJPYPROF SELL OFF   </v>
          </cell>
        </row>
        <row r="466">
          <cell r="P466">
            <v>-2589167152</v>
          </cell>
          <cell r="Q466" t="str">
            <v>INMUIF01FONLJPY FONLJPYF&amp;O BOUGHT NOTIO</v>
          </cell>
        </row>
        <row r="467">
          <cell r="P467">
            <v>2589167152</v>
          </cell>
          <cell r="Q467" t="str">
            <v>INMUIF01FONSJPY FONSJPYF&amp;O SOLD NOTIONA</v>
          </cell>
        </row>
        <row r="468">
          <cell r="P468">
            <v>-1970352920</v>
          </cell>
          <cell r="Q468" t="str">
            <v>INMUIF01FWDPOS  CXFPJPYFX PURCHASED (ME</v>
          </cell>
        </row>
        <row r="469">
          <cell r="P469">
            <v>1972319321</v>
          </cell>
          <cell r="Q469" t="str">
            <v xml:space="preserve">INMUIF01FWDPOS  CXFSJPYFX SOLD (METAL) </v>
          </cell>
        </row>
        <row r="470">
          <cell r="P470">
            <v>-1966401</v>
          </cell>
          <cell r="Q470" t="str">
            <v>INMUIF01FWDPOS  FPOKJPYFORWARD POSITION</v>
          </cell>
        </row>
        <row r="471">
          <cell r="P471">
            <v>-1433087</v>
          </cell>
          <cell r="Q471" t="str">
            <v>INMUIF01FXNPV   UNFKJPYFX UNREALISED NP</v>
          </cell>
        </row>
        <row r="472">
          <cell r="P472">
            <v>-5392944</v>
          </cell>
          <cell r="Q472" t="str">
            <v>INMUIF01FXREALPLFXRKJPYFX REAL RESULTS-</v>
          </cell>
        </row>
        <row r="473">
          <cell r="P473">
            <v>-24275</v>
          </cell>
          <cell r="Q473" t="str">
            <v xml:space="preserve">INMUIF01OPTNPRM OPPMJPYOPTION PREMIUM  </v>
          </cell>
        </row>
        <row r="474">
          <cell r="P474">
            <v>1284112</v>
          </cell>
          <cell r="Q474" t="str">
            <v xml:space="preserve">INMUIF01SETTCONTBNOSJPYBOOK NOSTRO     </v>
          </cell>
        </row>
        <row r="475">
          <cell r="P475">
            <v>2161427</v>
          </cell>
          <cell r="Q475" t="str">
            <v>INMUIF01UNRLPL  FXUKJPYFX U/REAL RESULT</v>
          </cell>
        </row>
        <row r="476">
          <cell r="P476">
            <v>60</v>
          </cell>
          <cell r="Q476" t="str">
            <v xml:space="preserve">INMUIM01        PLPOJPYMNT SELL DN     </v>
          </cell>
        </row>
        <row r="477">
          <cell r="P477">
            <v>-60</v>
          </cell>
          <cell r="Q477" t="str">
            <v xml:space="preserve">INMUIM01        PLPOJPYMNT SELL DN     </v>
          </cell>
        </row>
        <row r="478">
          <cell r="P478">
            <v>-3489651194</v>
          </cell>
          <cell r="Q478" t="str">
            <v>INMUSETTCONT    BNCOJPYBOOK NOSTRO CONT</v>
          </cell>
        </row>
        <row r="479">
          <cell r="P479">
            <v>9.15</v>
          </cell>
          <cell r="Q479" t="str">
            <v xml:space="preserve">INMU9999PLPOSGDMNT SELL DN     </v>
          </cell>
        </row>
        <row r="480">
          <cell r="P480">
            <v>-10.48</v>
          </cell>
          <cell r="Q480" t="str">
            <v xml:space="preserve">INMU9999PLPOSGDMNT SELL DN     </v>
          </cell>
        </row>
        <row r="481">
          <cell r="P481">
            <v>7.49</v>
          </cell>
          <cell r="Q481" t="str">
            <v xml:space="preserve">INMU9999PSOFSGDPROF SELL OFF   </v>
          </cell>
        </row>
        <row r="482">
          <cell r="P482">
            <v>-1463</v>
          </cell>
          <cell r="Q482" t="str">
            <v xml:space="preserve">INMU9999CASHSGD CASHSGDCASH            </v>
          </cell>
        </row>
        <row r="483">
          <cell r="P483">
            <v>-7.49</v>
          </cell>
          <cell r="Q483" t="str">
            <v>INMU9999OFUND   FUNDSGDOVERNIGHT FUNDIN</v>
          </cell>
        </row>
        <row r="484">
          <cell r="P484">
            <v>0.13</v>
          </cell>
          <cell r="Q484" t="str">
            <v xml:space="preserve">INMU9999SETTCONTBNOSSGDBOOK NOSTRO     </v>
          </cell>
        </row>
        <row r="485">
          <cell r="P485">
            <v>-18547.34</v>
          </cell>
          <cell r="Q485" t="str">
            <v xml:space="preserve">INMUIF01        PLPOSGDMNT SELL DN     </v>
          </cell>
        </row>
        <row r="486">
          <cell r="P486">
            <v>20011.669999999998</v>
          </cell>
          <cell r="Q486" t="str">
            <v xml:space="preserve">INMUIF01        PLPOSGDMNT SELL DN     </v>
          </cell>
        </row>
        <row r="487">
          <cell r="P487">
            <v>-17493.490000000002</v>
          </cell>
          <cell r="Q487" t="str">
            <v xml:space="preserve">INMUIF01        PSOFSGDPROF SELL OFF   </v>
          </cell>
        </row>
        <row r="488">
          <cell r="P488">
            <v>17486</v>
          </cell>
          <cell r="Q488" t="str">
            <v>INMUIF01FXREALPLFXRKSGDFX REAL RESULTS-</v>
          </cell>
        </row>
        <row r="489">
          <cell r="P489">
            <v>7.49</v>
          </cell>
          <cell r="Q489" t="str">
            <v>INMUIF01OFUND   FUNDSGDOVERNIGHT FUNDIN</v>
          </cell>
        </row>
        <row r="490">
          <cell r="P490">
            <v>-1464.33</v>
          </cell>
          <cell r="Q490" t="str">
            <v xml:space="preserve">INMUIF01SETTCONTBNOSSGDBOOK NOSTRO     </v>
          </cell>
        </row>
        <row r="491">
          <cell r="P491">
            <v>1464.2</v>
          </cell>
          <cell r="Q491" t="str">
            <v>INMUSETTCONT    BNCOSGDBOOK NOSTRO CONT</v>
          </cell>
        </row>
        <row r="492">
          <cell r="P492">
            <v>-22018648.530000001</v>
          </cell>
          <cell r="Q492" t="str">
            <v xml:space="preserve">INMU7401PLPOUSDMNT SELL DN     </v>
          </cell>
        </row>
        <row r="493">
          <cell r="P493">
            <v>21207224.25</v>
          </cell>
          <cell r="Q493" t="str">
            <v xml:space="preserve">INMU7401PLPOUSDMNT SELL DN     </v>
          </cell>
        </row>
        <row r="494">
          <cell r="P494">
            <v>30967398.329999998</v>
          </cell>
          <cell r="Q494" t="str">
            <v xml:space="preserve">INMU7401PSOFUSDPROF SELL OFF   </v>
          </cell>
        </row>
        <row r="495">
          <cell r="P495">
            <v>335556.23</v>
          </cell>
          <cell r="Q495" t="str">
            <v>INMU7401OFUND   FUNDUSDOVERNIGHT FUNDIN</v>
          </cell>
        </row>
        <row r="496">
          <cell r="P496">
            <v>-117291707.42</v>
          </cell>
          <cell r="Q496" t="str">
            <v xml:space="preserve">INMU7401SETTCONTBNOSUSDBOOK NOSTRO     </v>
          </cell>
        </row>
        <row r="497">
          <cell r="P497">
            <v>578435334.61000001</v>
          </cell>
          <cell r="Q497" t="str">
            <v>INMU7401SWAPTRD CCCAUSDCONTRA CONT ASSE</v>
          </cell>
        </row>
        <row r="498">
          <cell r="P498">
            <v>-600704849.5</v>
          </cell>
          <cell r="Q498" t="str">
            <v>INMU7401SWAPTRD CCCLUSDCONTRA CONT LIAB</v>
          </cell>
        </row>
        <row r="499">
          <cell r="P499">
            <v>31647000</v>
          </cell>
          <cell r="Q499" t="str">
            <v xml:space="preserve">INMU7401SWAPTRD ETFEUSDEARLY TERM FEE  </v>
          </cell>
        </row>
        <row r="500">
          <cell r="P500">
            <v>600704849.5</v>
          </cell>
          <cell r="Q500" t="str">
            <v>INMU7401SWAPTRD SWAMUSDSWAP NOTIONAL RE</v>
          </cell>
        </row>
        <row r="501">
          <cell r="P501">
            <v>-578435334.61000001</v>
          </cell>
          <cell r="Q501" t="str">
            <v>INMU7401SWAPTRD SWARUSDSWAP NOTIONAL PA</v>
          </cell>
        </row>
        <row r="502">
          <cell r="P502">
            <v>7069872.1500000004</v>
          </cell>
          <cell r="Q502" t="str">
            <v xml:space="preserve">INMU7401SWAPTRD SWFEUSDSWAP FEE        </v>
          </cell>
        </row>
        <row r="503">
          <cell r="P503">
            <v>45000000</v>
          </cell>
          <cell r="Q503" t="str">
            <v>INMU7401SWAPTRD SWRKUSDREALISED PL - SW</v>
          </cell>
        </row>
        <row r="504">
          <cell r="P504">
            <v>-78435544.469999999</v>
          </cell>
          <cell r="Q504" t="str">
            <v xml:space="preserve">INMU7401SWAPTRD SWTAUSDMTMREVAL P&amp;L BS </v>
          </cell>
        </row>
        <row r="505">
          <cell r="P505">
            <v>-8145194.3399999999</v>
          </cell>
          <cell r="Q505" t="str">
            <v xml:space="preserve">INMU7401SWAPTRD SWTBUSDACCRUED INT REC </v>
          </cell>
        </row>
        <row r="506">
          <cell r="P506">
            <v>4493584.3099999996</v>
          </cell>
          <cell r="Q506" t="str">
            <v xml:space="preserve">INMU7401SWAPTRD SWTCUSDACCRUED INT PAY </v>
          </cell>
        </row>
        <row r="507">
          <cell r="P507">
            <v>200190286.19999999</v>
          </cell>
          <cell r="Q507" t="str">
            <v>INMU7401SWAPTRD SWTLUSDSWAP MTM-EXTERNA</v>
          </cell>
        </row>
        <row r="508">
          <cell r="P508">
            <v>-6596801.5</v>
          </cell>
          <cell r="Q508" t="str">
            <v>INMU7401SWAPTRD SWTPUSDACCRUED INT EXPE</v>
          </cell>
        </row>
        <row r="509">
          <cell r="P509">
            <v>8621684.6400000006</v>
          </cell>
          <cell r="Q509" t="str">
            <v>INMU7401SWAPTRD SWTRUSDACCRUED INTEREST</v>
          </cell>
        </row>
        <row r="510">
          <cell r="P510">
            <v>-117044709.84999999</v>
          </cell>
          <cell r="Q510" t="str">
            <v xml:space="preserve">INMU7401SWAPTRD SWTUUSDMTM REVALUATION </v>
          </cell>
        </row>
        <row r="511">
          <cell r="P511">
            <v>-1713.19</v>
          </cell>
          <cell r="Q511" t="str">
            <v xml:space="preserve">INMU7402PLPOUSDMNT SELL DN     </v>
          </cell>
        </row>
        <row r="512">
          <cell r="P512">
            <v>1713.45</v>
          </cell>
          <cell r="Q512" t="str">
            <v xml:space="preserve">INMU7402PLPOUSDMNT SELL DN     </v>
          </cell>
        </row>
        <row r="513">
          <cell r="P513">
            <v>-1713.45</v>
          </cell>
          <cell r="Q513" t="str">
            <v xml:space="preserve">INMU7402PSOFUSDPROF SELL OFF   </v>
          </cell>
        </row>
        <row r="514">
          <cell r="P514">
            <v>867.94</v>
          </cell>
          <cell r="Q514" t="str">
            <v>INMU7402OFUND   FUNDUSDOVERNIGHT FUNDIN</v>
          </cell>
        </row>
        <row r="515">
          <cell r="P515">
            <v>845.25</v>
          </cell>
          <cell r="Q515" t="str">
            <v xml:space="preserve">INMU7402SETTCONTBNOSUSDBOOK NOSTRO     </v>
          </cell>
        </row>
        <row r="516">
          <cell r="P516">
            <v>74366735.120000005</v>
          </cell>
          <cell r="Q516" t="str">
            <v>INMU7402SWAPTRD CCCAUSDCONTRA CONT ASSE</v>
          </cell>
        </row>
        <row r="517">
          <cell r="P517">
            <v>-74366735.120000005</v>
          </cell>
          <cell r="Q517" t="str">
            <v>INMU7402SWAPTRD CCCLUSDCONTRA CONT LIAB</v>
          </cell>
        </row>
        <row r="518">
          <cell r="P518">
            <v>74366735.120000005</v>
          </cell>
          <cell r="Q518" t="str">
            <v>INMU7402SWAPTRD SWAMUSDSWAP NOTIONAL RE</v>
          </cell>
        </row>
        <row r="519">
          <cell r="P519">
            <v>-74366735.120000005</v>
          </cell>
          <cell r="Q519" t="str">
            <v>INMU7402SWAPTRD SWARUSDSWAP NOTIONAL PA</v>
          </cell>
        </row>
        <row r="520">
          <cell r="P520">
            <v>-44318711.659999996</v>
          </cell>
          <cell r="Q520" t="str">
            <v xml:space="preserve">INMU7402SWAPTRD SWTAUSDMTMREVAL P&amp;L BS </v>
          </cell>
        </row>
        <row r="521">
          <cell r="P521">
            <v>-262363.89</v>
          </cell>
          <cell r="Q521" t="str">
            <v xml:space="preserve">INMU7402SWAPTRD SWTBUSDACCRUED INT REC </v>
          </cell>
        </row>
        <row r="522">
          <cell r="P522">
            <v>262363.89</v>
          </cell>
          <cell r="Q522" t="str">
            <v xml:space="preserve">INMU7402SWAPTRD SWTCUSDACCRUED INT PAY </v>
          </cell>
        </row>
        <row r="523">
          <cell r="P523">
            <v>44317866.149999999</v>
          </cell>
          <cell r="Q523" t="str">
            <v>INMU7402SWAPTRD SWTLUSDSWAP MTM-EXTERNA</v>
          </cell>
        </row>
        <row r="524">
          <cell r="P524">
            <v>-262363.89</v>
          </cell>
          <cell r="Q524" t="str">
            <v>INMU7402SWAPTRD SWTPUSDACCRUED INT EXPE</v>
          </cell>
        </row>
        <row r="525">
          <cell r="P525">
            <v>262363.89</v>
          </cell>
          <cell r="Q525" t="str">
            <v>INMU7402SWAPTRD SWTRUSDACCRUED INTEREST</v>
          </cell>
        </row>
        <row r="526">
          <cell r="P526">
            <v>845.51</v>
          </cell>
          <cell r="Q526" t="str">
            <v xml:space="preserve">INMU7402SWAPTRD SWTUUSDMTM REVALUATION </v>
          </cell>
        </row>
        <row r="527">
          <cell r="P527">
            <v>173582.41</v>
          </cell>
          <cell r="Q527" t="str">
            <v xml:space="preserve">INMU7404PLPOUSDMNT SELL DN     </v>
          </cell>
        </row>
        <row r="528">
          <cell r="P528">
            <v>-173582.44</v>
          </cell>
          <cell r="Q528" t="str">
            <v xml:space="preserve">INMU7404PLPOUSDMNT SELL DN     </v>
          </cell>
        </row>
        <row r="529">
          <cell r="P529">
            <v>-15478.79</v>
          </cell>
          <cell r="Q529" t="str">
            <v xml:space="preserve">INMU7404PSOFUSDPROF SELL OFF   </v>
          </cell>
        </row>
        <row r="530">
          <cell r="P530">
            <v>-273.93</v>
          </cell>
          <cell r="Q530" t="str">
            <v>INMU7404OFUND   FUNDUSDOVERNIGHT FUNDIN</v>
          </cell>
        </row>
        <row r="531">
          <cell r="P531">
            <v>0.01</v>
          </cell>
          <cell r="Q531" t="str">
            <v xml:space="preserve">INMU7404SETTCONTBNOSUSDBOOK NOSTRO     </v>
          </cell>
        </row>
        <row r="532">
          <cell r="P532">
            <v>291678035.50999999</v>
          </cell>
          <cell r="Q532" t="str">
            <v>INMU7404SWAPTRD CCCAUSDCONTRA CONT ASSE</v>
          </cell>
        </row>
        <row r="533">
          <cell r="P533">
            <v>-291678034.54000002</v>
          </cell>
          <cell r="Q533" t="str">
            <v>INMU7404SWAPTRD CCCLUSDCONTRA CONT LIAB</v>
          </cell>
        </row>
        <row r="534">
          <cell r="P534">
            <v>291678034.54000002</v>
          </cell>
          <cell r="Q534" t="str">
            <v>INMU7404SWAPTRD SWAMUSDSWAP NOTIONAL RE</v>
          </cell>
        </row>
        <row r="535">
          <cell r="P535">
            <v>-291678035.50999999</v>
          </cell>
          <cell r="Q535" t="str">
            <v>INMU7404SWAPTRD SWARUSDSWAP NOTIONAL PA</v>
          </cell>
        </row>
        <row r="536">
          <cell r="P536">
            <v>-46206642.850000001</v>
          </cell>
          <cell r="Q536" t="str">
            <v xml:space="preserve">INMU7404SWAPTRD SWTAUSDMTMREVAL P&amp;L BS </v>
          </cell>
        </row>
        <row r="537">
          <cell r="P537">
            <v>-9065153.7300000004</v>
          </cell>
          <cell r="Q537" t="str">
            <v xml:space="preserve">INMU7404SWAPTRD SWTBUSDACCRUED INT REC </v>
          </cell>
        </row>
        <row r="538">
          <cell r="P538">
            <v>9065153.7200000007</v>
          </cell>
          <cell r="Q538" t="str">
            <v xml:space="preserve">INMU7404SWAPTRD SWTCUSDACCRUED INT PAY </v>
          </cell>
        </row>
        <row r="539">
          <cell r="P539">
            <v>46206642.880000003</v>
          </cell>
          <cell r="Q539" t="str">
            <v>INMU7404SWAPTRD SWTLUSDSWAP MTM-EXTERNA</v>
          </cell>
        </row>
        <row r="540">
          <cell r="P540">
            <v>-5762208.3899999997</v>
          </cell>
          <cell r="Q540" t="str">
            <v>INMU7404SWAPTRD SWTPUSDACCRUED INT EXPE</v>
          </cell>
        </row>
        <row r="541">
          <cell r="P541">
            <v>5895168.1500000004</v>
          </cell>
          <cell r="Q541" t="str">
            <v>INMU7404SWAPTRD SWTRUSDACCRUED INTEREST</v>
          </cell>
        </row>
        <row r="542">
          <cell r="P542">
            <v>-117207.03999999999</v>
          </cell>
          <cell r="Q542" t="str">
            <v xml:space="preserve">INMU7404SWAPTRD SWTUUSDMTM REVALUATION </v>
          </cell>
        </row>
        <row r="543">
          <cell r="P543">
            <v>-4184093.16</v>
          </cell>
          <cell r="Q543" t="str">
            <v xml:space="preserve">INMU7406PLPOUSDMNT SELL DN     </v>
          </cell>
        </row>
        <row r="544">
          <cell r="P544">
            <v>3415720.07</v>
          </cell>
          <cell r="Q544" t="str">
            <v xml:space="preserve">INMU7406PLPOUSDMNT SELL DN     </v>
          </cell>
        </row>
        <row r="545">
          <cell r="P545">
            <v>-2958745.8</v>
          </cell>
          <cell r="Q545" t="str">
            <v xml:space="preserve">INMU7406PSOFUSDPROF SELL OFF   </v>
          </cell>
        </row>
        <row r="546">
          <cell r="P546">
            <v>-5796.54</v>
          </cell>
          <cell r="Q546" t="str">
            <v>INMU7406OFUND   FUNDUSDOVERNIGHT FUNDIN</v>
          </cell>
        </row>
        <row r="547">
          <cell r="P547">
            <v>2693232.39</v>
          </cell>
          <cell r="Q547" t="str">
            <v xml:space="preserve">INMU7406SETTCONTBNOSUSDBOOK NOSTRO     </v>
          </cell>
        </row>
        <row r="548">
          <cell r="P548">
            <v>123198000</v>
          </cell>
          <cell r="Q548" t="str">
            <v>INMU7406SWAPTRD CCCAUSDCONTRA CONT ASSE</v>
          </cell>
        </row>
        <row r="549">
          <cell r="P549">
            <v>-123198000</v>
          </cell>
          <cell r="Q549" t="str">
            <v>INMU7406SWAPTRD CCCLUSDCONTRA CONT LIAB</v>
          </cell>
        </row>
        <row r="550">
          <cell r="P550">
            <v>1326000</v>
          </cell>
          <cell r="Q550" t="str">
            <v xml:space="preserve">INMU7406SWAPTRD ETFEUSDEARLY TERM FEE  </v>
          </cell>
        </row>
        <row r="551">
          <cell r="P551">
            <v>123198000</v>
          </cell>
          <cell r="Q551" t="str">
            <v>INMU7406SWAPTRD SWAMUSDSWAP NOTIONAL RE</v>
          </cell>
        </row>
        <row r="552">
          <cell r="P552">
            <v>-123198000</v>
          </cell>
          <cell r="Q552" t="str">
            <v>INMU7406SWAPTRD SWARUSDSWAP NOTIONAL PA</v>
          </cell>
        </row>
        <row r="553">
          <cell r="P553">
            <v>1180000</v>
          </cell>
          <cell r="Q553" t="str">
            <v xml:space="preserve">INMU7406SWAPTRD SWFEUSDSWAP FEE        </v>
          </cell>
        </row>
        <row r="554">
          <cell r="P554">
            <v>-1924859.3</v>
          </cell>
          <cell r="Q554" t="str">
            <v xml:space="preserve">INMU7406SWAPTRD SWTAUSDMTMREVAL P&amp;L BS </v>
          </cell>
        </row>
        <row r="555">
          <cell r="P555">
            <v>351171.26</v>
          </cell>
          <cell r="Q555" t="str">
            <v>INMU7406SWAPTRD SWTRUSDACCRUED INTEREST</v>
          </cell>
        </row>
        <row r="556">
          <cell r="P556">
            <v>107371.08</v>
          </cell>
          <cell r="Q556" t="str">
            <v xml:space="preserve">INMU7406SWAPTRD SWTUUSDMTM REVALUATION </v>
          </cell>
        </row>
        <row r="557">
          <cell r="P557">
            <v>3860.87</v>
          </cell>
          <cell r="Q557" t="str">
            <v xml:space="preserve">INMU9000PLPOUSDMNT SELL DN     </v>
          </cell>
        </row>
        <row r="558">
          <cell r="P558">
            <v>-4462.3599999999997</v>
          </cell>
          <cell r="Q558" t="str">
            <v xml:space="preserve">INMU9000PLPOUSDMNT SELL DN     </v>
          </cell>
        </row>
        <row r="559">
          <cell r="P559">
            <v>3534.2</v>
          </cell>
          <cell r="Q559" t="str">
            <v xml:space="preserve">INMU9000PSOFUSDPROF SELL OFF   </v>
          </cell>
        </row>
        <row r="560">
          <cell r="P560">
            <v>-256.38</v>
          </cell>
          <cell r="Q560" t="str">
            <v xml:space="preserve">INMU9000INTSWP  OTHAUSDOTHER ASSETS    </v>
          </cell>
        </row>
        <row r="561">
          <cell r="P561">
            <v>-3534.2</v>
          </cell>
          <cell r="Q561" t="str">
            <v>INMU9000OFUND   FUNDUSDOVERNIGHT FUNDIN</v>
          </cell>
        </row>
        <row r="562">
          <cell r="P562">
            <v>-550000</v>
          </cell>
          <cell r="Q562" t="str">
            <v xml:space="preserve">INMU9000REFDEUSDOTHAUSDOTHER ASSETS    </v>
          </cell>
        </row>
        <row r="563">
          <cell r="P563">
            <v>550857.87</v>
          </cell>
          <cell r="Q563" t="str">
            <v xml:space="preserve">INMU9000SETTCONTBNOSUSDBOOK NOSTRO     </v>
          </cell>
        </row>
        <row r="564">
          <cell r="P564">
            <v>-7250</v>
          </cell>
          <cell r="Q564" t="str">
            <v>INMU9000TCHAUSD TCHAUSDTRAVEL CHEQ-NO I</v>
          </cell>
        </row>
        <row r="565">
          <cell r="P565">
            <v>7250</v>
          </cell>
          <cell r="Q565" t="str">
            <v>INMU9000TCHCUSD TCHCUSDTRAVEL CHEQ - CO</v>
          </cell>
        </row>
        <row r="566">
          <cell r="P566">
            <v>-21807.94</v>
          </cell>
          <cell r="Q566" t="str">
            <v xml:space="preserve">INMU9999PLPOUSDMNT SELL DN     </v>
          </cell>
        </row>
        <row r="567">
          <cell r="P567">
            <v>22327.42</v>
          </cell>
          <cell r="Q567" t="str">
            <v xml:space="preserve">INMU9999PLPOUSDMNT SELL DN     </v>
          </cell>
        </row>
        <row r="568">
          <cell r="P568">
            <v>-22725.68</v>
          </cell>
          <cell r="Q568" t="str">
            <v xml:space="preserve">INMU9999PSOFUSDPROF SELL OFF   </v>
          </cell>
        </row>
        <row r="569">
          <cell r="P569">
            <v>-3300</v>
          </cell>
          <cell r="Q569" t="str">
            <v xml:space="preserve">INMU9999CASHUSD CASHUSDCASH            </v>
          </cell>
        </row>
        <row r="570">
          <cell r="P570">
            <v>-375702.1</v>
          </cell>
          <cell r="Q570" t="str">
            <v>INMU9999GUATUSD GUATUSDMEMO CONT. GUAR.</v>
          </cell>
        </row>
        <row r="571">
          <cell r="P571">
            <v>-2473.8200000000002</v>
          </cell>
          <cell r="Q571" t="str">
            <v>INMU9999INVB    FASGUSDFEE PAYABLE TO P</v>
          </cell>
        </row>
        <row r="572">
          <cell r="P572">
            <v>22264.240000000002</v>
          </cell>
          <cell r="Q572" t="str">
            <v>INMU9999INVI    FESGUSDFEE EXP TO PLC S</v>
          </cell>
        </row>
        <row r="573">
          <cell r="P573">
            <v>68527.520000000004</v>
          </cell>
          <cell r="Q573" t="str">
            <v>INMU9999MATFDUSDOTHLUSDOTHER LIABILITIE</v>
          </cell>
        </row>
        <row r="574">
          <cell r="P574">
            <v>-0.22</v>
          </cell>
          <cell r="Q574" t="str">
            <v>INMU9999MINTUSD INTZUSDINT MISCELLANEOU</v>
          </cell>
        </row>
        <row r="575">
          <cell r="P575">
            <v>461.2</v>
          </cell>
          <cell r="Q575" t="str">
            <v>INMU9999OFUND   FUNDUSDOVERNIGHT FUNDIN</v>
          </cell>
        </row>
        <row r="576">
          <cell r="P576">
            <v>4058998.23</v>
          </cell>
          <cell r="Q576" t="str">
            <v xml:space="preserve">INMU9999SETTCONTBNOSUSDBOOK NOSTRO     </v>
          </cell>
        </row>
        <row r="577">
          <cell r="P577">
            <v>0.46</v>
          </cell>
          <cell r="Q577" t="str">
            <v xml:space="preserve">INMU9999STLCHUSDFCRPUSDFEES/COMM PAID  </v>
          </cell>
        </row>
        <row r="578">
          <cell r="P578">
            <v>375702.1</v>
          </cell>
          <cell r="Q578" t="str">
            <v>INMU999GUCONUSD GUATUSDMEMO CONT. GUAR.</v>
          </cell>
        </row>
        <row r="579">
          <cell r="P579">
            <v>-681876.39</v>
          </cell>
          <cell r="Q579" t="str">
            <v xml:space="preserve">INMUBARCNYK     NOSTUSDNOSTRO          </v>
          </cell>
        </row>
        <row r="580">
          <cell r="P580">
            <v>70782705.530000001</v>
          </cell>
          <cell r="Q580" t="str">
            <v xml:space="preserve">INMUIF01        PLPOUSDMNT SELL DN     </v>
          </cell>
        </row>
        <row r="581">
          <cell r="P581">
            <v>-56674806.229999997</v>
          </cell>
          <cell r="Q581" t="str">
            <v xml:space="preserve">INMUIF01        PLPOUSDMNT SELL DN     </v>
          </cell>
        </row>
        <row r="582">
          <cell r="P582">
            <v>-2843904.61</v>
          </cell>
          <cell r="Q582" t="str">
            <v xml:space="preserve">INMUIF01        PSOFUSDPROF SELL OFF   </v>
          </cell>
        </row>
        <row r="583">
          <cell r="P583">
            <v>-18494051.039999999</v>
          </cell>
          <cell r="Q583" t="str">
            <v>INMUIF01FONLUSD FONLUSDF&amp;O BOUGHT NOTIO</v>
          </cell>
        </row>
        <row r="584">
          <cell r="P584">
            <v>18494051.039999999</v>
          </cell>
          <cell r="Q584" t="str">
            <v>INMUIF01FONSUSD FONSUSDF&amp;O SOLD NOTIONA</v>
          </cell>
        </row>
        <row r="585">
          <cell r="P585">
            <v>-1154578630.5699999</v>
          </cell>
          <cell r="Q585" t="str">
            <v>INMUIF01FWDPOS  CXFPUSDFX PURCHASED (ME</v>
          </cell>
        </row>
        <row r="586">
          <cell r="P586">
            <v>1024699569.76</v>
          </cell>
          <cell r="Q586" t="str">
            <v xml:space="preserve">INMUIF01FWDPOS  CXFSUSDFX SOLD (METAL) </v>
          </cell>
        </row>
        <row r="587">
          <cell r="P587">
            <v>129879060.81</v>
          </cell>
          <cell r="Q587" t="str">
            <v>INMUIF01FWDPOS  FPOKUSDFORWARD POSITION</v>
          </cell>
        </row>
        <row r="588">
          <cell r="P588">
            <v>-129355328.65000001</v>
          </cell>
          <cell r="Q588" t="str">
            <v>INMUIF01FXNPV   UNFKUSDFX UNREALISED NP</v>
          </cell>
        </row>
        <row r="589">
          <cell r="P589">
            <v>-120985850.28</v>
          </cell>
          <cell r="Q589" t="str">
            <v>INMUIF01FXREALPLFXRKUSDFX REAL RESULTS-</v>
          </cell>
        </row>
        <row r="590">
          <cell r="P590">
            <v>-0.54</v>
          </cell>
          <cell r="Q590" t="str">
            <v>INMUIF01FXRKUSD FXRKUSDFX REAL RESULTS-</v>
          </cell>
        </row>
        <row r="591">
          <cell r="P591">
            <v>-366062.57</v>
          </cell>
          <cell r="Q591" t="str">
            <v>INMUIF01OFUND   FUNDUSDOVERNIGHT FUNDIN</v>
          </cell>
        </row>
        <row r="592">
          <cell r="P592">
            <v>261511</v>
          </cell>
          <cell r="Q592" t="str">
            <v xml:space="preserve">INMUIF01OPTNPRM OPPMUSDOPTION PREMIUM  </v>
          </cell>
        </row>
        <row r="593">
          <cell r="P593">
            <v>115567126.22</v>
          </cell>
          <cell r="Q593" t="str">
            <v xml:space="preserve">INMUIF01SETTCONTBNOSUSDBOOK NOSTRO     </v>
          </cell>
        </row>
        <row r="594">
          <cell r="P594">
            <v>123614610.13</v>
          </cell>
          <cell r="Q594" t="str">
            <v>INMUIF01UNRLPL  FXUKUSDFX U/REAL RESULT</v>
          </cell>
        </row>
        <row r="595">
          <cell r="P595">
            <v>-503208.87</v>
          </cell>
          <cell r="Q595" t="str">
            <v xml:space="preserve">INMUIM01        PLPOUSDMNT SELL DN     </v>
          </cell>
        </row>
        <row r="596">
          <cell r="P596">
            <v>502413.05</v>
          </cell>
          <cell r="Q596" t="str">
            <v xml:space="preserve">INMUIM01        PLPOUSDMNT SELL DN     </v>
          </cell>
        </row>
        <row r="597">
          <cell r="P597">
            <v>-4221.22</v>
          </cell>
          <cell r="Q597" t="str">
            <v xml:space="preserve">INMUIM01        PSOFUSDPROF SELL OFF   </v>
          </cell>
        </row>
        <row r="598">
          <cell r="P598">
            <v>-191.67</v>
          </cell>
          <cell r="Q598" t="str">
            <v>INMUIM01DPMF    AINRUSDACCR INT RECEIVA</v>
          </cell>
        </row>
        <row r="599">
          <cell r="P599">
            <v>-1500000</v>
          </cell>
          <cell r="Q599" t="str">
            <v>INMUIM01DPMF    DPMMUSDMM DEPOSIT PLACE</v>
          </cell>
        </row>
        <row r="600">
          <cell r="P600">
            <v>44356.88</v>
          </cell>
          <cell r="Q600" t="str">
            <v>INMUIM01DPMF    INARUSDACCR INTEREST IN</v>
          </cell>
        </row>
        <row r="601">
          <cell r="P601">
            <v>-48884.36</v>
          </cell>
          <cell r="Q601" t="str">
            <v>INMUIM01DTMF    INAPUSDACCRUED INT EXPE</v>
          </cell>
        </row>
        <row r="602">
          <cell r="P602">
            <v>8767.65</v>
          </cell>
          <cell r="Q602" t="str">
            <v>INMUIM01OFUND   FUNDUSDOVERNIGHT FUNDIN</v>
          </cell>
        </row>
        <row r="603">
          <cell r="P603">
            <v>1500987.49</v>
          </cell>
          <cell r="Q603" t="str">
            <v xml:space="preserve">INMUIM01SETTCONTBNOSUSDBOOK NOSTRO     </v>
          </cell>
        </row>
        <row r="604">
          <cell r="P604">
            <v>-18.95</v>
          </cell>
          <cell r="Q604" t="str">
            <v>INMUIM01SWEEPINTINTZUSDINT MISCELLANEOU</v>
          </cell>
        </row>
        <row r="605">
          <cell r="P605">
            <v>63515.29</v>
          </cell>
          <cell r="Q605" t="str">
            <v xml:space="preserve">INMUIM02        PLPOUSDMNT SELL DN     </v>
          </cell>
        </row>
        <row r="606">
          <cell r="P606">
            <v>-63986.95</v>
          </cell>
          <cell r="Q606" t="str">
            <v xml:space="preserve">INMUIM02        PLPOUSDMNT SELL DN     </v>
          </cell>
        </row>
        <row r="607">
          <cell r="P607">
            <v>3691.94</v>
          </cell>
          <cell r="Q607" t="str">
            <v xml:space="preserve">INMUIM02        PSOFUSDPROF SELL OFF   </v>
          </cell>
        </row>
        <row r="608">
          <cell r="P608">
            <v>35030.86</v>
          </cell>
          <cell r="Q608" t="str">
            <v>INMUIM02DTMF    AINPUSDACCR INT PAYABLE</v>
          </cell>
        </row>
        <row r="609">
          <cell r="P609">
            <v>3285688.95</v>
          </cell>
          <cell r="Q609" t="str">
            <v>INMUIM02DTMF    DTMMUSDDEPOSIT TAKEN MM</v>
          </cell>
        </row>
        <row r="610">
          <cell r="P610">
            <v>-33706.160000000003</v>
          </cell>
          <cell r="Q610" t="str">
            <v>INMUIM02DTMF    INAPUSDACCRUED INT EXPE</v>
          </cell>
        </row>
        <row r="611">
          <cell r="P611">
            <v>30014.22</v>
          </cell>
          <cell r="Q611" t="str">
            <v>INMUIM02OFUND   FUNDUSDOVERNIGHT FUNDIN</v>
          </cell>
        </row>
        <row r="612">
          <cell r="P612">
            <v>-3320248.15</v>
          </cell>
          <cell r="Q612" t="str">
            <v xml:space="preserve">INMUIM02SETTCONTBNOSUSDBOOK NOSTRO     </v>
          </cell>
        </row>
        <row r="613">
          <cell r="P613">
            <v>-3440395.02</v>
          </cell>
          <cell r="Q613" t="str">
            <v>INMUSETTCONT    BNCOUSDBOOK NOSTRO CONT</v>
          </cell>
        </row>
        <row r="614">
          <cell r="P614">
            <v>0.01</v>
          </cell>
          <cell r="Q614" t="str">
            <v xml:space="preserve">INMUSPOTPOS     SPOSUSDSPOT POSITION   </v>
          </cell>
        </row>
        <row r="615">
          <cell r="P615">
            <v>-0.01</v>
          </cell>
          <cell r="Q615" t="str">
            <v xml:space="preserve">INMUSPOTPOS     SPOSUSDSPOT POSITION   </v>
          </cell>
        </row>
        <row r="616">
          <cell r="P616">
            <v>0</v>
          </cell>
          <cell r="Q616" t="str">
            <v/>
          </cell>
        </row>
        <row r="617">
          <cell r="P617">
            <v>0</v>
          </cell>
          <cell r="Q617" t="str">
            <v/>
          </cell>
        </row>
        <row r="618">
          <cell r="P618">
            <v>0</v>
          </cell>
          <cell r="Q618" t="str">
            <v/>
          </cell>
        </row>
        <row r="619">
          <cell r="P619">
            <v>0</v>
          </cell>
          <cell r="Q619" t="str">
            <v/>
          </cell>
        </row>
        <row r="620">
          <cell r="P620">
            <v>0</v>
          </cell>
          <cell r="Q620" t="str">
            <v/>
          </cell>
        </row>
        <row r="621">
          <cell r="P621">
            <v>0</v>
          </cell>
          <cell r="Q621" t="str">
            <v/>
          </cell>
        </row>
        <row r="622">
          <cell r="P622">
            <v>0</v>
          </cell>
          <cell r="Q622" t="str">
            <v/>
          </cell>
        </row>
        <row r="623">
          <cell r="P623">
            <v>0</v>
          </cell>
          <cell r="Q623" t="str">
            <v/>
          </cell>
        </row>
        <row r="624">
          <cell r="P624">
            <v>0</v>
          </cell>
          <cell r="Q624" t="str">
            <v/>
          </cell>
        </row>
        <row r="625">
          <cell r="P625">
            <v>0</v>
          </cell>
          <cell r="Q625" t="str">
            <v/>
          </cell>
        </row>
        <row r="626">
          <cell r="P626">
            <v>0</v>
          </cell>
          <cell r="Q626" t="str">
            <v/>
          </cell>
        </row>
        <row r="627">
          <cell r="P627">
            <v>0</v>
          </cell>
          <cell r="Q627" t="str">
            <v/>
          </cell>
        </row>
        <row r="628">
          <cell r="P628">
            <v>0</v>
          </cell>
          <cell r="Q628" t="str">
            <v/>
          </cell>
        </row>
        <row r="629">
          <cell r="P629">
            <v>0</v>
          </cell>
          <cell r="Q629" t="str">
            <v/>
          </cell>
        </row>
        <row r="630">
          <cell r="P630">
            <v>0</v>
          </cell>
          <cell r="Q630" t="str">
            <v/>
          </cell>
        </row>
        <row r="631">
          <cell r="P631">
            <v>0</v>
          </cell>
          <cell r="Q631" t="str">
            <v/>
          </cell>
        </row>
        <row r="632">
          <cell r="P632">
            <v>0</v>
          </cell>
          <cell r="Q632" t="str">
            <v/>
          </cell>
        </row>
        <row r="633">
          <cell r="P633">
            <v>0</v>
          </cell>
          <cell r="Q633" t="str">
            <v/>
          </cell>
        </row>
        <row r="634">
          <cell r="P634">
            <v>0</v>
          </cell>
          <cell r="Q634" t="str">
            <v/>
          </cell>
        </row>
        <row r="635">
          <cell r="P635">
            <v>0</v>
          </cell>
          <cell r="Q635" t="str">
            <v/>
          </cell>
        </row>
        <row r="636">
          <cell r="P636">
            <v>0</v>
          </cell>
          <cell r="Q636" t="str">
            <v/>
          </cell>
        </row>
        <row r="637">
          <cell r="P637">
            <v>0</v>
          </cell>
          <cell r="Q637" t="str">
            <v/>
          </cell>
        </row>
        <row r="638">
          <cell r="P638">
            <v>0</v>
          </cell>
          <cell r="Q638" t="str">
            <v/>
          </cell>
        </row>
        <row r="639">
          <cell r="P639">
            <v>0</v>
          </cell>
          <cell r="Q639" t="str">
            <v/>
          </cell>
        </row>
        <row r="640">
          <cell r="P640">
            <v>0</v>
          </cell>
          <cell r="Q640" t="str">
            <v/>
          </cell>
        </row>
        <row r="641">
          <cell r="P641">
            <v>0</v>
          </cell>
          <cell r="Q641" t="str">
            <v/>
          </cell>
        </row>
        <row r="642">
          <cell r="P642">
            <v>0</v>
          </cell>
          <cell r="Q642" t="str">
            <v/>
          </cell>
        </row>
        <row r="643">
          <cell r="P643">
            <v>0</v>
          </cell>
          <cell r="Q643" t="str">
            <v/>
          </cell>
        </row>
        <row r="644">
          <cell r="P644">
            <v>0</v>
          </cell>
          <cell r="Q644" t="str">
            <v/>
          </cell>
        </row>
        <row r="645">
          <cell r="P645">
            <v>0</v>
          </cell>
          <cell r="Q645" t="str">
            <v/>
          </cell>
        </row>
        <row r="646">
          <cell r="P646">
            <v>0</v>
          </cell>
          <cell r="Q646" t="str">
            <v/>
          </cell>
        </row>
        <row r="647">
          <cell r="P647">
            <v>0</v>
          </cell>
          <cell r="Q647" t="str">
            <v/>
          </cell>
        </row>
        <row r="648">
          <cell r="P648">
            <v>0</v>
          </cell>
          <cell r="Q648" t="str">
            <v/>
          </cell>
        </row>
        <row r="649">
          <cell r="P649">
            <v>0</v>
          </cell>
          <cell r="Q649" t="str">
            <v/>
          </cell>
        </row>
        <row r="650">
          <cell r="P650">
            <v>0</v>
          </cell>
          <cell r="Q650" t="str">
            <v/>
          </cell>
        </row>
        <row r="651">
          <cell r="P651">
            <v>0</v>
          </cell>
          <cell r="Q651" t="str">
            <v/>
          </cell>
        </row>
        <row r="652">
          <cell r="P652">
            <v>0</v>
          </cell>
          <cell r="Q652" t="str">
            <v/>
          </cell>
        </row>
        <row r="653">
          <cell r="P653">
            <v>0</v>
          </cell>
          <cell r="Q653" t="str">
            <v/>
          </cell>
        </row>
        <row r="654">
          <cell r="P654">
            <v>0</v>
          </cell>
          <cell r="Q654" t="str">
            <v/>
          </cell>
        </row>
        <row r="655">
          <cell r="P655">
            <v>0</v>
          </cell>
          <cell r="Q655" t="str">
            <v/>
          </cell>
        </row>
        <row r="656">
          <cell r="P656">
            <v>0</v>
          </cell>
          <cell r="Q656" t="str">
            <v/>
          </cell>
        </row>
        <row r="657">
          <cell r="P657">
            <v>0</v>
          </cell>
          <cell r="Q657" t="str">
            <v/>
          </cell>
        </row>
        <row r="658">
          <cell r="P658">
            <v>0</v>
          </cell>
          <cell r="Q658" t="str">
            <v/>
          </cell>
        </row>
        <row r="659">
          <cell r="P659">
            <v>0</v>
          </cell>
          <cell r="Q659" t="str">
            <v/>
          </cell>
        </row>
        <row r="660">
          <cell r="P660">
            <v>0</v>
          </cell>
          <cell r="Q660" t="str">
            <v/>
          </cell>
        </row>
        <row r="661">
          <cell r="P661">
            <v>0</v>
          </cell>
          <cell r="Q661" t="str">
            <v/>
          </cell>
        </row>
        <row r="662">
          <cell r="P662">
            <v>0</v>
          </cell>
          <cell r="Q662" t="str">
            <v/>
          </cell>
        </row>
        <row r="663">
          <cell r="P663">
            <v>0</v>
          </cell>
          <cell r="Q663" t="str">
            <v/>
          </cell>
        </row>
        <row r="664">
          <cell r="P664">
            <v>0</v>
          </cell>
          <cell r="Q664" t="str">
            <v/>
          </cell>
        </row>
        <row r="665">
          <cell r="P665">
            <v>0</v>
          </cell>
          <cell r="Q665" t="str">
            <v/>
          </cell>
        </row>
        <row r="666">
          <cell r="P666">
            <v>0</v>
          </cell>
          <cell r="Q666" t="str">
            <v/>
          </cell>
        </row>
        <row r="667">
          <cell r="P667">
            <v>0</v>
          </cell>
          <cell r="Q667" t="str">
            <v/>
          </cell>
        </row>
        <row r="668">
          <cell r="P668">
            <v>0</v>
          </cell>
          <cell r="Q668" t="str">
            <v/>
          </cell>
        </row>
        <row r="669">
          <cell r="P669">
            <v>0</v>
          </cell>
          <cell r="Q669" t="str">
            <v/>
          </cell>
        </row>
        <row r="670">
          <cell r="P670">
            <v>0</v>
          </cell>
          <cell r="Q670" t="str">
            <v/>
          </cell>
        </row>
        <row r="671">
          <cell r="P671">
            <v>0</v>
          </cell>
          <cell r="Q671" t="str">
            <v/>
          </cell>
        </row>
        <row r="672">
          <cell r="P672">
            <v>0</v>
          </cell>
          <cell r="Q672" t="str">
            <v/>
          </cell>
        </row>
        <row r="673">
          <cell r="P673">
            <v>0</v>
          </cell>
          <cell r="Q673" t="str">
            <v/>
          </cell>
        </row>
        <row r="674">
          <cell r="P674">
            <v>0</v>
          </cell>
          <cell r="Q674" t="str">
            <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CAST lightconc-II"/>
      <sheetName val="PRECAST-conc-II"/>
      <sheetName val="Miscellaneous-civil"/>
      <sheetName val="basic"/>
      <sheetName val="GN-ST-10"/>
      <sheetName val="CF-det"/>
      <sheetName val="PRECAST lightconc_II"/>
      <sheetName val="Cleaning &amp; Grubbing"/>
      <sheetName val="GN_ST_10"/>
      <sheetName val="Friends"/>
      <sheetName val="College Details"/>
      <sheetName val="Personal "/>
      <sheetName val="Office"/>
      <sheetName val="IHC"/>
      <sheetName val="bhilai"/>
      <sheetName val="jidal dam"/>
      <sheetName val="delo"/>
      <sheetName val="fran temp"/>
      <sheetName val="gagan"/>
      <sheetName val="hsbc"/>
      <sheetName val="jeedi"/>
      <sheetName val="kona swit"/>
      <sheetName val="template (8)"/>
      <sheetName val="template (9)"/>
      <sheetName val="OVER HEADS"/>
      <sheetName val="Cover Sheet"/>
      <sheetName val="BOQ REV A"/>
      <sheetName val="BOQ"/>
      <sheetName val="PTB (IO)"/>
      <sheetName val="BMS "/>
      <sheetName val="SPT vs PHI"/>
      <sheetName val="TBAL9697 -group wise  sdpl"/>
      <sheetName val="PIPING"/>
      <sheetName val="八幡"/>
      <sheetName val="Sheet1"/>
      <sheetName val="Summary"/>
      <sheetName val="Quantity Schedule"/>
      <sheetName val="Revenue  Schedule "/>
      <sheetName val="Balance works - Direct Cost"/>
      <sheetName val="Balance works - Indirect Cost"/>
      <sheetName val="Cashflows"/>
      <sheetName val="Fund Plan"/>
      <sheetName val="Bill of Resources"/>
      <sheetName val="DC"/>
      <sheetName val="300x500"/>
      <sheetName val="PRECAST_lightconc-II"/>
      <sheetName val="jidal_dam"/>
      <sheetName val="fran_temp"/>
      <sheetName val="kona_swit"/>
      <sheetName val="template_(8)"/>
      <sheetName val="template_(9)"/>
      <sheetName val="PRECAST_lightconc_II"/>
      <sheetName val="College_Details"/>
      <sheetName val="Personal_"/>
      <sheetName val="Cleaning_&amp;_Grubbing"/>
      <sheetName val="SITE OVERHEADS"/>
      <sheetName val="labour coeff"/>
      <sheetName val="Site Dev BOQ"/>
      <sheetName val="Sheet3"/>
      <sheetName val="VCH-SLC"/>
      <sheetName val="Supplier"/>
      <sheetName val="SILICATE"/>
      <sheetName val="Costing Upto Mar'11 (2)"/>
      <sheetName val="Tender Summary"/>
      <sheetName val="#REF!"/>
      <sheetName val="Boq Block A"/>
      <sheetName val="OVER_HEADS"/>
      <sheetName val="Cover_Sheet"/>
      <sheetName val="BOQ_REV_A"/>
      <sheetName val="PTB_(IO)"/>
      <sheetName val="BMS_"/>
      <sheetName val="SPT_vs_PHI"/>
      <sheetName val="TBAL9697_-group_wise__sdpl"/>
      <sheetName val="concrete"/>
      <sheetName val="beam-reinft-IIInd floor"/>
      <sheetName val="p&amp;m"/>
      <sheetName val="Expenditure plan"/>
      <sheetName val="ORDER BOOKING"/>
      <sheetName val="zone-8"/>
      <sheetName val="MHNO_LEV"/>
      <sheetName val="PRECAST_lightconc-II1"/>
      <sheetName val="PRECAST_lightconc_II1"/>
      <sheetName val="College_Details1"/>
      <sheetName val="Personal_1"/>
      <sheetName val="Cleaning_&amp;_Grubbing1"/>
      <sheetName val="jidal_dam1"/>
      <sheetName val="fran_temp1"/>
      <sheetName val="kona_swit1"/>
      <sheetName val="template_(8)1"/>
      <sheetName val="template_(9)1"/>
      <sheetName val="OVER_HEADS1"/>
      <sheetName val="Cover_Sheet1"/>
      <sheetName val="BOQ_REV_A1"/>
      <sheetName val="PTB_(IO)1"/>
      <sheetName val="BMS_1"/>
      <sheetName val="SPT_vs_PHI1"/>
      <sheetName val="TBAL9697_-group_wise__sdpl1"/>
      <sheetName val="Quantity_Schedule"/>
      <sheetName val="Revenue__Schedule_"/>
      <sheetName val="Balance_works_-_Direct_Cost"/>
      <sheetName val="Balance_works_-_Indirect_Cost"/>
      <sheetName val="Fund_Plan"/>
      <sheetName val="Bill_of_Resources"/>
      <sheetName val="TAX BILLS"/>
      <sheetName val="CASH BILLS"/>
      <sheetName val="LABOUR BILLS"/>
      <sheetName val="BQQ"/>
      <sheetName val="july"/>
      <sheetName val="june"/>
      <sheetName val="may"/>
      <sheetName val="april"/>
      <sheetName val="march"/>
      <sheetName val="jan"/>
      <sheetName val="fefb"/>
      <sheetName val="invoice"/>
      <sheetName val="puch order"/>
      <sheetName val="decm"/>
      <sheetName val="Sheet1 (2)"/>
      <sheetName val="A"/>
      <sheetName val="Headings"/>
      <sheetName val="Design"/>
      <sheetName val="M-Book for Conc"/>
      <sheetName val="M-Book for FW"/>
      <sheetName val="scurve calc (2)"/>
      <sheetName val="upa"/>
      <sheetName val=" 24.07.10 RS &amp; SECURITY"/>
      <sheetName val="24.07.10 CIVIL WET"/>
      <sheetName val=" 24.07.10 CIVIL"/>
      <sheetName val=" 24.07.10 MECH-FAB"/>
      <sheetName val=" 24.07.10 MECH-TANK"/>
      <sheetName val=" 23.07.10 N.SHIFT MECH-FAB"/>
      <sheetName val=" 23.07.10 N.SHIFT MECH-TANK"/>
      <sheetName val=" 23.07.10 RS &amp; SECURITY"/>
      <sheetName val="23.07.10 CIVIL WET"/>
      <sheetName val=" 23.07.10 CIVIL"/>
      <sheetName val=" 23.07.10 MECH-FAB"/>
      <sheetName val=" 23.07.10 MECH-TANK"/>
      <sheetName val=" 22.07.10 N.SHIFT MECH-FAB"/>
      <sheetName val=" 22.07.10 N.SHIFT MECH-TANK"/>
      <sheetName val=" 22.07.10 RS &amp; SECURITY"/>
      <sheetName val="22.07.10 CIVIL WET"/>
      <sheetName val=" 22.07.10 CIVIL"/>
      <sheetName val=" 22.07.10 MECH-FAB"/>
      <sheetName val=" 22.07.10 MECH-TANK"/>
      <sheetName val=" 21.07.10 N.SHIFT MECH-FAB"/>
      <sheetName val=" 21.07.10 N.SHIFT MECH-TANK"/>
      <sheetName val=" 21.07.10 RS &amp; SECURITY"/>
      <sheetName val="21.07.10 CIVIL WET"/>
      <sheetName val=" 21.07.10 CIVIL"/>
      <sheetName val=" 21.07.10 MECH-FAB"/>
      <sheetName val=" 21.07.10 MECH-TANK"/>
      <sheetName val=" 20.07.10 N.SHIFT MECH-FAB"/>
      <sheetName val=" 20.07.10 N.SHIFT MECH-TANK"/>
      <sheetName val=" 20.07.10 RS &amp; SECURITY"/>
      <sheetName val="20.07.10 CIVIL WET"/>
      <sheetName val=" 20.07.10 CIVIL"/>
      <sheetName val=" 20.07.10 MECH-FAB"/>
      <sheetName val=" 20.07.10 MECH-TANK"/>
      <sheetName val=" 19.07.10 N.SHIFT MECH-FAB"/>
      <sheetName val=" 19.07.10 N.SHIFT MECH-TANK"/>
      <sheetName val=" 19.07.10 RS &amp; SECURITY"/>
      <sheetName val="19.07.10 CIVIL WET"/>
      <sheetName val=" 19.07.10 CIVIL"/>
      <sheetName val=" 19.07.10 MECH-FAB"/>
      <sheetName val=" 19.07.10 MECH-TANK"/>
      <sheetName val=" 18.07.10 N.SHIFT MECH-FAB"/>
      <sheetName val=" 18.07.10 N.SHIFT MECH-TANK"/>
      <sheetName val=" 18.07.10 RS &amp; SECURITY"/>
      <sheetName val="18.07.10 CIVIL WET"/>
      <sheetName val=" 18.07.10 CIVIL"/>
      <sheetName val=" 18.07.10 MECH-FAB"/>
      <sheetName val=" 18.07.10 MECH-TANK"/>
      <sheetName val=" 17.07.10 N.SHIFT MECH-FAB"/>
      <sheetName val=" 17.07.10 N.SHIFT MECH-TANK"/>
      <sheetName val=" 17.07.10 RS &amp; SECURITY"/>
      <sheetName val="17.07.10 CIVIL WET"/>
      <sheetName val=" 17.07.10 CIVIL"/>
      <sheetName val=" 17.07.10 MECH-FAB"/>
      <sheetName val=" 17.07.10 MECH-TANK"/>
      <sheetName val=" 16.07.10 N.SHIFT MECH-FAB"/>
      <sheetName val=" 16.07.10 N.SHIFT MECH-TANK"/>
      <sheetName val=" 16.07.10 RS &amp; SECURITY"/>
      <sheetName val="16.07.10 CIVIL WET"/>
      <sheetName val=" 16.07.10 CIVIL"/>
      <sheetName val=" 16.07.10 MECH-FAB"/>
      <sheetName val=" 16.07.10 MECH-TANK"/>
      <sheetName val=" 15.07.10 N.SHIFT MECH-FAB"/>
      <sheetName val=" 15.07.10 N.SHIFT MECH-TANK"/>
      <sheetName val=" 15.07.10 RS &amp; SECURITY"/>
      <sheetName val="15.07.10 CIVIL WET"/>
      <sheetName val=" 15.07.10 CIVIL"/>
      <sheetName val=" 15.07.10 MECH-FAB"/>
      <sheetName val=" 15.07.10 MECH-TANK"/>
      <sheetName val=" 14.07.10 N.SHIFT MECH-FAB"/>
      <sheetName val=" 14.07.10 N.SHIFT MECH-TANK"/>
      <sheetName val=" 14.07.10 RS &amp; SECURITY"/>
      <sheetName val="14.07.10 CIVIL WET"/>
      <sheetName val=" 14.07.10 CIVIL"/>
      <sheetName val=" 14.07.10 MECH-FAB"/>
      <sheetName val=" 14.07.10 MECH-TANK"/>
      <sheetName val=" 13.07.10 N.SHIFT MECH-FAB"/>
      <sheetName val=" 13.07.10 N.SHIFT MECH-TANK"/>
      <sheetName val=" 13.07.10 RS &amp; SECURITY"/>
      <sheetName val="13.07.10 CIVIL WET"/>
      <sheetName val=" 13.07.10 CIVIL"/>
      <sheetName val=" 13.07.10 MECH-FAB"/>
      <sheetName val=" 13.07.10 MECH-TANK"/>
      <sheetName val=" 12.07.10 N.SHIFT MECH-FAB"/>
      <sheetName val=" 12.07.10 N.SHIFT MECH-TANK"/>
      <sheetName val=" 12.07.10 RS &amp; SECURITY"/>
      <sheetName val="12.07.10 CIVIL WET"/>
      <sheetName val=" 12.07.10 CIVIL"/>
      <sheetName val=" 12.07.10 MECH-FAB"/>
      <sheetName val=" 12.07.10 MECH-TANK"/>
      <sheetName val=" 11.07.10 N.SHIFT MECH-FAB"/>
      <sheetName val=" 11.07.10 N.SHIFT MECH-TANK"/>
      <sheetName val=" 11.07.10 RS &amp; SECURITY"/>
      <sheetName val="11.07.10 CIVIL WET"/>
      <sheetName val=" 11.07.10 CIVIL"/>
      <sheetName val=" 11.07.10 MECH-FAB"/>
      <sheetName val=" 11.07.10 MECH-TANK"/>
      <sheetName val=" 10.07.10 N.SHIFT MECH-FAB"/>
      <sheetName val=" 10.07.10 N.SHIFT MECH-TANK"/>
      <sheetName val=" 10.07.10 RS &amp; SECURITY"/>
      <sheetName val="10.07.10 CIVIL WET"/>
      <sheetName val=" 10.07.10 CIVIL"/>
      <sheetName val=" 10.07.10 MECH-FAB"/>
      <sheetName val=" 10.07.10 MECH-TANK"/>
      <sheetName val=" 09.07.10 N.SHIFT MECH-FAB"/>
      <sheetName val=" 09.07.10 N.SHIFT MECH-TANK"/>
      <sheetName val=" 09.07.10 RS &amp; SECURITY"/>
      <sheetName val="09.07.10 CIVIL WET"/>
      <sheetName val=" 09.07.10 CIVIL"/>
      <sheetName val=" 09.07.10 MECH-FAB"/>
      <sheetName val=" 09.07.10 MECH-TANK"/>
      <sheetName val=" 08.07.10 N.SHIFT MECH-FAB"/>
      <sheetName val=" 08.07.10 N.SHIFT MECH-TANK"/>
      <sheetName val=" 08.07.10 RS &amp; SECURITY"/>
      <sheetName val="08.07.10 CIVIL WET"/>
      <sheetName val=" 08.07.10 CIVIL"/>
      <sheetName val=" 08.07.10 MECH-FAB"/>
      <sheetName val=" 08.07.10 MECH-TANK"/>
      <sheetName val=" 07.07.10 N.SHIFT MECH-FAB"/>
      <sheetName val=" 07.07.10 N.SHIFT MECH-TANK"/>
      <sheetName val=" 07.07.10 RS &amp; SECURITY"/>
      <sheetName val="07.07.10 CIVIL WET"/>
      <sheetName val=" 07.07.10 CIVIL"/>
      <sheetName val=" 07.07.10 MECH-FAB"/>
      <sheetName val=" 07.07.10 MECH-TANK"/>
      <sheetName val=" 06.07.10 N.SHIFT MECH-FAB"/>
      <sheetName val=" 06.07.10 N.SHIFT MECH-TANK"/>
      <sheetName val=" 06.07.10 RS &amp; SECURITY"/>
      <sheetName val="06.07.10 CIVIL WET"/>
      <sheetName val=" 06.07.10 CIVIL"/>
      <sheetName val=" 06.07.10 MECH-FAB"/>
      <sheetName val=" 06.07.10 MECH-TANK"/>
      <sheetName val=" 05.07.10 N.SHIFT MECH-FAB"/>
      <sheetName val=" 05.07.10 N.SHIFT MECH-TANK"/>
      <sheetName val=" 05.07.10 RS &amp; SECURITY"/>
      <sheetName val="05.07.10 CIVIL WET"/>
      <sheetName val=" 05.07.10 CIVIL"/>
      <sheetName val=" 05.07.10 MECH-FAB"/>
      <sheetName val=" 05.07.10 MECH-TANK"/>
      <sheetName val=" 04.07.10 N.SHIFT MECH-FAB"/>
      <sheetName val=" 04.07.10 N.SHIFT MECH-TANK"/>
      <sheetName val=" 04.07.10 RS &amp; SECURITY"/>
      <sheetName val="04.07.10 CIVIL WET"/>
      <sheetName val=" 04.07.10 CIVIL"/>
      <sheetName val=" 04.07.10 MECH-FAB"/>
      <sheetName val=" 04.07.10 MECH-TANK"/>
      <sheetName val=" 03.07.10 N.SHIFT MECH-FAB"/>
      <sheetName val=" 03.07.10 N.SHIFT MECH-TANK"/>
      <sheetName val=" 03.07.10 RS &amp; SECURITY "/>
      <sheetName val="03.07.10 CIVIL WET "/>
      <sheetName val=" 03.07.10 CIVIL "/>
      <sheetName val=" 03.07.10 MECH-FAB "/>
      <sheetName val=" 03.07.10 MECH-TANK "/>
      <sheetName val=" 02.07.10 N.SHIFT MECH-FAB "/>
      <sheetName val=" 02.07.10 N.SHIFT MECH-TANK "/>
      <sheetName val=" 02.07.10 RS &amp; SECURITY"/>
      <sheetName val="02.07.10 CIVIL WET"/>
      <sheetName val=" 02.07.10 CIVIL"/>
      <sheetName val=" 02.07.10 MECH-FAB"/>
      <sheetName val=" 02.07.10 MECH-TANK"/>
      <sheetName val=" 01.07.10 N.SHIFT MECH-FAB"/>
      <sheetName val=" 01.07.10 N.SHIFT MECH-TANK"/>
      <sheetName val=" 01.07.10 RS &amp; SECURITY"/>
      <sheetName val="01.07.10 CIVIL WET"/>
      <sheetName val=" 01.07.10 CIVIL"/>
      <sheetName val=" 01.07.10 MECH-FAB"/>
      <sheetName val=" 01.07.10 MECH-TANK"/>
      <sheetName val=" 30.06.10 N.SHIFT MECH-FAB"/>
      <sheetName val=" 30.06.10 N.SHIFT MECH-TANK"/>
      <sheetName val="Meas.-Hotel Part"/>
      <sheetName val="List"/>
      <sheetName val="BOQ_Direct_selling cost"/>
      <sheetName val="factors"/>
      <sheetName val="BOQ (2)"/>
      <sheetName val="Data"/>
      <sheetName val="Lead"/>
      <sheetName val="Direct cost shed A-2 "/>
      <sheetName val="dBase"/>
      <sheetName val="Contract Night Staff"/>
      <sheetName val="Contract Day Staff"/>
      <sheetName val="Day Shift"/>
      <sheetName val="Night Shift"/>
      <sheetName val="Civil Boq"/>
      <sheetName val="22.12.2011"/>
      <sheetName val="Build-up"/>
      <sheetName val="2gii"/>
      <sheetName val="final abstract"/>
      <sheetName val="Sheet2"/>
      <sheetName val="Fee Rate Summary"/>
      <sheetName val="beam-reinft"/>
      <sheetName val="Detail"/>
      <sheetName val="Meas__Hotel Part"/>
      <sheetName val="INPUT SHEET"/>
      <sheetName val="BS8007"/>
      <sheetName val="Ave.wtd.rates"/>
      <sheetName val="Material "/>
      <sheetName val="Labour &amp; Plant"/>
      <sheetName val="St.co.91.5lvl"/>
      <sheetName val=" 09.07.10 M顅ᎆ뤀ᨇ԰_x0000_缀_x0000_"/>
      <sheetName val="Cashflow projection"/>
      <sheetName val="Item- Compact"/>
      <sheetName val="PA- Consutant "/>
      <sheetName val="master"/>
      <sheetName val="Civil Works"/>
      <sheetName val="inWords"/>
      <sheetName val="IO List"/>
      <sheetName val="DataInput"/>
      <sheetName val="DataInput-1"/>
      <sheetName val="DI Rate Analysis"/>
      <sheetName val="Economic RisingMain  Ph-I"/>
      <sheetName val="Fill this out first..."/>
      <sheetName val="TBAL9697 _group wise  sdpl"/>
      <sheetName val="Intake"/>
      <sheetName val="SP Break Up"/>
      <sheetName val="Sales &amp; Prod"/>
      <sheetName val="temp"/>
      <sheetName val="GBW"/>
      <sheetName val="HEAD"/>
      <sheetName val="Labour productivity"/>
      <sheetName val="HVAC"/>
      <sheetName val=" 09.07.10 M顅ᎆ뤀ᨇ԰?缀?"/>
      <sheetName val=" 09.07.10 M顅ᎆ뤀ᨇ԰"/>
      <sheetName val=" 09.07.10 M顅ᎆ뤀ᨇ԰_缀_"/>
      <sheetName val="공장별판관비배부"/>
      <sheetName val="cash in flow Summary JV "/>
      <sheetName val="water prop."/>
      <sheetName val="GR.slab-reinft"/>
      <sheetName val="Cost Index"/>
      <sheetName val="MN T.B."/>
      <sheetName val="Assumptions"/>
      <sheetName val="Staff Acco."/>
      <sheetName val="08.07.10헾】_x0005__x0000__x0000__x0000__x0000_ꎋ"/>
      <sheetName val="3cd Annexure"/>
      <sheetName val="section"/>
      <sheetName val="Labour"/>
      <sheetName val="Prelims Breakup"/>
      <sheetName val="B3-B4-B5-B6"/>
      <sheetName val="Costing"/>
      <sheetName val="Fin. Assumpt. - Sensitivities"/>
      <sheetName val="Bill 1"/>
      <sheetName val="Bill 2"/>
      <sheetName val="Bill 3"/>
      <sheetName val="Bill 4"/>
      <sheetName val="Bill 5"/>
      <sheetName val="Bill 6"/>
      <sheetName val="Bill 7"/>
      <sheetName val="1.Civil-RA"/>
      <sheetName val="F20 Risk Analysis"/>
      <sheetName val="Change Order Log"/>
      <sheetName val="lookups"/>
      <sheetName val="ref"/>
      <sheetName val="Bin"/>
      <sheetName val="2000 MOR"/>
      <sheetName val="col-reinft1"/>
      <sheetName val="PRELIM5"/>
      <sheetName val="Structure Bills Qty"/>
      <sheetName val="dlvoid"/>
      <sheetName val="estm_mech"/>
      <sheetName val="gen"/>
      <sheetName val="box-12"/>
      <sheetName val="Rate analysis- BOQ 1 "/>
      <sheetName val="08.07.10헾】_x0005_????ꎋ"/>
      <sheetName val="Voucher"/>
      <sheetName val="Project Details.."/>
      <sheetName val="PRECAST_lightconc-II2"/>
      <sheetName val="PRECAST_lightconc_II2"/>
      <sheetName val="Cleaning_&amp;_Grubbing2"/>
      <sheetName val="College_Details2"/>
      <sheetName val="Personal_2"/>
      <sheetName val="jidal_dam2"/>
      <sheetName val="fran_temp2"/>
      <sheetName val="kona_swit2"/>
      <sheetName val="template_(8)2"/>
      <sheetName val="template_(9)2"/>
      <sheetName val="OVER_HEADS2"/>
      <sheetName val="Cover_Sheet2"/>
      <sheetName val="BOQ_REV_A2"/>
      <sheetName val="PTB_(IO)2"/>
      <sheetName val="BMS_2"/>
      <sheetName val="SPT_vs_PHI2"/>
      <sheetName val="TBAL9697_-group_wise__sdpl2"/>
      <sheetName val="TAX_BILLS"/>
      <sheetName val="CASH_BILLS"/>
      <sheetName val="LABOUR_BILLS"/>
      <sheetName val="puch_order"/>
      <sheetName val="Sheet1_(2)"/>
      <sheetName val="Quantity_Schedule1"/>
      <sheetName val="Revenue__Schedule_1"/>
      <sheetName val="Balance_works_-_Direct_Cost1"/>
      <sheetName val="Balance_works_-_Indirect_Cost1"/>
      <sheetName val="Fund_Plan1"/>
      <sheetName val="Bill_of_Resources1"/>
      <sheetName val="SITE_OVERHEADS"/>
      <sheetName val="labour_coeff"/>
      <sheetName val="Site_Dev_BOQ"/>
      <sheetName val="Expenditure_plan"/>
      <sheetName val="ORDER_BOOKING"/>
      <sheetName val="Costing_Upto_Mar'11_(2)"/>
      <sheetName val="Tender_Summary"/>
      <sheetName val="beam-reinft-IIInd_floor"/>
      <sheetName val="Prelims_Breakup"/>
      <sheetName val="Boq_Block_A"/>
      <sheetName val="M-Book_for_Conc"/>
      <sheetName val="M-Book_for_FW"/>
      <sheetName val=" _x000a_¢_x0002_&amp;_x0000__x0000__x0000_ú5#_x0000__x0000__x0000__x0000__x0000__x0000__x0000_"/>
      <sheetName val=""/>
      <sheetName val="AOR"/>
      <sheetName val=" _x000a_¢_x0002_&amp;???ú5#???????"/>
      <sheetName val="INDIGINEOUS ITEMS "/>
      <sheetName val="Meas_-Hotel_Part"/>
      <sheetName val="22_12_2011"/>
      <sheetName val="BOQ_(2)"/>
      <sheetName val="_24_07_10_RS_&amp;_SECURITY"/>
      <sheetName val="24_07_10_CIVIL_WET"/>
      <sheetName val="_24_07_10_CIVIL"/>
      <sheetName val="_24_07_10_MECH-FAB"/>
      <sheetName val="T-P1, FINISHES WORKING "/>
      <sheetName val="Assumption &amp; Exclusion"/>
      <sheetName val="querries"/>
      <sheetName val="SUMMARY(E)"/>
      <sheetName val="Rate Analysis"/>
      <sheetName val="Cover"/>
      <sheetName val="Data Sheet"/>
      <sheetName val="BOQ_Direct_selling_cost"/>
      <sheetName val="_24_07_10_MECH-TANK"/>
      <sheetName val="_23_07_10_N_SHIFT_MECH-FAB"/>
      <sheetName val="_23_07_10_N_SHIFT_MECH-TANK"/>
      <sheetName val="_23_07_10_RS_&amp;_SECURITY"/>
      <sheetName val="23_07_10_CIVIL_WET"/>
      <sheetName val="_23_07_10_CIVIL"/>
      <sheetName val="_23_07_10_MECH-FAB"/>
      <sheetName val="_23_07_10_MECH-TANK"/>
      <sheetName val="Driveway Beams"/>
      <sheetName val="Analy_7-10"/>
      <sheetName val="COLUMN"/>
      <sheetName val="COST"/>
      <sheetName val="sheeet7"/>
      <sheetName val="DEINKING(ANNEX 1)"/>
      <sheetName val="_22_07_10_N_SHIFT_MECH-FAB"/>
      <sheetName val="_22_07_10_N_SHIFT_MECH-TANK"/>
      <sheetName val="_22_07_10_RS_&amp;_SECURITY"/>
      <sheetName val="22_07_10_CIVIL_WET"/>
      <sheetName val="_22_07_10_CIVIL"/>
      <sheetName val="_22_07_10_MECH-FAB"/>
      <sheetName val="_22_07_10_MECH-TANK"/>
      <sheetName val="_21_07_10_N_SHIFT_MECH-FAB"/>
      <sheetName val="_21_07_10_N_SHIFT_MECH-TANK"/>
      <sheetName val="_21_07_10_RS_&amp;_SECURITY"/>
      <sheetName val="21_07_10_CIVIL_WET"/>
      <sheetName val="_21_07_10_CIVIL"/>
      <sheetName val="_21_07_10_MECH-FAB"/>
      <sheetName val="_21_07_10_MECH-TANK"/>
      <sheetName val="_20_07_10_N_SHIFT_MECH-FAB"/>
      <sheetName val="_20_07_10_N_SHIFT_MECH-TANK"/>
      <sheetName val="_20_07_10_RS_&amp;_SECURITY"/>
      <sheetName val="20_07_10_CIVIL_WET"/>
      <sheetName val="_20_07_10_CIVIL"/>
      <sheetName val="_20_07_10_MECH-FAB"/>
      <sheetName val="_20_07_10_MECH-TANK"/>
      <sheetName val="_19_07_10_N_SHIFT_MECH-FAB"/>
      <sheetName val="_19_07_10_N_SHIFT_MECH-TANK"/>
      <sheetName val="_19_07_10_RS_&amp;_SECURITY"/>
      <sheetName val="19_07_10_CIVIL_WET"/>
      <sheetName val="_19_07_10_CIVIL"/>
      <sheetName val="_19_07_10_MECH-FAB"/>
      <sheetName val="_19_07_10_MECH-TANK"/>
      <sheetName val="RA-markate"/>
      <sheetName val="Admin"/>
      <sheetName val="_18_07_10_N_SHIFT_MECH-FAB"/>
      <sheetName val="_18_07_10_N_SHIFT_MECH-TANK"/>
      <sheetName val="_18_07_10_RS_&amp;_SECURITY"/>
      <sheetName val="18_07_10_CIVIL_WET"/>
      <sheetName val="_18_07_10_CIVIL"/>
      <sheetName val="_18_07_10_MECH-FAB"/>
      <sheetName val="_18_07_10_MECH-TANK"/>
      <sheetName val="_17_07_10_N_SHIFT_MECH-FAB"/>
      <sheetName val="External Doors"/>
      <sheetName val="T&amp;M"/>
      <sheetName val="Assumption Inputs"/>
      <sheetName val="Factor Sheet"/>
      <sheetName val="Phase 1"/>
      <sheetName val="Pacakges split"/>
      <sheetName val="L+M"/>
      <sheetName val="Background"/>
      <sheetName val="Code"/>
      <sheetName val="run"/>
      <sheetName val="Wire"/>
      <sheetName val="_17_07_10_N_SHIFT_MECH-TANK"/>
      <sheetName val="_17_07_10_RS_&amp;_SECURITY"/>
      <sheetName val="17_07_10_CIVIL_WET"/>
      <sheetName val="_17_07_10_CIVIL"/>
      <sheetName val="_17_07_10_MECH-FAB"/>
      <sheetName val="_17_07_10_MECH-TANK"/>
      <sheetName val="Makro1"/>
      <sheetName val="Eqpmnt Plng"/>
      <sheetName val="LABOUR RATE"/>
      <sheetName val="Material Rate"/>
      <sheetName val="ACS(1)"/>
      <sheetName val="FAS-C(4)"/>
      <sheetName val="CCTV(old)"/>
      <sheetName val="wordsdata"/>
      <sheetName val="Final"/>
      <sheetName val="Summary-Price_New"/>
      <sheetName val="AN-2K"/>
      <sheetName val="Switch V16"/>
      <sheetName val="AutoOpen Stub Data"/>
      <sheetName val="Summary WG"/>
      <sheetName val="Cat A Change Control"/>
      <sheetName val="14.07.10@_x0000__x0003_&amp;_x0000__x0000__x0000_Ò:"/>
      <sheetName val="_x0000__x0000__x0000__x0000__x0000__x0000__x0000_8!_x0000_;bÂ/Ò:!_x0000_Ò8!_x0000_&amp;_x0000__x0000__x0000_&amp;_x0000__x0000__x0000_"/>
      <sheetName val="14.07.10Á_x000c__x0003_&amp;_x0000__x0000__x0000_î&lt;"/>
      <sheetName val="_x0000__x0000__x0000__x0000__x0000__x0000__x0000_¸:_x001f__x0000_;b+/î&lt;_x001f__x0000_î:_x001f__x0000_&amp;_x0000__x0000__x0000_&amp;_x0000__x0000__x0000_"/>
      <sheetName val="_x0000_"/>
      <sheetName val="DI_Rate_Analysis"/>
      <sheetName val="Economic_RisingMain__Ph-I"/>
      <sheetName val="AFAS "/>
      <sheetName val="RDS &amp; WLD"/>
      <sheetName val="PA System"/>
      <sheetName val="ACC"/>
      <sheetName val="CCTV"/>
      <sheetName val="Server &amp; PAC Room"/>
      <sheetName val="BMS"/>
      <sheetName val="HVAC BOQ"/>
      <sheetName val="Debits as on 12.04.08"/>
      <sheetName val="analysis"/>
      <sheetName val="pol-60"/>
      <sheetName val="Variables"/>
      <sheetName val="Grade Slab -1"/>
      <sheetName val="Grade Slab -2"/>
      <sheetName val="Grade slab-3"/>
      <sheetName val="Grade slab -4"/>
      <sheetName val="Grade slab -5"/>
      <sheetName val="Grade slab -6"/>
      <sheetName val="Theo Cons-June'10"/>
      <sheetName val="InputPO_Del"/>
      <sheetName val="detail'02"/>
      <sheetName val="Cal"/>
      <sheetName val="환율"/>
      <sheetName val="  ¢_x0002_&amp;_x0000__x0000__x0000_ú5#_x0000__x0000__x0000__x0000__x0000__x0000__x0000_"/>
      <sheetName val="  ¢_x0002_&amp;???ú5#???????"/>
      <sheetName val="x-items"/>
      <sheetName val="_16_07_10_N_SHIFT_MECH-FAB"/>
      <sheetName val="_16_07_10_N_SHIFT_MECH-TANK"/>
      <sheetName val="_16_07_10_RS_&amp;_SECURITY"/>
      <sheetName val="16_07_10_CIVIL_WET"/>
      <sheetName val="_16_07_10_CIVIL"/>
      <sheetName val="_16_07_10_MECH-FAB"/>
      <sheetName val="_16_07_10_MECH-TANK"/>
      <sheetName val="_15_07_10_N_SHIFT_MECH-FAB"/>
      <sheetName val="_15_07_10_N_SHIFT_MECH-TANK"/>
      <sheetName val="CABLERET"/>
      <sheetName val="STAFFSCHED "/>
      <sheetName val="India F&amp;S Template"/>
      <sheetName val="FitOutConfCentre"/>
      <sheetName val=" bus bay"/>
      <sheetName val="doq-10"/>
      <sheetName val="doq-I"/>
      <sheetName val="doq 4"/>
      <sheetName val="doq 2"/>
      <sheetName val="PRECAST_lightconc-II3"/>
      <sheetName val="PRECAST_lightconc_II3"/>
      <sheetName val="College_Details3"/>
      <sheetName val="Personal_3"/>
      <sheetName val="Cleaning_&amp;_Grubbing3"/>
      <sheetName val="jidal_dam3"/>
      <sheetName val="fran_temp3"/>
      <sheetName val="kona_swit3"/>
      <sheetName val="template_(8)3"/>
      <sheetName val="template_(9)3"/>
      <sheetName val="OVER_HEADS3"/>
      <sheetName val="Cover_Sheet3"/>
      <sheetName val="BOQ_REV_A3"/>
      <sheetName val="PTB_(IO)3"/>
      <sheetName val="BMS_3"/>
      <sheetName val="SPT_vs_PHI3"/>
      <sheetName val="TBAL9697_-group_wise__sdpl3"/>
      <sheetName val="Quantity_Schedule2"/>
      <sheetName val="Revenue__Schedule_2"/>
      <sheetName val="Balance_works_-_Direct_Cost2"/>
      <sheetName val="Balance_works_-_Indirect_Cost2"/>
      <sheetName val="Fund_Plan2"/>
      <sheetName val="Bill_of_Resources2"/>
      <sheetName val="beam-reinft-IIInd_floor1"/>
      <sheetName val="Boq_Block_A1"/>
      <sheetName val="Expenditure_plan1"/>
      <sheetName val="ORDER_BOOKING1"/>
      <sheetName val="_24_07_10_RS_&amp;_SECURITY1"/>
      <sheetName val="24_07_10_CIVIL_WET1"/>
      <sheetName val="_24_07_10_CIVIL1"/>
      <sheetName val="_24_07_10_MECH-FAB1"/>
      <sheetName val="_24_07_10_MECH-TANK1"/>
      <sheetName val="_23_07_10_N_SHIFT_MECH-FAB1"/>
      <sheetName val="_23_07_10_N_SHIFT_MECH-TANK1"/>
      <sheetName val="_23_07_10_RS_&amp;_SECURITY1"/>
      <sheetName val="23_07_10_CIVIL_WET1"/>
      <sheetName val="_23_07_10_CIVIL1"/>
      <sheetName val="_23_07_10_MECH-FAB1"/>
      <sheetName val="_23_07_10_MECH-TANK1"/>
      <sheetName val="_22_07_10_N_SHIFT_MECH-FAB1"/>
      <sheetName val="_22_07_10_N_SHIFT_MECH-TANK1"/>
      <sheetName val="_22_07_10_RS_&amp;_SECURITY1"/>
      <sheetName val="22_07_10_CIVIL_WET1"/>
      <sheetName val="_22_07_10_CIVIL1"/>
      <sheetName val="_22_07_10_MECH-FAB1"/>
      <sheetName val="_22_07_10_MECH-TANK1"/>
      <sheetName val="_21_07_10_N_SHIFT_MECH-FAB1"/>
      <sheetName val="_21_07_10_N_SHIFT_MECH-TANK1"/>
      <sheetName val="_21_07_10_RS_&amp;_SECURITY1"/>
      <sheetName val="21_07_10_CIVIL_WET1"/>
      <sheetName val="_21_07_10_CIVIL1"/>
      <sheetName val="_21_07_10_MECH-FAB1"/>
      <sheetName val="_21_07_10_MECH-TANK1"/>
      <sheetName val="_20_07_10_N_SHIFT_MECH-FAB1"/>
      <sheetName val="_20_07_10_N_SHIFT_MECH-TANK1"/>
      <sheetName val="_20_07_10_RS_&amp;_SECURITY1"/>
      <sheetName val="20_07_10_CIVIL_WET1"/>
      <sheetName val="_20_07_10_CIVIL1"/>
      <sheetName val="_20_07_10_MECH-FAB1"/>
      <sheetName val="_20_07_10_MECH-TANK1"/>
      <sheetName val="_19_07_10_N_SHIFT_MECH-FAB1"/>
      <sheetName val="_19_07_10_N_SHIFT_MECH-TANK1"/>
      <sheetName val="_19_07_10_RS_&amp;_SECURITY1"/>
      <sheetName val="19_07_10_CIVIL_WET1"/>
      <sheetName val="_19_07_10_CIVIL1"/>
      <sheetName val="_19_07_10_MECH-FAB1"/>
      <sheetName val="_19_07_10_MECH-TANK1"/>
      <sheetName val="_18_07_10_N_SHIFT_MECH-FAB1"/>
      <sheetName val="_18_07_10_N_SHIFT_MECH-TANK1"/>
      <sheetName val="_18_07_10_RS_&amp;_SECURITY1"/>
      <sheetName val="18_07_10_CIVIL_WET1"/>
      <sheetName val="_18_07_10_CIVIL1"/>
      <sheetName val="_18_07_10_MECH-FAB1"/>
      <sheetName val="_18_07_10_MECH-TANK1"/>
      <sheetName val="_17_07_10_N_SHIFT_MECH-FAB1"/>
      <sheetName val="_17_07_10_N_SHIFT_MECH-TANK1"/>
      <sheetName val="_17_07_10_RS_&amp;_SECURITY1"/>
      <sheetName val="17_07_10_CIVIL_WET1"/>
      <sheetName val="_17_07_10_CIVIL1"/>
      <sheetName val="_17_07_10_MECH-FAB1"/>
      <sheetName val="_17_07_10_MECH-TANK1"/>
      <sheetName val="_15_07_10_RS_&amp;_SECURITY"/>
      <sheetName val="15_07_10_CIVIL_WET"/>
      <sheetName val="_15_07_10_CIVIL"/>
      <sheetName val="_15_07_10_MECH-FAB"/>
      <sheetName val="_15_07_10_MECH-TANK"/>
      <sheetName val="_14_07_10_N_SHIFT_MECH-FAB"/>
      <sheetName val="_14_07_10_N_SHIFT_MECH-TANK"/>
      <sheetName val="_14_07_10_RS_&amp;_SECURITY"/>
      <sheetName val="14_07_10_CIVIL_WET"/>
      <sheetName val="_14_07_10_CIVIL"/>
      <sheetName val="_14_07_10_MECH-FAB"/>
      <sheetName val="_14_07_10_MECH-TANK"/>
      <sheetName val="_13_07_10_N_SHIFT_MECH-FAB"/>
      <sheetName val="_13_07_10_N_SHIFT_MECH-TANK"/>
      <sheetName val="_13_07_10_RS_&amp;_SECURITY"/>
      <sheetName val="13_07_10_CIVIL_WET"/>
      <sheetName val="_13_07_10_CIVIL"/>
      <sheetName val="_13_07_10_MECH-FAB"/>
      <sheetName val="_13_07_10_MECH-TANK"/>
      <sheetName val="_12_07_10_N_SHIFT_MECH-FAB"/>
      <sheetName val="_12_07_10_N_SHIFT_MECH-TANK"/>
      <sheetName val="_12_07_10_RS_&amp;_SECURITY"/>
      <sheetName val="12_07_10_CIVIL_WET"/>
      <sheetName val="_12_07_10_CIVIL"/>
      <sheetName val="_12_07_10_MECH-FAB"/>
      <sheetName val="_12_07_10_MECH-TANK"/>
      <sheetName val="_11_07_10_N_SHIFT_MECH-FAB"/>
      <sheetName val="_11_07_10_N_SHIFT_MECH-TANK"/>
      <sheetName val="_11_07_10_RS_&amp;_SECURITY"/>
      <sheetName val="11_07_10_CIVIL_WET"/>
      <sheetName val="_11_07_10_CIVIL"/>
      <sheetName val="_11_07_10_MECH-FAB"/>
      <sheetName val="_11_07_10_MECH-TANK"/>
      <sheetName val="_10_07_10_N_SHIFT_MECH-FAB"/>
      <sheetName val="_10_07_10_N_SHIFT_MECH-TANK"/>
      <sheetName val="_10_07_10_RS_&amp;_SECURITY"/>
      <sheetName val="10_07_10_CIVIL_WET"/>
      <sheetName val="_10_07_10_CIVIL"/>
      <sheetName val="_10_07_10_MECH-FAB"/>
      <sheetName val="_10_07_10_MECH-TANK"/>
      <sheetName val="_09_07_10_N_SHIFT_MECH-FAB"/>
      <sheetName val="_09_07_10_N_SHIFT_MECH-TANK"/>
      <sheetName val="_09_07_10_RS_&amp;_SECURITY"/>
      <sheetName val="09_07_10_CIVIL_WET"/>
      <sheetName val="_09_07_10_CIVIL"/>
      <sheetName val="_09_07_10_MECH-FAB"/>
      <sheetName val="_09_07_10_MECH-TANK"/>
      <sheetName val="_08_07_10_N_SHIFT_MECH-FAB"/>
      <sheetName val="_08_07_10_N_SHIFT_MECH-TANK"/>
      <sheetName val="_08_07_10_RS_&amp;_SECURITY"/>
      <sheetName val="08_07_10_CIVIL_WET"/>
      <sheetName val="_08_07_10_CIVIL"/>
      <sheetName val="_08_07_10_MECH-FAB"/>
      <sheetName val="_08_07_10_MECH-TANK"/>
      <sheetName val="_07_07_10_N_SHIFT_MECH-FAB"/>
      <sheetName val="_07_07_10_N_SHIFT_MECH-TANK"/>
      <sheetName val="_07_07_10_RS_&amp;_SECURITY"/>
      <sheetName val="07_07_10_CIVIL_WET"/>
      <sheetName val="_07_07_10_CIVIL"/>
      <sheetName val="_07_07_10_MECH-FAB"/>
      <sheetName val="_07_07_10_MECH-TANK"/>
      <sheetName val="_06_07_10_N_SHIFT_MECH-FAB"/>
      <sheetName val="_06_07_10_N_SHIFT_MECH-TANK"/>
      <sheetName val="_06_07_10_RS_&amp;_SECURITY"/>
      <sheetName val="06_07_10_CIVIL_WET"/>
      <sheetName val="_06_07_10_CIVIL"/>
      <sheetName val="_06_07_10_MECH-FAB"/>
      <sheetName val="_06_07_10_MECH-TANK"/>
      <sheetName val="_05_07_10_N_SHIFT_MECH-FAB"/>
      <sheetName val="_05_07_10_N_SHIFT_MECH-TANK"/>
      <sheetName val="_05_07_10_RS_&amp;_SECURITY"/>
      <sheetName val="05_07_10_CIVIL_WET"/>
      <sheetName val="_05_07_10_CIVIL"/>
      <sheetName val="_05_07_10_MECH-FAB"/>
      <sheetName val="_05_07_10_MECH-TANK"/>
      <sheetName val="_04_07_10_N_SHIFT_MECH-FAB"/>
      <sheetName val="_04_07_10_N_SHIFT_MECH-TANK"/>
      <sheetName val="_04_07_10_RS_&amp;_SECURITY"/>
      <sheetName val="04_07_10_CIVIL_WET"/>
      <sheetName val="_04_07_10_CIVIL"/>
      <sheetName val="_04_07_10_MECH-FAB"/>
      <sheetName val="_04_07_10_MECH-TANK"/>
      <sheetName val="_03_07_10_N_SHIFT_MECH-FAB"/>
      <sheetName val="_03_07_10_N_SHIFT_MECH-TANK"/>
      <sheetName val="_03_07_10_RS_&amp;_SECURITY_"/>
      <sheetName val="03_07_10_CIVIL_WET_"/>
      <sheetName val="_03_07_10_CIVIL_"/>
      <sheetName val="_03_07_10_MECH-FAB_"/>
      <sheetName val="_03_07_10_MECH-TANK_"/>
      <sheetName val="_02_07_10_N_SHIFT_MECH-FAB_"/>
      <sheetName val="_02_07_10_N_SHIFT_MECH-TANK_"/>
      <sheetName val="_02_07_10_RS_&amp;_SECURITY"/>
      <sheetName val="02_07_10_CIVIL_WET"/>
      <sheetName val="_02_07_10_CIVIL"/>
      <sheetName val="_02_07_10_MECH-FAB"/>
      <sheetName val="_02_07_10_MECH-TANK"/>
      <sheetName val="_01_07_10_N_SHIFT_MECH-FAB"/>
      <sheetName val="_01_07_10_N_SHIFT_MECH-TANK"/>
      <sheetName val="_01_07_10_RS_&amp;_SECURITY"/>
      <sheetName val="01_07_10_CIVIL_WET"/>
      <sheetName val="_01_07_10_CIVIL"/>
      <sheetName val="_01_07_10_MECH-FAB"/>
      <sheetName val="_01_07_10_MECH-TANK"/>
      <sheetName val="_30_06_10_N_SHIFT_MECH-FAB"/>
      <sheetName val="_30_06_10_N_SHIFT_MECH-TANK"/>
      <sheetName val="SITE_OVERHEADS1"/>
      <sheetName val="labour_coeff1"/>
      <sheetName val="Site_Dev_BOQ1"/>
      <sheetName val="Costing_Upto_Mar'11_(2)1"/>
      <sheetName val="Tender_Summary1"/>
      <sheetName val="M-Book_for_Conc1"/>
      <sheetName val="M-Book_for_FW1"/>
      <sheetName val="TAX_BILLS1"/>
      <sheetName val="CASH_BILLS1"/>
      <sheetName val="LABOUR_BILLS1"/>
      <sheetName val="puch_order1"/>
      <sheetName val="Sheet1_(2)1"/>
      <sheetName val="Meas_-Hotel_Part1"/>
      <sheetName val="scurve_calc_(2)"/>
      <sheetName val="Contract_Night_Staff"/>
      <sheetName val="Contract_Day_Staff"/>
      <sheetName val="Day_Shift"/>
      <sheetName val="Night_Shift"/>
      <sheetName val="Direct_cost_shed_A-2_"/>
      <sheetName val="Fee_Rate_Summary"/>
      <sheetName val="Civil_Boq"/>
      <sheetName val="22_12_20111"/>
      <sheetName val="BOQ_(2)1"/>
      <sheetName val="INPUT_SHEET"/>
      <sheetName val="final_abstract"/>
      <sheetName val="Meas__Hotel_Part"/>
      <sheetName val="Ave_wtd_rates"/>
      <sheetName val="Material_"/>
      <sheetName val="Labour_&amp;_Plant"/>
      <sheetName val="Cashflow_projection"/>
      <sheetName val="_09_07_10_M顅ᎆ뤀ᨇ԰缀"/>
      <sheetName val="Item-_Compact"/>
      <sheetName val="St_co_91_5lvl"/>
      <sheetName val="Fill_this_out_first___"/>
      <sheetName val="cash_in_flow_Summary_JV_"/>
      <sheetName val="water_prop_"/>
      <sheetName val="GR_slab-reinft"/>
      <sheetName val="Cost_Index"/>
      <sheetName val="Sales_&amp;_Prod"/>
      <sheetName val="IO_List"/>
      <sheetName val="Staff_Acco_"/>
      <sheetName val="08_07_10헾】ꎋ"/>
      <sheetName val="PA-_Consutant_"/>
      <sheetName val="3cd_Annexure"/>
      <sheetName val="DI_Rate_Analysis1"/>
      <sheetName val="Economic_RisingMain__Ph-I1"/>
      <sheetName val="Civil_Works"/>
      <sheetName val="TBAL9697__group_wise__sdpl"/>
      <sheetName val="MN_T_B_"/>
      <sheetName val="SP_Break_Up"/>
      <sheetName val="Labour_productivity"/>
      <sheetName val="_09_07_10_M顅ᎆ뤀ᨇ԰?缀?"/>
      <sheetName val="Fin__Assumpt__-_Sensitivities"/>
      <sheetName val="Bill_1"/>
      <sheetName val="Bill_2"/>
      <sheetName val="Bill_3"/>
      <sheetName val="Bill_4"/>
      <sheetName val="Bill_5"/>
      <sheetName val="Bill_6"/>
      <sheetName val="Bill_7"/>
      <sheetName val="1_Civil-RA"/>
      <sheetName val="F20_Risk_Analysis"/>
      <sheetName val="Change_Order_Log"/>
      <sheetName val="2000_MOR"/>
      <sheetName val="08_07_10헾】????ꎋ"/>
      <sheetName val="_09_07_10_M顅ᎆ뤀ᨇ԰"/>
      <sheetName val="_09_07_10_M顅ᎆ뤀ᨇ԰_缀_"/>
      <sheetName val="Structure_Bills_Qty"/>
      <sheetName val="INDIGINEOUS_ITEMS_"/>
      <sheetName val="Project_Details__"/>
      <sheetName val="Rate_analysis-_BOQ_1_"/>
      <sheetName val="Prelims_Breakup1"/>
      <sheetName val="__x000a_¢&amp;ú5#"/>
      <sheetName val="Driveway_Beams"/>
      <sheetName val="Rate_Analysis"/>
      <sheetName val="T-P1,_FINISHES_WORKING_"/>
      <sheetName val="Assumption_&amp;_Exclusion"/>
      <sheetName val="__x000a_¢&amp;???ú5#???????"/>
      <sheetName val="Phase_1"/>
      <sheetName val="Pacakges_split"/>
      <sheetName val="Assumption_Inputs"/>
      <sheetName val="DEINKING(ANNEX_1)"/>
      <sheetName val="Eqpmnt_Plng"/>
      <sheetName val="LABOUR_RATE"/>
      <sheetName val="Material_Rate"/>
      <sheetName val="Switch_V16"/>
      <sheetName val="External_Doors"/>
      <sheetName val="Grade_Slab_-1"/>
      <sheetName val="Grade_Slab_-2"/>
      <sheetName val="Grade_slab-3"/>
      <sheetName val="Grade_slab_-4"/>
      <sheetName val="Grade_slab_-5"/>
      <sheetName val="Grade_slab_-6"/>
      <sheetName val="Factor_Sheet"/>
      <sheetName val="AutoOpen_Stub_Data"/>
      <sheetName val="Cat_A_Change_Control"/>
      <sheetName val="Main-Material"/>
      <sheetName val="Form-B"/>
      <sheetName val="10"/>
      <sheetName val="Control"/>
      <sheetName val="11A"/>
      <sheetName val="11B "/>
      <sheetName val="12A"/>
      <sheetName val="12B"/>
      <sheetName val="2A"/>
      <sheetName val="2B"/>
      <sheetName val="2C"/>
      <sheetName val="2D"/>
      <sheetName val="2E"/>
      <sheetName val="2F"/>
      <sheetName val="2G"/>
      <sheetName val="2H"/>
      <sheetName val="3A"/>
      <sheetName val="3B"/>
      <sheetName val="4"/>
      <sheetName val="6A"/>
      <sheetName val="6B"/>
      <sheetName val="7A"/>
      <sheetName val="7B"/>
      <sheetName val="8A"/>
      <sheetName val="8B"/>
      <sheetName val="9A"/>
      <sheetName val="9B"/>
      <sheetName val="9C"/>
      <sheetName val="9D"/>
      <sheetName val="9E"/>
      <sheetName val="9F"/>
      <sheetName val="9G"/>
      <sheetName val="9H"/>
      <sheetName val="9I"/>
      <sheetName val="9J"/>
      <sheetName val="9K"/>
      <sheetName val="5"/>
      <sheetName val="13"/>
      <sheetName val="DetEst"/>
      <sheetName val="1"/>
      <sheetName val="14"/>
      <sheetName val="Measurements"/>
      <sheetName val="Tables"/>
      <sheetName val="Flooring"/>
      <sheetName val="Ceilings"/>
      <sheetName val="ACAD Finishes"/>
      <sheetName val="Site Details"/>
      <sheetName val="Chair"/>
      <sheetName val="Site Area Statement"/>
      <sheetName val="Doors"/>
      <sheetName val="Estimate"/>
      <sheetName val="Deduction of assets"/>
      <sheetName val="Blr hire"/>
      <sheetName val="d-safe specs"/>
      <sheetName val="PRECAST-conc-AI"/>
      <sheetName val="Miscellan%ous_x0008_civil"/>
      <sheetName val="b`sic"/>
      <sheetName val="PRECAST lig(tconc_II"/>
      <sheetName val="08.07.10헾】_x0005_????菈_x0013_"/>
      <sheetName val="08.07.10헾】_x0005__x0000__x0000"/>
      <sheetName val="08.07.10헾】_x0005_____ꎋ"/>
      <sheetName val="FT-05-02IsoBOM"/>
      <sheetName val="eq"/>
      <sheetName val="08.07.10헾】_x0005_??_x0005__x0000__x0000_"/>
      <sheetName val="14.07.10 CIVIL W ["/>
      <sheetName val="14.07.10@^\_x0001_&amp;_x0000__x0000__x0000__x0012_8"/>
      <sheetName val="_x0000__x0000__x0000__x0000__x0000__x0000__x0000_Ü5)_x0000__x001e_bÝ/_x0012_8)_x0000__x0012_6)_x0000_&amp;_x0000__x0000__x0000_&amp;_x0000__x0000__x0000_"/>
      <sheetName val="_x0001__x0000__x0000__x0000_"/>
      <sheetName val="08.07.10헾】_x0005_??壀&quot;夌&quot;"/>
      <sheetName val="Cost Basis"/>
      <sheetName val="08.07.10헾】_x0005_??헾⿂_x0005__x0000_"/>
      <sheetName val="08.07.10헾】_x0005_"/>
      <sheetName val="08.07.10헾】_x0005_??ꮸ⽚_x0005__x0000_"/>
      <sheetName val="segment_topsheet"/>
      <sheetName val="Index"/>
      <sheetName val="Invoice Tracker"/>
      <sheetName val="BOQ LT"/>
      <sheetName val="girder"/>
      <sheetName val="Rocker"/>
      <sheetName val="_21_07_10_N_SHIFT_MECH-FA"/>
      <sheetName val="Report"/>
      <sheetName val="08.07.10헾】_x0005_????懇"/>
      <sheetName val="08.07.10헾】_x0005_??丵⼽_x0005__x0000_"/>
      <sheetName val="08.07.10헾】_x0005_????癠'"/>
      <sheetName val="08.07.10헾】_x0005_??헾⽀_x0005__x0000_"/>
      <sheetName val="Sqn_Abs"/>
      <sheetName val="calcul"/>
      <sheetName val="Quote Sheet"/>
      <sheetName val=" _¢_x0002_&amp;"/>
      <sheetName val=" _¢_x0002_&amp;___ú5#_______"/>
      <sheetName val="08.07.10헾】_x0005_??헾⾑_x0005__x0000_"/>
      <sheetName val="DP"/>
      <sheetName val="Income Statement"/>
      <sheetName val="LMP"/>
      <sheetName val="sc-mar2000"/>
      <sheetName val="B'Sheet"/>
      <sheetName val="Asmp"/>
      <sheetName val="Top Sheet"/>
      <sheetName val="Col NUM"/>
      <sheetName val="COLUMN RC "/>
      <sheetName val="STILT Floor Slab NUM"/>
      <sheetName val="First Floor Slab RC"/>
      <sheetName val="FIRST FLOOR SLAB WT SUMMARY"/>
      <sheetName val="Stilt Floor Beam NUM"/>
      <sheetName val="STILT BEAM NUM"/>
      <sheetName val="STILT BEAM RC"/>
      <sheetName val="Stilt wall Num"/>
      <sheetName val="STILT WALL RC"/>
      <sheetName val="Z-DETAILS ABOVE RAFT UPTO +0.05"/>
      <sheetName val="Z-DETAILS ABOVE RAFT UPTO + (2"/>
      <sheetName val="TOTAL CHECK"/>
      <sheetName val="TYP.  wall Num"/>
      <sheetName val="Z-DETAILS TYP. +2.85 TO +8.85"/>
      <sheetName val="currency"/>
      <sheetName val=" _x000d_¢_x0002_&amp;_x0000__x0000__x0000_ú5#_x0000__x0000__x0000__x0000__x0000__x0000__x0000_"/>
      <sheetName val=" _x000d_¢_x0002_&amp;???ú5#???????"/>
      <sheetName val="B3-B4-B5-_x0006__x0000_"/>
      <sheetName val="_x0000__x0017__x0000__x0012__x0000__x000f__x0000__x0012__x0000__x0013__x0000__x000a__x0000__x001a__x0000__x001b__x0000__x0017__x0000_"/>
      <sheetName val="ᬀᜀሀༀሀ_x0000__x0000__x0000__x0000__x0000__x0000__x0000__x0000__x0000__x0000__x0000__x0000__x0000_"/>
      <sheetName val="CON"/>
      <sheetName val="Misc. Data"/>
      <sheetName val="DSLP"/>
      <sheetName val="Load Details(B2)"/>
      <sheetName val="Works - Quote Sheet"/>
      <sheetName val="starter"/>
      <sheetName val="Intro."/>
      <sheetName val="Gate 2"/>
      <sheetName val="Lab"/>
      <sheetName val="MASTER_RATE ANALYSIS"/>
      <sheetName val="Name List"/>
      <sheetName val="UNIT"/>
      <sheetName val="CCY"/>
      <sheetName val="BHANDUP"/>
      <sheetName val="预算"/>
      <sheetName val="電気設備表"/>
      <sheetName val="Projects"/>
      <sheetName val="Project Ignite"/>
      <sheetName val="98Price"/>
      <sheetName val="MG"/>
      <sheetName val="VALIDATIONS"/>
      <sheetName val="Mat_Cost"/>
      <sheetName val="BLOCK-A (MEA.SHEET)"/>
      <sheetName val="Customize Your Invoice"/>
      <sheetName val="VF Full Recon"/>
      <sheetName val="PITP3 COPY"/>
      <sheetName val="Meas."/>
      <sheetName val="Expenses Actual Vs. Budgeted"/>
      <sheetName val="Col up to plinth"/>
      <sheetName val="Footing"/>
      <sheetName val="Inputs"/>
      <sheetName val="目录"/>
      <sheetName val="F&amp;B"/>
      <sheetName val="#REF"/>
      <sheetName val="Kitchen"/>
      <sheetName val="RCC,Ret. Wall"/>
      <sheetName val="est"/>
      <sheetName val="SEW4"/>
      <sheetName val="08.07.10_x0000__x0000_ⴠ_x0000__x0000__x0000_㭮㢝輜_x0018_"/>
      <sheetName val="ancillary"/>
      <sheetName val="Raw Data"/>
      <sheetName val="08.07.10헾】_x0005_??壀$夌$"/>
      <sheetName val="FORM7"/>
      <sheetName val="INTRO"/>
      <sheetName val="2.civil-RA"/>
      <sheetName val="RMG.-ABS"/>
      <sheetName val="RMG-MB"/>
      <sheetName val="T.P.-ABS"/>
      <sheetName val="T.P.-MB"/>
      <sheetName val="Mixer-ABS"/>
      <sheetName val="Mixer-MB"/>
      <sheetName val="E.P.R-ABS"/>
      <sheetName val="E..R-MB"/>
      <sheetName val="Bldg.6-ABS"/>
      <sheetName val="Bldg.6-MB"/>
      <sheetName val="Kz Grid Press foundation ABS"/>
      <sheetName val="Kz Grid Press foundation_meas"/>
      <sheetName val="600-1200T  ABS"/>
      <sheetName val="600-1200T Meas"/>
      <sheetName val="BSR-II ABS"/>
      <sheetName val="BSR-II meas"/>
      <sheetName val="Misc.ABS"/>
      <sheetName val="Misc.MB"/>
      <sheetName val="This Bill"/>
      <sheetName val="Upto Previous"/>
      <sheetName val="Up to date"/>
      <sheetName val="Grand Abstract"/>
      <sheetName val="Blank MB"/>
      <sheetName val="cement summary"/>
      <sheetName val="Reinforcement Steel"/>
      <sheetName val="P-I CEMENT RECONCILIATION "/>
      <sheetName val="Ra-38 area wise summary"/>
      <sheetName val="P-II Cement Reconciliation"/>
      <sheetName val="Ra-16 P-II"/>
      <sheetName val="RA 16- GH"/>
      <sheetName val="9"/>
      <sheetName val="PRECAST_lightconc-II4"/>
      <sheetName val="PRECAST_lightconc_II4"/>
      <sheetName val="College_Details4"/>
      <sheetName val="Personal_4"/>
      <sheetName val="Cleaning_&amp;_Grubbing4"/>
      <sheetName val="jidal_dam4"/>
      <sheetName val="fran_temp4"/>
      <sheetName val="kona_swit4"/>
      <sheetName val="template_(8)4"/>
      <sheetName val="template_(9)4"/>
      <sheetName val="Cover_Sheet4"/>
      <sheetName val="BOQ_REV_A4"/>
      <sheetName val="PTB_(IO)4"/>
      <sheetName val="BMS_4"/>
      <sheetName val="OVER_HEADS4"/>
      <sheetName val="SPT_vs_PHI4"/>
      <sheetName val="TBAL9697_-group_wise__sdpl4"/>
      <sheetName val="Quantity_Schedule3"/>
      <sheetName val="Revenue__Schedule_3"/>
      <sheetName val="Balance_works_-_Direct_Cost3"/>
      <sheetName val="Balance_works_-_Indirect_Cost3"/>
      <sheetName val="Fund_Plan3"/>
      <sheetName val="Bill_of_Resources3"/>
      <sheetName val="SITE_OVERHEADS2"/>
      <sheetName val="labour_coeff2"/>
      <sheetName val="Expenditure_plan2"/>
      <sheetName val="ORDER_BOOKING2"/>
      <sheetName val="Site_Dev_BOQ2"/>
      <sheetName val="beam-reinft-IIInd_floor2"/>
      <sheetName val="M-Book_for_Conc2"/>
      <sheetName val="M-Book_for_FW2"/>
      <sheetName val="Costing_Upto_Mar'11_(2)2"/>
      <sheetName val="Tender_Summary2"/>
      <sheetName val="TAX_BILLS2"/>
      <sheetName val="CASH_BILLS2"/>
      <sheetName val="LABOUR_BILLS2"/>
      <sheetName val="puch_order2"/>
      <sheetName val="Sheet1_(2)2"/>
      <sheetName val="Boq_Block_A2"/>
      <sheetName val="_24_07_10_RS_&amp;_SECURITY2"/>
      <sheetName val="24_07_10_CIVIL_WET2"/>
      <sheetName val="_24_07_10_CIVIL2"/>
      <sheetName val="_24_07_10_MECH-FAB2"/>
      <sheetName val="_24_07_10_MECH-TANK2"/>
      <sheetName val="_23_07_10_N_SHIFT_MECH-FAB2"/>
      <sheetName val="_23_07_10_N_SHIFT_MECH-TANK2"/>
      <sheetName val="_23_07_10_RS_&amp;_SECURITY2"/>
      <sheetName val="23_07_10_CIVIL_WET2"/>
      <sheetName val="_23_07_10_CIVIL2"/>
      <sheetName val="_23_07_10_MECH-FAB2"/>
      <sheetName val="_23_07_10_MECH-TANK2"/>
      <sheetName val="_22_07_10_N_SHIFT_MECH-FAB2"/>
      <sheetName val="_22_07_10_N_SHIFT_MECH-TANK2"/>
      <sheetName val="_22_07_10_RS_&amp;_SECURITY2"/>
      <sheetName val="22_07_10_CIVIL_WET2"/>
      <sheetName val="_22_07_10_CIVIL2"/>
      <sheetName val="_22_07_10_MECH-FAB2"/>
      <sheetName val="_22_07_10_MECH-TANK2"/>
      <sheetName val="_21_07_10_N_SHIFT_MECH-FAB2"/>
      <sheetName val="_21_07_10_N_SHIFT_MECH-TANK2"/>
      <sheetName val="_21_07_10_RS_&amp;_SECURITY2"/>
      <sheetName val="21_07_10_CIVIL_WET2"/>
      <sheetName val="_21_07_10_CIVIL2"/>
      <sheetName val="_21_07_10_MECH-FAB2"/>
      <sheetName val="_21_07_10_MECH-TANK2"/>
      <sheetName val="_20_07_10_N_SHIFT_MECH-FAB2"/>
      <sheetName val="_20_07_10_N_SHIFT_MECH-TANK2"/>
      <sheetName val="_20_07_10_RS_&amp;_SECURITY2"/>
      <sheetName val="20_07_10_CIVIL_WET2"/>
      <sheetName val="_20_07_10_CIVIL2"/>
      <sheetName val="_20_07_10_MECH-FAB2"/>
      <sheetName val="_20_07_10_MECH-TANK2"/>
      <sheetName val="_19_07_10_N_SHIFT_MECH-FAB2"/>
      <sheetName val="_19_07_10_N_SHIFT_MECH-TANK2"/>
      <sheetName val="_19_07_10_RS_&amp;_SECURITY2"/>
      <sheetName val="19_07_10_CIVIL_WET2"/>
      <sheetName val="_19_07_10_CIVIL2"/>
      <sheetName val="_19_07_10_MECH-FAB2"/>
      <sheetName val="_19_07_10_MECH-TANK2"/>
      <sheetName val="_18_07_10_N_SHIFT_MECH-FAB2"/>
      <sheetName val="_18_07_10_N_SHIFT_MECH-TANK2"/>
      <sheetName val="_18_07_10_RS_&amp;_SECURITY2"/>
      <sheetName val="18_07_10_CIVIL_WET2"/>
      <sheetName val="_18_07_10_CIVIL2"/>
      <sheetName val="_18_07_10_MECH-FAB2"/>
      <sheetName val="_18_07_10_MECH-TANK2"/>
      <sheetName val="_17_07_10_N_SHIFT_MECH-FAB2"/>
      <sheetName val="_17_07_10_N_SHIFT_MECH-TANK2"/>
      <sheetName val="_17_07_10_RS_&amp;_SECURITY2"/>
      <sheetName val="17_07_10_CIVIL_WET2"/>
      <sheetName val="_17_07_10_CIVIL2"/>
      <sheetName val="_17_07_10_MECH-FAB2"/>
      <sheetName val="_17_07_10_MECH-TANK2"/>
      <sheetName val="_16_07_10_N_SHIFT_MECH-FAB1"/>
      <sheetName val="_16_07_10_N_SHIFT_MECH-TANK1"/>
      <sheetName val="_16_07_10_RS_&amp;_SECURITY1"/>
      <sheetName val="16_07_10_CIVIL_WET1"/>
      <sheetName val="_16_07_10_CIVIL1"/>
      <sheetName val="_16_07_10_MECH-FAB1"/>
      <sheetName val="_16_07_10_MECH-TANK1"/>
      <sheetName val="_15_07_10_N_SHIFT_MECH-FAB1"/>
      <sheetName val="_15_07_10_N_SHIFT_MECH-TANK1"/>
      <sheetName val="_15_07_10_RS_&amp;_SECURITY1"/>
      <sheetName val="15_07_10_CIVIL_WET1"/>
      <sheetName val="_15_07_10_CIVIL1"/>
      <sheetName val="_15_07_10_MECH-FAB1"/>
      <sheetName val="_15_07_10_MECH-TANK1"/>
      <sheetName val="_14_07_10_N_SHIFT_MECH-FAB1"/>
      <sheetName val="_14_07_10_N_SHIFT_MECH-TANK1"/>
      <sheetName val="_14_07_10_RS_&amp;_SECURITY1"/>
      <sheetName val="14_07_10_CIVIL_WET1"/>
      <sheetName val="_14_07_10_CIVIL1"/>
      <sheetName val="_14_07_10_MECH-FAB1"/>
      <sheetName val="_14_07_10_MECH-TANK1"/>
      <sheetName val="_13_07_10_N_SHIFT_MECH-FAB1"/>
      <sheetName val="_13_07_10_N_SHIFT_MECH-TANK1"/>
      <sheetName val="_13_07_10_RS_&amp;_SECURITY1"/>
      <sheetName val="13_07_10_CIVIL_WET1"/>
      <sheetName val="_13_07_10_CIVIL1"/>
      <sheetName val="_13_07_10_MECH-FAB1"/>
      <sheetName val="_13_07_10_MECH-TANK1"/>
      <sheetName val="_12_07_10_N_SHIFT_MECH-FAB1"/>
      <sheetName val="_12_07_10_N_SHIFT_MECH-TANK1"/>
      <sheetName val="_12_07_10_RS_&amp;_SECURITY1"/>
      <sheetName val="12_07_10_CIVIL_WET1"/>
      <sheetName val="_12_07_10_CIVIL1"/>
      <sheetName val="_12_07_10_MECH-FAB1"/>
      <sheetName val="_12_07_10_MECH-TANK1"/>
      <sheetName val="_11_07_10_N_SHIFT_MECH-FAB1"/>
      <sheetName val="_11_07_10_N_SHIFT_MECH-TANK1"/>
      <sheetName val="_11_07_10_RS_&amp;_SECURITY1"/>
      <sheetName val="11_07_10_CIVIL_WET1"/>
      <sheetName val="_11_07_10_CIVIL1"/>
      <sheetName val="_11_07_10_MECH-FAB1"/>
      <sheetName val="_11_07_10_MECH-TANK1"/>
      <sheetName val="_10_07_10_N_SHIFT_MECH-FAB1"/>
      <sheetName val="_10_07_10_N_SHIFT_MECH-TANK1"/>
      <sheetName val="_10_07_10_RS_&amp;_SECURITY1"/>
      <sheetName val="10_07_10_CIVIL_WET1"/>
      <sheetName val="_10_07_10_CIVIL1"/>
      <sheetName val="_10_07_10_MECH-FAB1"/>
      <sheetName val="_10_07_10_MECH-TANK1"/>
      <sheetName val="_09_07_10_N_SHIFT_MECH-FAB1"/>
      <sheetName val="_09_07_10_N_SHIFT_MECH-TANK1"/>
      <sheetName val="_09_07_10_RS_&amp;_SECURITY1"/>
      <sheetName val="09_07_10_CIVIL_WET1"/>
      <sheetName val="_09_07_10_CIVIL1"/>
      <sheetName val="_09_07_10_MECH-FAB1"/>
      <sheetName val="_09_07_10_MECH-TANK1"/>
      <sheetName val="_08_07_10_N_SHIFT_MECH-FAB1"/>
      <sheetName val="_08_07_10_N_SHIFT_MECH-TANK1"/>
      <sheetName val="_08_07_10_RS_&amp;_SECURITY1"/>
      <sheetName val="08_07_10_CIVIL_WET1"/>
      <sheetName val="_08_07_10_CIVIL1"/>
      <sheetName val="_08_07_10_MECH-FAB1"/>
      <sheetName val="_08_07_10_MECH-TANK1"/>
      <sheetName val="_07_07_10_N_SHIFT_MECH-FAB1"/>
      <sheetName val="_07_07_10_N_SHIFT_MECH-TANK1"/>
      <sheetName val="_07_07_10_RS_&amp;_SECURITY1"/>
      <sheetName val="07_07_10_CIVIL_WET1"/>
      <sheetName val="_07_07_10_CIVIL1"/>
      <sheetName val="_07_07_10_MECH-FAB1"/>
      <sheetName val="_07_07_10_MECH-TANK1"/>
      <sheetName val="_06_07_10_N_SHIFT_MECH-FAB1"/>
      <sheetName val="_06_07_10_N_SHIFT_MECH-TANK1"/>
      <sheetName val="_06_07_10_RS_&amp;_SECURITY1"/>
      <sheetName val="06_07_10_CIVIL_WET1"/>
      <sheetName val="_06_07_10_CIVIL1"/>
      <sheetName val="_06_07_10_MECH-FAB1"/>
      <sheetName val="_06_07_10_MECH-TANK1"/>
      <sheetName val="_05_07_10_N_SHIFT_MECH-FAB1"/>
      <sheetName val="_05_07_10_N_SHIFT_MECH-TANK1"/>
      <sheetName val="_05_07_10_RS_&amp;_SECURITY1"/>
      <sheetName val="05_07_10_CIVIL_WET1"/>
      <sheetName val="_05_07_10_CIVIL1"/>
      <sheetName val="_05_07_10_MECH-FAB1"/>
      <sheetName val="_05_07_10_MECH-TANK1"/>
      <sheetName val="_04_07_10_N_SHIFT_MECH-FAB1"/>
      <sheetName val="_04_07_10_N_SHIFT_MECH-TANK1"/>
      <sheetName val="_04_07_10_RS_&amp;_SECURITY1"/>
      <sheetName val="04_07_10_CIVIL_WET1"/>
      <sheetName val="_04_07_10_CIVIL1"/>
      <sheetName val="_04_07_10_MECH-FAB1"/>
      <sheetName val="_04_07_10_MECH-TANK1"/>
      <sheetName val="_03_07_10_N_SHIFT_MECH-FAB1"/>
      <sheetName val="_03_07_10_N_SHIFT_MECH-TANK1"/>
      <sheetName val="_03_07_10_RS_&amp;_SECURITY_1"/>
      <sheetName val="03_07_10_CIVIL_WET_1"/>
      <sheetName val="_03_07_10_CIVIL_1"/>
      <sheetName val="_03_07_10_MECH-FAB_1"/>
      <sheetName val="_03_07_10_MECH-TANK_1"/>
      <sheetName val="_02_07_10_N_SHIFT_MECH-FAB_1"/>
      <sheetName val="_02_07_10_N_SHIFT_MECH-TANK_1"/>
      <sheetName val="_02_07_10_RS_&amp;_SECURITY1"/>
      <sheetName val="02_07_10_CIVIL_WET1"/>
      <sheetName val="_02_07_10_CIVIL1"/>
      <sheetName val="_02_07_10_MECH-FAB1"/>
      <sheetName val="_02_07_10_MECH-TANK1"/>
      <sheetName val="_01_07_10_N_SHIFT_MECH-FAB1"/>
      <sheetName val="_01_07_10_N_SHIFT_MECH-TANK1"/>
      <sheetName val="_01_07_10_RS_&amp;_SECURITY1"/>
      <sheetName val="01_07_10_CIVIL_WET1"/>
      <sheetName val="_01_07_10_CIVIL1"/>
      <sheetName val="_01_07_10_MECH-FAB1"/>
      <sheetName val="_01_07_10_MECH-TANK1"/>
      <sheetName val="_30_06_10_N_SHIFT_MECH-FAB1"/>
      <sheetName val="_30_06_10_N_SHIFT_MECH-TANK1"/>
      <sheetName val="scurve_calc_(2)1"/>
      <sheetName val="Direct_cost_shed_A-2_1"/>
      <sheetName val="Meas_-Hotel_Part2"/>
      <sheetName val="BOQ_Direct_selling_cost1"/>
      <sheetName val="Ave_wtd_rates1"/>
      <sheetName val="Material_1"/>
      <sheetName val="Labour_&amp;_Plant1"/>
      <sheetName val="22_12_20112"/>
      <sheetName val="BOQ_(2)2"/>
      <sheetName val="Contract_Night_Staff1"/>
      <sheetName val="Contract_Day_Staff1"/>
      <sheetName val="Day_Shift1"/>
      <sheetName val="Night_Shift1"/>
      <sheetName val="Cashflow_projection1"/>
      <sheetName val="PA-_Consutant_1"/>
      <sheetName val="Item-_Compact1"/>
      <sheetName val="Fee_Rate_Summary1"/>
      <sheetName val="Civil_Boq1"/>
      <sheetName val="final_abstract1"/>
      <sheetName val="TBAL9697__group_wise__sdpl1"/>
      <sheetName val="St_co_91_5lvl1"/>
      <sheetName val="Civil_Works1"/>
      <sheetName val="IO_List1"/>
      <sheetName val="Fill_this_out_first___1"/>
      <sheetName val="SP_Break_Up1"/>
      <sheetName val="Labour_productivity1"/>
      <sheetName val="INPUT_SHEET1"/>
      <sheetName val="Meas__Hotel_Part1"/>
      <sheetName val="DI_Rate_Analysis2"/>
      <sheetName val="Economic_RisingMain__Ph-I2"/>
      <sheetName val="_09_07_10_M顅ᎆ뤀ᨇ԰?缀?1"/>
      <sheetName val="Cost_Index1"/>
      <sheetName val="cash_in_flow_Summary_JV_1"/>
      <sheetName val="water_prop_1"/>
      <sheetName val="GR_slab-reinft1"/>
      <sheetName val="Sales_&amp;_Prod1"/>
      <sheetName val="Rate_analysis-_BOQ_1_1"/>
      <sheetName val="MN_T_B_1"/>
      <sheetName val="Staff_Acco_1"/>
      <sheetName val="Project_Details__1"/>
      <sheetName val="F20_Risk_Analysis1"/>
      <sheetName val="Change_Order_Log1"/>
      <sheetName val="2000_MOR1"/>
      <sheetName val="Driveway_Beams1"/>
      <sheetName val="Structure_Bills_Qty1"/>
      <sheetName val="Prelims_Breakup2"/>
      <sheetName val="INDIGINEOUS_ITEMS_1"/>
      <sheetName val="3cd_Annexure1"/>
      <sheetName val="1_Civil-RA1"/>
      <sheetName val="Rate_Analysis1"/>
      <sheetName val="Fin__Assumpt__-_Sensitivities1"/>
      <sheetName val="Bill_11"/>
      <sheetName val="Bill_21"/>
      <sheetName val="Bill_31"/>
      <sheetName val="Bill_41"/>
      <sheetName val="Bill_51"/>
      <sheetName val="Bill_61"/>
      <sheetName val="Bill_71"/>
      <sheetName val="_09_07_10_M顅ᎆ뤀ᨇ԰1"/>
      <sheetName val="_09_07_10_M顅ᎆ뤀ᨇ԰_缀_1"/>
      <sheetName val="Assumption_Inputs1"/>
      <sheetName val="Phase_11"/>
      <sheetName val="Pacakges_split1"/>
      <sheetName val="DEINKING(ANNEX_1)1"/>
      <sheetName val="AutoOpen_Stub_Data1"/>
      <sheetName val="Eqpmnt_Plng1"/>
      <sheetName val="Debits_as_on_12_04_08"/>
      <sheetName val="Data_Sheet"/>
      <sheetName val="T-P1,_FINISHES_WORKING_1"/>
      <sheetName val="Assumption_&amp;_Exclusion1"/>
      <sheetName val="External_Doors1"/>
      <sheetName val="STAFFSCHED_"/>
      <sheetName val="LABOUR_RATE1"/>
      <sheetName val="Material_Rate1"/>
      <sheetName val="Switch_V161"/>
      <sheetName val="India_F&amp;S_Template"/>
      <sheetName val="_bus_bay"/>
      <sheetName val="doq_4"/>
      <sheetName val="doq_2"/>
      <sheetName val="Grade_Slab_-11"/>
      <sheetName val="Grade_Slab_-21"/>
      <sheetName val="Grade_slab-31"/>
      <sheetName val="Grade_slab_-41"/>
      <sheetName val="Grade_slab_-51"/>
      <sheetName val="Grade_slab_-61"/>
      <sheetName val="Cat_A_Change_Control1"/>
      <sheetName val="Factor_Sheet1"/>
      <sheetName val="11B_"/>
      <sheetName val="Theo_Cons-June'10"/>
      <sheetName val="ACAD_Finishes"/>
      <sheetName val="Site_Details"/>
      <sheetName val="Site_Area_Statement"/>
      <sheetName val="14_07_10@&amp;Ò:"/>
      <sheetName val="14_07_10Á&amp;î&lt;"/>
      <sheetName val="¸:;b+/î&lt;î:&amp;&amp;"/>
      <sheetName val="Summary_WG"/>
      <sheetName val="BOQ_LT"/>
      <sheetName val="14_07_10_CIVIL_W ["/>
      <sheetName val="Invoice_Tracker"/>
      <sheetName val="Income_Statement"/>
      <sheetName val="__¢&amp;ú5#"/>
      <sheetName val="__¢&amp;???ú5#???????"/>
      <sheetName val="BLOCK-A_(MEA_SHEET)"/>
      <sheetName val="Load_Details(B2)"/>
      <sheetName val="Works_-_Quote_Sheet"/>
      <sheetName val="AFAS_"/>
      <sheetName val="RDS_&amp;_WLD"/>
      <sheetName val="PA_System"/>
      <sheetName val="Server_&amp;_PAC_Room"/>
      <sheetName val="HVAC_BOQ"/>
      <sheetName val="08_07_10헾】????菈"/>
      <sheetName val="08_07_10헾】??"/>
      <sheetName val="14_07_10@^\&amp;8"/>
      <sheetName val="Ü5)bÝ/8)6)&amp;&amp;"/>
      <sheetName val="08_07_10헾】??壀&quot;夌&quot;"/>
      <sheetName val="Top_Sheet"/>
      <sheetName val="Col_NUM"/>
      <sheetName val="COLUMN_RC_"/>
      <sheetName val="STILT_Floor_Slab_NUM"/>
      <sheetName val="First_Floor_Slab_RC"/>
      <sheetName val="FIRST_FLOOR_SLAB_WT_SUMMARY"/>
      <sheetName val="Stilt_Floor_Beam_NUM"/>
      <sheetName val="STILT_BEAM_NUM"/>
      <sheetName val="STILT_BEAM_RC"/>
      <sheetName val="Stilt_wall_Num"/>
      <sheetName val="STILT_WALL_RC"/>
      <sheetName val="Z-DETAILS_ABOVE_RAFT_UPTO_+0_05"/>
      <sheetName val="Z-DETAILS_ABOVE_RAFT_UPTO_+_(2"/>
      <sheetName val="TOTAL_CHECK"/>
      <sheetName val="TYP___wall_Num"/>
      <sheetName val="Z-DETAILS_TYP__+2_85_TO_+8_85"/>
    </sheetNames>
    <sheetDataSet>
      <sheetData sheetId="0" refreshError="1">
        <row r="19">
          <cell r="J19">
            <v>1.0499999999999999E-3</v>
          </cell>
          <cell r="K19">
            <v>1.3500000000000001E-3</v>
          </cell>
        </row>
        <row r="20">
          <cell r="J20">
            <v>0.15082999999999999</v>
          </cell>
          <cell r="K20">
            <v>0.10083</v>
          </cell>
        </row>
      </sheetData>
      <sheetData sheetId="1" refreshError="1"/>
      <sheetData sheetId="2">
        <row r="19">
          <cell r="J19">
            <v>1.0499999999999999E-3</v>
          </cell>
        </row>
      </sheetData>
      <sheetData sheetId="3">
        <row r="19">
          <cell r="J19">
            <v>1.0499999999999999E-3</v>
          </cell>
        </row>
      </sheetData>
      <sheetData sheetId="4">
        <row r="19">
          <cell r="J19">
            <v>1.0499999999999999E-3</v>
          </cell>
        </row>
      </sheetData>
      <sheetData sheetId="5">
        <row r="19">
          <cell r="J19">
            <v>1.0499999999999999E-3</v>
          </cell>
        </row>
      </sheetData>
      <sheetData sheetId="6">
        <row r="19">
          <cell r="J19">
            <v>1.0499999999999999E-3</v>
          </cell>
        </row>
      </sheetData>
      <sheetData sheetId="7">
        <row r="19">
          <cell r="J19">
            <v>1.0499999999999999E-3</v>
          </cell>
        </row>
      </sheetData>
      <sheetData sheetId="8">
        <row r="19">
          <cell r="J19">
            <v>1.0499999999999999E-3</v>
          </cell>
        </row>
      </sheetData>
      <sheetData sheetId="9" refreshError="1"/>
      <sheetData sheetId="10" refreshError="1"/>
      <sheetData sheetId="11" refreshError="1"/>
      <sheetData sheetId="12">
        <row r="19">
          <cell r="J19">
            <v>1.0499999999999999E-3</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ow r="19">
          <cell r="J19">
            <v>1.0499999999999999E-3</v>
          </cell>
        </row>
      </sheetData>
      <sheetData sheetId="30">
        <row r="19">
          <cell r="J19">
            <v>1.0499999999999999E-3</v>
          </cell>
        </row>
      </sheetData>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ow r="19">
          <cell r="J19">
            <v>1.0499999999999999E-3</v>
          </cell>
        </row>
      </sheetData>
      <sheetData sheetId="47">
        <row r="19">
          <cell r="J19">
            <v>1.0499999999999999E-3</v>
          </cell>
        </row>
      </sheetData>
      <sheetData sheetId="48">
        <row r="19">
          <cell r="J19">
            <v>1.0499999999999999E-3</v>
          </cell>
        </row>
      </sheetData>
      <sheetData sheetId="49">
        <row r="19">
          <cell r="J19">
            <v>1.0499999999999999E-3</v>
          </cell>
        </row>
      </sheetData>
      <sheetData sheetId="50">
        <row r="19">
          <cell r="J19">
            <v>1.0499999999999999E-3</v>
          </cell>
        </row>
      </sheetData>
      <sheetData sheetId="51">
        <row r="19">
          <cell r="J19">
            <v>1.0499999999999999E-3</v>
          </cell>
        </row>
      </sheetData>
      <sheetData sheetId="52" refreshError="1"/>
      <sheetData sheetId="53" refreshError="1"/>
      <sheetData sheetId="54">
        <row r="19">
          <cell r="J19">
            <v>1.0499999999999999E-3</v>
          </cell>
        </row>
      </sheetData>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sheetData sheetId="119"/>
      <sheetData sheetId="120"/>
      <sheetData sheetId="12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sheetData sheetId="432" refreshError="1"/>
      <sheetData sheetId="433" refreshError="1"/>
      <sheetData sheetId="434" refreshError="1"/>
      <sheetData sheetId="435" refreshError="1"/>
      <sheetData sheetId="436" refreshError="1"/>
      <sheetData sheetId="437"/>
      <sheetData sheetId="438"/>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ow r="19">
          <cell r="J19">
            <v>1.0499999999999999E-3</v>
          </cell>
        </row>
      </sheetData>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ow r="19">
          <cell r="J19">
            <v>1.0499999999999999E-3</v>
          </cell>
        </row>
      </sheetData>
      <sheetData sheetId="621">
        <row r="19">
          <cell r="J19">
            <v>1.0499999999999999E-3</v>
          </cell>
        </row>
      </sheetData>
      <sheetData sheetId="622">
        <row r="19">
          <cell r="J19">
            <v>1.0499999999999999E-3</v>
          </cell>
        </row>
      </sheetData>
      <sheetData sheetId="623">
        <row r="19">
          <cell r="J19">
            <v>1.0499999999999999E-3</v>
          </cell>
        </row>
      </sheetData>
      <sheetData sheetId="624">
        <row r="19">
          <cell r="J19">
            <v>1.0499999999999999E-3</v>
          </cell>
        </row>
      </sheetData>
      <sheetData sheetId="625">
        <row r="19">
          <cell r="J19">
            <v>1.0499999999999999E-3</v>
          </cell>
        </row>
      </sheetData>
      <sheetData sheetId="626">
        <row r="19">
          <cell r="J19">
            <v>1.0499999999999999E-3</v>
          </cell>
        </row>
      </sheetData>
      <sheetData sheetId="627">
        <row r="19">
          <cell r="J19">
            <v>1.0499999999999999E-3</v>
          </cell>
        </row>
      </sheetData>
      <sheetData sheetId="628">
        <row r="19">
          <cell r="J19">
            <v>1.0499999999999999E-3</v>
          </cell>
        </row>
      </sheetData>
      <sheetData sheetId="629">
        <row r="19">
          <cell r="J19">
            <v>1.0499999999999999E-3</v>
          </cell>
        </row>
      </sheetData>
      <sheetData sheetId="630">
        <row r="19">
          <cell r="J19">
            <v>1.0499999999999999E-3</v>
          </cell>
        </row>
      </sheetData>
      <sheetData sheetId="631">
        <row r="19">
          <cell r="J19">
            <v>1.0499999999999999E-3</v>
          </cell>
        </row>
      </sheetData>
      <sheetData sheetId="632">
        <row r="19">
          <cell r="J19">
            <v>1.0499999999999999E-3</v>
          </cell>
        </row>
      </sheetData>
      <sheetData sheetId="633">
        <row r="19">
          <cell r="J19">
            <v>1.0499999999999999E-3</v>
          </cell>
        </row>
      </sheetData>
      <sheetData sheetId="634">
        <row r="19">
          <cell r="J19">
            <v>1.0499999999999999E-3</v>
          </cell>
        </row>
      </sheetData>
      <sheetData sheetId="635"/>
      <sheetData sheetId="636"/>
      <sheetData sheetId="637"/>
      <sheetData sheetId="638"/>
      <sheetData sheetId="639">
        <row r="19">
          <cell r="J19">
            <v>1.0499999999999999E-3</v>
          </cell>
        </row>
      </sheetData>
      <sheetData sheetId="640"/>
      <sheetData sheetId="641"/>
      <sheetData sheetId="642"/>
      <sheetData sheetId="643"/>
      <sheetData sheetId="644">
        <row r="19">
          <cell r="J19">
            <v>1.0499999999999999E-3</v>
          </cell>
        </row>
      </sheetData>
      <sheetData sheetId="645">
        <row r="19">
          <cell r="J19">
            <v>1.0499999999999999E-3</v>
          </cell>
        </row>
      </sheetData>
      <sheetData sheetId="646">
        <row r="19">
          <cell r="J19">
            <v>1.0499999999999999E-3</v>
          </cell>
        </row>
      </sheetData>
      <sheetData sheetId="647">
        <row r="19">
          <cell r="J19">
            <v>1.0499999999999999E-3</v>
          </cell>
        </row>
      </sheetData>
      <sheetData sheetId="648">
        <row r="19">
          <cell r="J19">
            <v>1.0499999999999999E-3</v>
          </cell>
        </row>
      </sheetData>
      <sheetData sheetId="649">
        <row r="19">
          <cell r="J19">
            <v>1.0499999999999999E-3</v>
          </cell>
        </row>
      </sheetData>
      <sheetData sheetId="650">
        <row r="19">
          <cell r="J19">
            <v>1.0499999999999999E-3</v>
          </cell>
        </row>
      </sheetData>
      <sheetData sheetId="651">
        <row r="19">
          <cell r="J19">
            <v>1.0499999999999999E-3</v>
          </cell>
        </row>
      </sheetData>
      <sheetData sheetId="652">
        <row r="19">
          <cell r="J19">
            <v>1.0499999999999999E-3</v>
          </cell>
        </row>
      </sheetData>
      <sheetData sheetId="653">
        <row r="19">
          <cell r="J19">
            <v>1.0499999999999999E-3</v>
          </cell>
        </row>
      </sheetData>
      <sheetData sheetId="654">
        <row r="19">
          <cell r="J19">
            <v>1.0499999999999999E-3</v>
          </cell>
        </row>
      </sheetData>
      <sheetData sheetId="655">
        <row r="19">
          <cell r="J19">
            <v>1.0499999999999999E-3</v>
          </cell>
        </row>
      </sheetData>
      <sheetData sheetId="656">
        <row r="19">
          <cell r="J19">
            <v>1.0499999999999999E-3</v>
          </cell>
        </row>
      </sheetData>
      <sheetData sheetId="657">
        <row r="19">
          <cell r="J19">
            <v>1.0499999999999999E-3</v>
          </cell>
        </row>
      </sheetData>
      <sheetData sheetId="658">
        <row r="19">
          <cell r="J19">
            <v>1.0499999999999999E-3</v>
          </cell>
        </row>
      </sheetData>
      <sheetData sheetId="659">
        <row r="19">
          <cell r="J19">
            <v>1.0499999999999999E-3</v>
          </cell>
        </row>
      </sheetData>
      <sheetData sheetId="660">
        <row r="19">
          <cell r="J19">
            <v>1.0499999999999999E-3</v>
          </cell>
        </row>
      </sheetData>
      <sheetData sheetId="661">
        <row r="19">
          <cell r="J19">
            <v>1.0499999999999999E-3</v>
          </cell>
        </row>
      </sheetData>
      <sheetData sheetId="662">
        <row r="19">
          <cell r="J19">
            <v>1.0499999999999999E-3</v>
          </cell>
        </row>
      </sheetData>
      <sheetData sheetId="663">
        <row r="19">
          <cell r="J19">
            <v>1.0499999999999999E-3</v>
          </cell>
        </row>
      </sheetData>
      <sheetData sheetId="664">
        <row r="19">
          <cell r="J19">
            <v>1.0499999999999999E-3</v>
          </cell>
        </row>
      </sheetData>
      <sheetData sheetId="665">
        <row r="19">
          <cell r="J19">
            <v>1.0499999999999999E-3</v>
          </cell>
        </row>
      </sheetData>
      <sheetData sheetId="666">
        <row r="19">
          <cell r="J19">
            <v>1.0499999999999999E-3</v>
          </cell>
        </row>
      </sheetData>
      <sheetData sheetId="667">
        <row r="19">
          <cell r="J19">
            <v>1.0499999999999999E-3</v>
          </cell>
        </row>
      </sheetData>
      <sheetData sheetId="668">
        <row r="19">
          <cell r="J19">
            <v>1.0499999999999999E-3</v>
          </cell>
        </row>
      </sheetData>
      <sheetData sheetId="669">
        <row r="19">
          <cell r="J19">
            <v>1.0499999999999999E-3</v>
          </cell>
        </row>
      </sheetData>
      <sheetData sheetId="670">
        <row r="19">
          <cell r="J19">
            <v>1.0499999999999999E-3</v>
          </cell>
        </row>
      </sheetData>
      <sheetData sheetId="671">
        <row r="19">
          <cell r="J19">
            <v>1.0499999999999999E-3</v>
          </cell>
        </row>
      </sheetData>
      <sheetData sheetId="672">
        <row r="19">
          <cell r="J19">
            <v>1.0499999999999999E-3</v>
          </cell>
        </row>
      </sheetData>
      <sheetData sheetId="673">
        <row r="19">
          <cell r="J19">
            <v>1.0499999999999999E-3</v>
          </cell>
        </row>
      </sheetData>
      <sheetData sheetId="674">
        <row r="19">
          <cell r="J19">
            <v>1.0499999999999999E-3</v>
          </cell>
        </row>
      </sheetData>
      <sheetData sheetId="675">
        <row r="19">
          <cell r="J19">
            <v>1.0499999999999999E-3</v>
          </cell>
        </row>
      </sheetData>
      <sheetData sheetId="676">
        <row r="19">
          <cell r="J19">
            <v>1.0499999999999999E-3</v>
          </cell>
        </row>
      </sheetData>
      <sheetData sheetId="677">
        <row r="19">
          <cell r="J19">
            <v>1.0499999999999999E-3</v>
          </cell>
        </row>
      </sheetData>
      <sheetData sheetId="678">
        <row r="19">
          <cell r="J19">
            <v>1.0499999999999999E-3</v>
          </cell>
        </row>
      </sheetData>
      <sheetData sheetId="679">
        <row r="19">
          <cell r="J19">
            <v>1.0499999999999999E-3</v>
          </cell>
        </row>
      </sheetData>
      <sheetData sheetId="680">
        <row r="19">
          <cell r="J19">
            <v>1.0499999999999999E-3</v>
          </cell>
        </row>
      </sheetData>
      <sheetData sheetId="681">
        <row r="19">
          <cell r="J19">
            <v>1.0499999999999999E-3</v>
          </cell>
        </row>
      </sheetData>
      <sheetData sheetId="682">
        <row r="19">
          <cell r="J19">
            <v>1.0499999999999999E-3</v>
          </cell>
        </row>
      </sheetData>
      <sheetData sheetId="683">
        <row r="19">
          <cell r="J19">
            <v>1.0499999999999999E-3</v>
          </cell>
        </row>
      </sheetData>
      <sheetData sheetId="684">
        <row r="19">
          <cell r="J19">
            <v>1.0499999999999999E-3</v>
          </cell>
        </row>
      </sheetData>
      <sheetData sheetId="685">
        <row r="19">
          <cell r="J19">
            <v>1.0499999999999999E-3</v>
          </cell>
        </row>
      </sheetData>
      <sheetData sheetId="686">
        <row r="19">
          <cell r="J19">
            <v>1.0499999999999999E-3</v>
          </cell>
        </row>
      </sheetData>
      <sheetData sheetId="687">
        <row r="19">
          <cell r="J19">
            <v>1.0499999999999999E-3</v>
          </cell>
        </row>
      </sheetData>
      <sheetData sheetId="688">
        <row r="19">
          <cell r="J19">
            <v>1.0499999999999999E-3</v>
          </cell>
        </row>
      </sheetData>
      <sheetData sheetId="689">
        <row r="19">
          <cell r="J19">
            <v>1.0499999999999999E-3</v>
          </cell>
        </row>
      </sheetData>
      <sheetData sheetId="690">
        <row r="19">
          <cell r="J19">
            <v>1.0499999999999999E-3</v>
          </cell>
        </row>
      </sheetData>
      <sheetData sheetId="691">
        <row r="19">
          <cell r="J19">
            <v>1.0499999999999999E-3</v>
          </cell>
        </row>
      </sheetData>
      <sheetData sheetId="692">
        <row r="19">
          <cell r="J19">
            <v>1.0499999999999999E-3</v>
          </cell>
        </row>
      </sheetData>
      <sheetData sheetId="693">
        <row r="19">
          <cell r="J19">
            <v>1.0499999999999999E-3</v>
          </cell>
        </row>
      </sheetData>
      <sheetData sheetId="694">
        <row r="19">
          <cell r="J19">
            <v>1.0499999999999999E-3</v>
          </cell>
        </row>
      </sheetData>
      <sheetData sheetId="695">
        <row r="19">
          <cell r="J19">
            <v>1.0499999999999999E-3</v>
          </cell>
        </row>
      </sheetData>
      <sheetData sheetId="696">
        <row r="19">
          <cell r="J19">
            <v>1.0499999999999999E-3</v>
          </cell>
        </row>
      </sheetData>
      <sheetData sheetId="697">
        <row r="19">
          <cell r="J19">
            <v>1.0499999999999999E-3</v>
          </cell>
        </row>
      </sheetData>
      <sheetData sheetId="698">
        <row r="19">
          <cell r="J19">
            <v>1.0499999999999999E-3</v>
          </cell>
        </row>
      </sheetData>
      <sheetData sheetId="699">
        <row r="19">
          <cell r="J19">
            <v>1.0499999999999999E-3</v>
          </cell>
        </row>
      </sheetData>
      <sheetData sheetId="700">
        <row r="19">
          <cell r="J19">
            <v>1.0499999999999999E-3</v>
          </cell>
        </row>
      </sheetData>
      <sheetData sheetId="701">
        <row r="19">
          <cell r="J19">
            <v>1.0499999999999999E-3</v>
          </cell>
        </row>
      </sheetData>
      <sheetData sheetId="702">
        <row r="19">
          <cell r="J19">
            <v>1.0499999999999999E-3</v>
          </cell>
        </row>
      </sheetData>
      <sheetData sheetId="703">
        <row r="19">
          <cell r="J19">
            <v>1.0499999999999999E-3</v>
          </cell>
        </row>
      </sheetData>
      <sheetData sheetId="704">
        <row r="19">
          <cell r="J19">
            <v>1.0499999999999999E-3</v>
          </cell>
        </row>
      </sheetData>
      <sheetData sheetId="705">
        <row r="19">
          <cell r="J19">
            <v>1.0499999999999999E-3</v>
          </cell>
        </row>
      </sheetData>
      <sheetData sheetId="706">
        <row r="19">
          <cell r="J19">
            <v>1.0499999999999999E-3</v>
          </cell>
        </row>
      </sheetData>
      <sheetData sheetId="707">
        <row r="19">
          <cell r="J19">
            <v>1.0499999999999999E-3</v>
          </cell>
        </row>
      </sheetData>
      <sheetData sheetId="708">
        <row r="19">
          <cell r="J19">
            <v>1.0499999999999999E-3</v>
          </cell>
        </row>
      </sheetData>
      <sheetData sheetId="709">
        <row r="19">
          <cell r="J19">
            <v>1.0499999999999999E-3</v>
          </cell>
        </row>
      </sheetData>
      <sheetData sheetId="710">
        <row r="19">
          <cell r="J19">
            <v>1.0499999999999999E-3</v>
          </cell>
        </row>
      </sheetData>
      <sheetData sheetId="711">
        <row r="19">
          <cell r="J19">
            <v>1.0499999999999999E-3</v>
          </cell>
        </row>
      </sheetData>
      <sheetData sheetId="712">
        <row r="19">
          <cell r="J19">
            <v>1.0499999999999999E-3</v>
          </cell>
        </row>
      </sheetData>
      <sheetData sheetId="713">
        <row r="19">
          <cell r="J19">
            <v>1.0499999999999999E-3</v>
          </cell>
        </row>
      </sheetData>
      <sheetData sheetId="714">
        <row r="19">
          <cell r="J19">
            <v>1.0499999999999999E-3</v>
          </cell>
        </row>
      </sheetData>
      <sheetData sheetId="715">
        <row r="19">
          <cell r="J19">
            <v>1.0499999999999999E-3</v>
          </cell>
        </row>
      </sheetData>
      <sheetData sheetId="716">
        <row r="19">
          <cell r="J19">
            <v>1.0499999999999999E-3</v>
          </cell>
        </row>
      </sheetData>
      <sheetData sheetId="717">
        <row r="19">
          <cell r="J19">
            <v>1.0499999999999999E-3</v>
          </cell>
        </row>
      </sheetData>
      <sheetData sheetId="718">
        <row r="19">
          <cell r="J19">
            <v>1.0499999999999999E-3</v>
          </cell>
        </row>
      </sheetData>
      <sheetData sheetId="719">
        <row r="19">
          <cell r="J19">
            <v>1.0499999999999999E-3</v>
          </cell>
        </row>
      </sheetData>
      <sheetData sheetId="720">
        <row r="19">
          <cell r="J19">
            <v>1.0499999999999999E-3</v>
          </cell>
        </row>
      </sheetData>
      <sheetData sheetId="721">
        <row r="19">
          <cell r="J19">
            <v>1.0499999999999999E-3</v>
          </cell>
        </row>
      </sheetData>
      <sheetData sheetId="722">
        <row r="19">
          <cell r="J19">
            <v>1.0499999999999999E-3</v>
          </cell>
        </row>
      </sheetData>
      <sheetData sheetId="723">
        <row r="19">
          <cell r="J19">
            <v>1.0499999999999999E-3</v>
          </cell>
        </row>
      </sheetData>
      <sheetData sheetId="724">
        <row r="19">
          <cell r="J19">
            <v>1.0499999999999999E-3</v>
          </cell>
        </row>
      </sheetData>
      <sheetData sheetId="725">
        <row r="19">
          <cell r="J19">
            <v>1.0499999999999999E-3</v>
          </cell>
        </row>
      </sheetData>
      <sheetData sheetId="726">
        <row r="19">
          <cell r="J19">
            <v>1.0499999999999999E-3</v>
          </cell>
        </row>
      </sheetData>
      <sheetData sheetId="727">
        <row r="19">
          <cell r="J19">
            <v>1.0499999999999999E-3</v>
          </cell>
        </row>
      </sheetData>
      <sheetData sheetId="728">
        <row r="19">
          <cell r="J19">
            <v>1.0499999999999999E-3</v>
          </cell>
        </row>
      </sheetData>
      <sheetData sheetId="729">
        <row r="19">
          <cell r="J19">
            <v>1.0499999999999999E-3</v>
          </cell>
        </row>
      </sheetData>
      <sheetData sheetId="730">
        <row r="19">
          <cell r="J19">
            <v>1.0499999999999999E-3</v>
          </cell>
        </row>
      </sheetData>
      <sheetData sheetId="731">
        <row r="19">
          <cell r="J19">
            <v>1.0499999999999999E-3</v>
          </cell>
        </row>
      </sheetData>
      <sheetData sheetId="732">
        <row r="19">
          <cell r="J19">
            <v>1.0499999999999999E-3</v>
          </cell>
        </row>
      </sheetData>
      <sheetData sheetId="733">
        <row r="19">
          <cell r="J19">
            <v>1.0499999999999999E-3</v>
          </cell>
        </row>
      </sheetData>
      <sheetData sheetId="734">
        <row r="19">
          <cell r="J19">
            <v>1.0499999999999999E-3</v>
          </cell>
        </row>
      </sheetData>
      <sheetData sheetId="735">
        <row r="19">
          <cell r="J19">
            <v>1.0499999999999999E-3</v>
          </cell>
        </row>
      </sheetData>
      <sheetData sheetId="736">
        <row r="19">
          <cell r="J19">
            <v>1.0499999999999999E-3</v>
          </cell>
        </row>
      </sheetData>
      <sheetData sheetId="737">
        <row r="19">
          <cell r="J19">
            <v>1.0499999999999999E-3</v>
          </cell>
        </row>
      </sheetData>
      <sheetData sheetId="738">
        <row r="19">
          <cell r="J19">
            <v>1.0499999999999999E-3</v>
          </cell>
        </row>
      </sheetData>
      <sheetData sheetId="739">
        <row r="19">
          <cell r="J19">
            <v>1.0499999999999999E-3</v>
          </cell>
        </row>
      </sheetData>
      <sheetData sheetId="740">
        <row r="19">
          <cell r="J19">
            <v>1.0499999999999999E-3</v>
          </cell>
        </row>
      </sheetData>
      <sheetData sheetId="741">
        <row r="19">
          <cell r="J19">
            <v>1.0499999999999999E-3</v>
          </cell>
        </row>
      </sheetData>
      <sheetData sheetId="742">
        <row r="19">
          <cell r="J19">
            <v>1.0499999999999999E-3</v>
          </cell>
        </row>
      </sheetData>
      <sheetData sheetId="743">
        <row r="19">
          <cell r="J19">
            <v>1.0499999999999999E-3</v>
          </cell>
        </row>
      </sheetData>
      <sheetData sheetId="744">
        <row r="19">
          <cell r="J19">
            <v>1.0499999999999999E-3</v>
          </cell>
        </row>
      </sheetData>
      <sheetData sheetId="745">
        <row r="19">
          <cell r="J19">
            <v>1.0499999999999999E-3</v>
          </cell>
        </row>
      </sheetData>
      <sheetData sheetId="746">
        <row r="19">
          <cell r="J19">
            <v>1.0499999999999999E-3</v>
          </cell>
        </row>
      </sheetData>
      <sheetData sheetId="747">
        <row r="19">
          <cell r="J19">
            <v>1.0499999999999999E-3</v>
          </cell>
        </row>
      </sheetData>
      <sheetData sheetId="748">
        <row r="19">
          <cell r="J19">
            <v>1.0499999999999999E-3</v>
          </cell>
        </row>
      </sheetData>
      <sheetData sheetId="749">
        <row r="19">
          <cell r="J19">
            <v>1.0499999999999999E-3</v>
          </cell>
        </row>
      </sheetData>
      <sheetData sheetId="750">
        <row r="19">
          <cell r="J19">
            <v>1.0499999999999999E-3</v>
          </cell>
        </row>
      </sheetData>
      <sheetData sheetId="751">
        <row r="19">
          <cell r="J19">
            <v>1.0499999999999999E-3</v>
          </cell>
        </row>
      </sheetData>
      <sheetData sheetId="752">
        <row r="19">
          <cell r="J19">
            <v>1.0499999999999999E-3</v>
          </cell>
        </row>
      </sheetData>
      <sheetData sheetId="753">
        <row r="19">
          <cell r="J19">
            <v>1.0499999999999999E-3</v>
          </cell>
        </row>
      </sheetData>
      <sheetData sheetId="754">
        <row r="19">
          <cell r="J19">
            <v>1.0499999999999999E-3</v>
          </cell>
        </row>
      </sheetData>
      <sheetData sheetId="755">
        <row r="19">
          <cell r="J19">
            <v>1.0499999999999999E-3</v>
          </cell>
        </row>
      </sheetData>
      <sheetData sheetId="756">
        <row r="19">
          <cell r="J19">
            <v>1.0499999999999999E-3</v>
          </cell>
        </row>
      </sheetData>
      <sheetData sheetId="757">
        <row r="19">
          <cell r="J19">
            <v>1.0499999999999999E-3</v>
          </cell>
        </row>
      </sheetData>
      <sheetData sheetId="758">
        <row r="19">
          <cell r="J19">
            <v>1.0499999999999999E-3</v>
          </cell>
        </row>
      </sheetData>
      <sheetData sheetId="759">
        <row r="19">
          <cell r="J19">
            <v>1.0499999999999999E-3</v>
          </cell>
        </row>
      </sheetData>
      <sheetData sheetId="760">
        <row r="19">
          <cell r="J19">
            <v>1.0499999999999999E-3</v>
          </cell>
        </row>
      </sheetData>
      <sheetData sheetId="761">
        <row r="19">
          <cell r="J19">
            <v>1.0499999999999999E-3</v>
          </cell>
        </row>
      </sheetData>
      <sheetData sheetId="762">
        <row r="19">
          <cell r="J19">
            <v>1.0499999999999999E-3</v>
          </cell>
        </row>
      </sheetData>
      <sheetData sheetId="763">
        <row r="19">
          <cell r="J19">
            <v>1.0499999999999999E-3</v>
          </cell>
        </row>
      </sheetData>
      <sheetData sheetId="764">
        <row r="19">
          <cell r="J19">
            <v>1.0499999999999999E-3</v>
          </cell>
        </row>
      </sheetData>
      <sheetData sheetId="765">
        <row r="19">
          <cell r="J19">
            <v>1.0499999999999999E-3</v>
          </cell>
        </row>
      </sheetData>
      <sheetData sheetId="766">
        <row r="19">
          <cell r="J19">
            <v>1.0499999999999999E-3</v>
          </cell>
        </row>
      </sheetData>
      <sheetData sheetId="767">
        <row r="19">
          <cell r="J19">
            <v>1.0499999999999999E-3</v>
          </cell>
        </row>
      </sheetData>
      <sheetData sheetId="768">
        <row r="19">
          <cell r="J19">
            <v>1.0499999999999999E-3</v>
          </cell>
        </row>
      </sheetData>
      <sheetData sheetId="769">
        <row r="19">
          <cell r="J19">
            <v>1.0499999999999999E-3</v>
          </cell>
        </row>
      </sheetData>
      <sheetData sheetId="770">
        <row r="19">
          <cell r="J19">
            <v>1.0499999999999999E-3</v>
          </cell>
        </row>
      </sheetData>
      <sheetData sheetId="771">
        <row r="19">
          <cell r="J19">
            <v>1.0499999999999999E-3</v>
          </cell>
        </row>
      </sheetData>
      <sheetData sheetId="772">
        <row r="19">
          <cell r="J19">
            <v>1.0499999999999999E-3</v>
          </cell>
        </row>
      </sheetData>
      <sheetData sheetId="773">
        <row r="19">
          <cell r="J19">
            <v>1.0499999999999999E-3</v>
          </cell>
        </row>
      </sheetData>
      <sheetData sheetId="774">
        <row r="19">
          <cell r="J19">
            <v>1.0499999999999999E-3</v>
          </cell>
        </row>
      </sheetData>
      <sheetData sheetId="775">
        <row r="19">
          <cell r="J19">
            <v>1.0499999999999999E-3</v>
          </cell>
        </row>
      </sheetData>
      <sheetData sheetId="776">
        <row r="19">
          <cell r="J19">
            <v>1.0499999999999999E-3</v>
          </cell>
        </row>
      </sheetData>
      <sheetData sheetId="777">
        <row r="19">
          <cell r="J19">
            <v>1.0499999999999999E-3</v>
          </cell>
        </row>
      </sheetData>
      <sheetData sheetId="778">
        <row r="19">
          <cell r="J19">
            <v>1.0499999999999999E-3</v>
          </cell>
        </row>
      </sheetData>
      <sheetData sheetId="779">
        <row r="19">
          <cell r="J19">
            <v>1.0499999999999999E-3</v>
          </cell>
        </row>
      </sheetData>
      <sheetData sheetId="780">
        <row r="19">
          <cell r="J19">
            <v>1.0499999999999999E-3</v>
          </cell>
        </row>
      </sheetData>
      <sheetData sheetId="781">
        <row r="19">
          <cell r="J19">
            <v>1.0499999999999999E-3</v>
          </cell>
        </row>
      </sheetData>
      <sheetData sheetId="782">
        <row r="19">
          <cell r="J19">
            <v>1.0499999999999999E-3</v>
          </cell>
        </row>
      </sheetData>
      <sheetData sheetId="783">
        <row r="19">
          <cell r="J19">
            <v>1.0499999999999999E-3</v>
          </cell>
        </row>
      </sheetData>
      <sheetData sheetId="784">
        <row r="19">
          <cell r="J19">
            <v>1.0499999999999999E-3</v>
          </cell>
        </row>
      </sheetData>
      <sheetData sheetId="785">
        <row r="19">
          <cell r="J19">
            <v>1.0499999999999999E-3</v>
          </cell>
        </row>
      </sheetData>
      <sheetData sheetId="786">
        <row r="19">
          <cell r="J19">
            <v>1.0499999999999999E-3</v>
          </cell>
        </row>
      </sheetData>
      <sheetData sheetId="787">
        <row r="19">
          <cell r="J19">
            <v>1.0499999999999999E-3</v>
          </cell>
        </row>
      </sheetData>
      <sheetData sheetId="788">
        <row r="19">
          <cell r="J19">
            <v>1.0499999999999999E-3</v>
          </cell>
        </row>
      </sheetData>
      <sheetData sheetId="789">
        <row r="19">
          <cell r="J19">
            <v>1.0499999999999999E-3</v>
          </cell>
        </row>
      </sheetData>
      <sheetData sheetId="790">
        <row r="19">
          <cell r="J19">
            <v>1.0499999999999999E-3</v>
          </cell>
        </row>
      </sheetData>
      <sheetData sheetId="791">
        <row r="19">
          <cell r="J19">
            <v>1.0499999999999999E-3</v>
          </cell>
        </row>
      </sheetData>
      <sheetData sheetId="792">
        <row r="19">
          <cell r="J19">
            <v>1.0499999999999999E-3</v>
          </cell>
        </row>
      </sheetData>
      <sheetData sheetId="793">
        <row r="19">
          <cell r="J19">
            <v>1.0499999999999999E-3</v>
          </cell>
        </row>
      </sheetData>
      <sheetData sheetId="794">
        <row r="19">
          <cell r="J19">
            <v>1.0499999999999999E-3</v>
          </cell>
        </row>
      </sheetData>
      <sheetData sheetId="795">
        <row r="19">
          <cell r="J19">
            <v>1.0499999999999999E-3</v>
          </cell>
        </row>
      </sheetData>
      <sheetData sheetId="796">
        <row r="19">
          <cell r="J19">
            <v>1.0499999999999999E-3</v>
          </cell>
        </row>
      </sheetData>
      <sheetData sheetId="797">
        <row r="19">
          <cell r="J19">
            <v>1.0499999999999999E-3</v>
          </cell>
        </row>
      </sheetData>
      <sheetData sheetId="798">
        <row r="19">
          <cell r="J19">
            <v>1.0499999999999999E-3</v>
          </cell>
        </row>
      </sheetData>
      <sheetData sheetId="799">
        <row r="19">
          <cell r="J19">
            <v>1.0499999999999999E-3</v>
          </cell>
        </row>
      </sheetData>
      <sheetData sheetId="800">
        <row r="19">
          <cell r="J19">
            <v>1.0499999999999999E-3</v>
          </cell>
        </row>
      </sheetData>
      <sheetData sheetId="801">
        <row r="19">
          <cell r="J19">
            <v>1.0499999999999999E-3</v>
          </cell>
        </row>
      </sheetData>
      <sheetData sheetId="802">
        <row r="19">
          <cell r="J19">
            <v>1.0499999999999999E-3</v>
          </cell>
        </row>
      </sheetData>
      <sheetData sheetId="803">
        <row r="19">
          <cell r="J19">
            <v>1.0499999999999999E-3</v>
          </cell>
        </row>
      </sheetData>
      <sheetData sheetId="804">
        <row r="19">
          <cell r="J19">
            <v>1.0499999999999999E-3</v>
          </cell>
        </row>
      </sheetData>
      <sheetData sheetId="805">
        <row r="19">
          <cell r="J19">
            <v>1.0499999999999999E-3</v>
          </cell>
        </row>
      </sheetData>
      <sheetData sheetId="806">
        <row r="19">
          <cell r="J19">
            <v>1.0499999999999999E-3</v>
          </cell>
        </row>
      </sheetData>
      <sheetData sheetId="807">
        <row r="19">
          <cell r="J19">
            <v>1.0499999999999999E-3</v>
          </cell>
        </row>
      </sheetData>
      <sheetData sheetId="808">
        <row r="19">
          <cell r="J19">
            <v>1.0499999999999999E-3</v>
          </cell>
        </row>
      </sheetData>
      <sheetData sheetId="809">
        <row r="19">
          <cell r="J19">
            <v>1.0499999999999999E-3</v>
          </cell>
        </row>
      </sheetData>
      <sheetData sheetId="810">
        <row r="19">
          <cell r="J19">
            <v>1.0499999999999999E-3</v>
          </cell>
        </row>
      </sheetData>
      <sheetData sheetId="811">
        <row r="19">
          <cell r="J19">
            <v>1.0499999999999999E-3</v>
          </cell>
        </row>
      </sheetData>
      <sheetData sheetId="812">
        <row r="19">
          <cell r="J19">
            <v>1.0499999999999999E-3</v>
          </cell>
        </row>
      </sheetData>
      <sheetData sheetId="813">
        <row r="19">
          <cell r="J19">
            <v>1.0499999999999999E-3</v>
          </cell>
        </row>
      </sheetData>
      <sheetData sheetId="814">
        <row r="19">
          <cell r="J19">
            <v>1.0499999999999999E-3</v>
          </cell>
        </row>
      </sheetData>
      <sheetData sheetId="815">
        <row r="19">
          <cell r="J19">
            <v>1.0499999999999999E-3</v>
          </cell>
        </row>
      </sheetData>
      <sheetData sheetId="816">
        <row r="19">
          <cell r="J19">
            <v>1.0499999999999999E-3</v>
          </cell>
        </row>
      </sheetData>
      <sheetData sheetId="817">
        <row r="19">
          <cell r="J19">
            <v>1.0499999999999999E-3</v>
          </cell>
        </row>
      </sheetData>
      <sheetData sheetId="818">
        <row r="19">
          <cell r="J19">
            <v>1.0499999999999999E-3</v>
          </cell>
        </row>
      </sheetData>
      <sheetData sheetId="819">
        <row r="19">
          <cell r="J19">
            <v>1.0499999999999999E-3</v>
          </cell>
        </row>
      </sheetData>
      <sheetData sheetId="820">
        <row r="19">
          <cell r="J19">
            <v>1.0499999999999999E-3</v>
          </cell>
        </row>
      </sheetData>
      <sheetData sheetId="821">
        <row r="19">
          <cell r="J19">
            <v>1.0499999999999999E-3</v>
          </cell>
        </row>
      </sheetData>
      <sheetData sheetId="822">
        <row r="19">
          <cell r="J19">
            <v>1.0499999999999999E-3</v>
          </cell>
        </row>
      </sheetData>
      <sheetData sheetId="823">
        <row r="19">
          <cell r="J19">
            <v>1.0499999999999999E-3</v>
          </cell>
        </row>
      </sheetData>
      <sheetData sheetId="824">
        <row r="19">
          <cell r="J19">
            <v>1.0499999999999999E-3</v>
          </cell>
        </row>
      </sheetData>
      <sheetData sheetId="825">
        <row r="19">
          <cell r="J19">
            <v>1.0499999999999999E-3</v>
          </cell>
        </row>
      </sheetData>
      <sheetData sheetId="826">
        <row r="19">
          <cell r="J19">
            <v>1.0499999999999999E-3</v>
          </cell>
        </row>
      </sheetData>
      <sheetData sheetId="827">
        <row r="19">
          <cell r="J19">
            <v>1.0499999999999999E-3</v>
          </cell>
        </row>
      </sheetData>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ow r="19">
          <cell r="J19">
            <v>1.0499999999999999E-3</v>
          </cell>
        </row>
      </sheetData>
      <sheetData sheetId="991"/>
      <sheetData sheetId="992">
        <row r="19">
          <cell r="J19">
            <v>1.0499999999999999E-3</v>
          </cell>
        </row>
      </sheetData>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sheetData sheetId="1012" refreshError="1"/>
      <sheetData sheetId="1013" refreshError="1"/>
      <sheetData sheetId="1014">
        <row r="19">
          <cell r="J19">
            <v>1.0499999999999999E-3</v>
          </cell>
        </row>
      </sheetData>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sheetData sheetId="1393" refreshError="1"/>
      <sheetData sheetId="1394" refreshError="1"/>
      <sheetData sheetId="1395" refreshError="1"/>
      <sheetData sheetId="1396" refreshError="1"/>
      <sheetData sheetId="139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PBEXqueries"/>
      <sheetName val="SAPBEXfilters"/>
      <sheetName val="TestSAPVariables"/>
      <sheetName val="PostingSheetBoth"/>
      <sheetName val="Reviewers"/>
      <sheetName val="DisclosureSummary"/>
      <sheetName val="PostingValues"/>
      <sheetName val="PostingReportGenerator"/>
      <sheetName val="PostingReport"/>
      <sheetName val="ControlChecksOld"/>
      <sheetName val="Currencies"/>
      <sheetName val="ReviewerNames"/>
      <sheetName val="RunTypes"/>
      <sheetName val="Territories"/>
      <sheetName val="ControlChecksDetailed"/>
      <sheetName val="ControlChecks"/>
      <sheetName val="A-CompanyInfo"/>
      <sheetName val="B-ProfitBeforeTax"/>
      <sheetName val="C-CurrentTaxComp"/>
      <sheetName val="D-CurrentTaxInEquity"/>
      <sheetName val="E-DeferredTax"/>
      <sheetName val="Ea-FixedAssets"/>
      <sheetName val="Eb-FirstTimeAdoptionAdjs"/>
      <sheetName val="Ec-TaxLosses"/>
      <sheetName val="Ed-TaxCredits"/>
      <sheetName val="ListBox"/>
      <sheetName val="F-TaxAccount"/>
      <sheetName val="MappingData"/>
      <sheetName val="D-DeferredTaxComputation"/>
      <sheetName val="wksCommandBars"/>
      <sheetName val="PostingSheetProforma"/>
      <sheetName val="Dev$Vars"/>
      <sheetName val="G-PostingSplit"/>
      <sheetName val="ProfitCentres"/>
      <sheetName val="TrialBala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7">
          <cell r="F7">
            <v>38898</v>
          </cell>
        </row>
        <row r="8">
          <cell r="F8">
            <v>1065</v>
          </cell>
        </row>
        <row r="9">
          <cell r="F9" t="str">
            <v>Bisco</v>
          </cell>
        </row>
        <row r="12">
          <cell r="F12" t="str">
            <v xml:space="preserve">Japan </v>
          </cell>
        </row>
        <row r="13">
          <cell r="F13" t="str">
            <v>EUR</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row r="45">
          <cell r="A45" t="str">
            <v>FRP0</v>
          </cell>
          <cell r="B45" t="str">
            <v>Group Chart of Accounts Hierarchy</v>
          </cell>
          <cell r="C45">
            <v>6902637.0499999998</v>
          </cell>
        </row>
        <row r="46">
          <cell r="A46" t="str">
            <v>FR2000000</v>
          </cell>
          <cell r="B46" t="str">
            <v>Total Liabilities</v>
          </cell>
          <cell r="C46">
            <v>6902637.0599999996</v>
          </cell>
        </row>
        <row r="47">
          <cell r="A47" t="str">
            <v>FR2000004</v>
          </cell>
          <cell r="B47" t="str">
            <v>Non-Customer Liabilities</v>
          </cell>
          <cell r="C47">
            <v>-668690.1</v>
          </cell>
        </row>
        <row r="48">
          <cell r="A48" t="str">
            <v>FR2320000</v>
          </cell>
          <cell r="B48" t="str">
            <v>Provisions  -Oth Liab &amp; Chgs</v>
          </cell>
          <cell r="C48">
            <v>-5768756.0300000003</v>
          </cell>
        </row>
        <row r="49">
          <cell r="A49" t="str">
            <v>FR2329000</v>
          </cell>
          <cell r="B49" t="str">
            <v>Sundry Provisions</v>
          </cell>
          <cell r="C49">
            <v>-5768756.0300000003</v>
          </cell>
        </row>
        <row r="50">
          <cell r="A50" t="str">
            <v>G2324100</v>
          </cell>
          <cell r="B50" t="str">
            <v>PROV  Oth Liab&amp;Chrg Sdry-Opening Bal</v>
          </cell>
          <cell r="C50">
            <v>-5768756.0300000003</v>
          </cell>
        </row>
        <row r="51">
          <cell r="A51" t="str">
            <v>G2324500</v>
          </cell>
          <cell r="B51" t="str">
            <v>PROV  Oth Liab&amp;Chrg Sdry-New/Increased P</v>
          </cell>
          <cell r="C51">
            <v>0</v>
          </cell>
        </row>
        <row r="52">
          <cell r="A52" t="str">
            <v>G2324700</v>
          </cell>
          <cell r="B52" t="str">
            <v>PROV  Oth Liab&amp;Chrg Sdry-Amounts Paid</v>
          </cell>
          <cell r="C52">
            <v>0</v>
          </cell>
        </row>
        <row r="53">
          <cell r="A53" t="str">
            <v>FR2200000</v>
          </cell>
          <cell r="B53" t="str">
            <v>Other Liabilities &amp; Accruals</v>
          </cell>
          <cell r="C53">
            <v>65.88</v>
          </cell>
        </row>
        <row r="54">
          <cell r="A54" t="str">
            <v>G2290000</v>
          </cell>
          <cell r="B54" t="str">
            <v>OTH ASS,ACCR&amp;P/PYT-Other</v>
          </cell>
          <cell r="C54">
            <v>65.88</v>
          </cell>
        </row>
        <row r="55">
          <cell r="A55" t="str">
            <v>FR2211000</v>
          </cell>
          <cell r="B55" t="str">
            <v>Current Tax Closing Balance</v>
          </cell>
          <cell r="C55">
            <v>5100000.05</v>
          </cell>
        </row>
        <row r="56">
          <cell r="A56" t="str">
            <v>G2211100</v>
          </cell>
          <cell r="B56" t="str">
            <v>OTH LIAB&amp;ACCR Tax Curr-Opening Balance</v>
          </cell>
          <cell r="C56">
            <v>5100000.05</v>
          </cell>
        </row>
        <row r="57">
          <cell r="A57" t="str">
            <v>G2211920</v>
          </cell>
          <cell r="B57" t="str">
            <v>OTH LIAB&amp;ACCR Tax Curr-Profit&amp;Loss Accou</v>
          </cell>
          <cell r="C57">
            <v>0</v>
          </cell>
        </row>
        <row r="58">
          <cell r="A58" t="str">
            <v>FR2000002</v>
          </cell>
          <cell r="B58" t="str">
            <v>Internal Liabilities</v>
          </cell>
          <cell r="C58">
            <v>-4328672.97</v>
          </cell>
        </row>
        <row r="59">
          <cell r="A59" t="str">
            <v>FR2800000</v>
          </cell>
          <cell r="B59" t="str">
            <v>Internal Credit Balances</v>
          </cell>
          <cell r="C59">
            <v>-4328672.97</v>
          </cell>
        </row>
        <row r="60">
          <cell r="A60" t="str">
            <v>G2891400</v>
          </cell>
          <cell r="B60" t="str">
            <v>Internal Cr Bal with BBPLC-Other Accrual</v>
          </cell>
          <cell r="C60">
            <v>-4328672.97</v>
          </cell>
        </row>
        <row r="61">
          <cell r="A61" t="str">
            <v>FR2000003</v>
          </cell>
          <cell r="B61" t="str">
            <v>Capital</v>
          </cell>
          <cell r="C61">
            <v>11900000.130000001</v>
          </cell>
        </row>
        <row r="62">
          <cell r="A62" t="str">
            <v>FR2530000</v>
          </cell>
          <cell r="B62" t="str">
            <v>Reserves</v>
          </cell>
          <cell r="C62">
            <v>11900000.130000001</v>
          </cell>
        </row>
        <row r="63">
          <cell r="A63" t="str">
            <v>FR2537000</v>
          </cell>
          <cell r="B63" t="str">
            <v>Retained Profit Reserves (inc.Holsa)</v>
          </cell>
          <cell r="C63">
            <v>11900000.130000001</v>
          </cell>
        </row>
        <row r="64">
          <cell r="A64" t="str">
            <v>FR2537100</v>
          </cell>
          <cell r="B64" t="str">
            <v>Retained Profit Reserves Open Bal</v>
          </cell>
          <cell r="C64">
            <v>11900000.130000001</v>
          </cell>
        </row>
        <row r="65">
          <cell r="A65" t="str">
            <v>G2537100</v>
          </cell>
          <cell r="B65" t="str">
            <v>MIN INT&amp;S/HOLD FND Res Rtnd Pft Res-Open</v>
          </cell>
          <cell r="C65">
            <v>11900000.130000001</v>
          </cell>
        </row>
        <row r="66">
          <cell r="A66" t="str">
            <v>FR3000002</v>
          </cell>
          <cell r="B66" t="str">
            <v>Profit &amp; Loss Account check total</v>
          </cell>
          <cell r="C66">
            <v>0</v>
          </cell>
        </row>
        <row r="67">
          <cell r="A67" t="str">
            <v>FR3000005</v>
          </cell>
          <cell r="B67" t="str">
            <v>Profit Retained</v>
          </cell>
          <cell r="C67">
            <v>0</v>
          </cell>
        </row>
        <row r="68">
          <cell r="A68" t="str">
            <v>FR3000010</v>
          </cell>
          <cell r="B68" t="str">
            <v>Profit Attributable</v>
          </cell>
          <cell r="C68">
            <v>0</v>
          </cell>
        </row>
        <row r="69">
          <cell r="A69" t="str">
            <v>FR3000015</v>
          </cell>
          <cell r="B69" t="str">
            <v>Profit After Tax-Continuing Operations</v>
          </cell>
          <cell r="C69">
            <v>0</v>
          </cell>
        </row>
        <row r="70">
          <cell r="A70" t="str">
            <v>FR7400000</v>
          </cell>
          <cell r="B70" t="str">
            <v>Taxation</v>
          </cell>
          <cell r="C70">
            <v>0</v>
          </cell>
        </row>
        <row r="71">
          <cell r="A71" t="str">
            <v>G7410000</v>
          </cell>
          <cell r="B71" t="str">
            <v>P&amp;L - Current Tax</v>
          </cell>
          <cell r="C71">
            <v>0</v>
          </cell>
        </row>
        <row r="72">
          <cell r="A72" t="str">
            <v>FR3000020</v>
          </cell>
          <cell r="B72" t="str">
            <v>Profit before Taxation</v>
          </cell>
          <cell r="C72">
            <v>0</v>
          </cell>
        </row>
        <row r="73">
          <cell r="A73" t="str">
            <v>FR3000025</v>
          </cell>
          <cell r="B73" t="str">
            <v>Operating Profit</v>
          </cell>
          <cell r="C73">
            <v>0</v>
          </cell>
        </row>
        <row r="74">
          <cell r="A74" t="str">
            <v>FR3000030</v>
          </cell>
          <cell r="B74" t="str">
            <v>Net Operating Income</v>
          </cell>
          <cell r="C74">
            <v>0</v>
          </cell>
        </row>
        <row r="75">
          <cell r="A75" t="str">
            <v>FR3000000</v>
          </cell>
          <cell r="B75" t="str">
            <v>Int &amp; Comm Recd/Paid &amp; Other Income</v>
          </cell>
          <cell r="C75">
            <v>0</v>
          </cell>
        </row>
        <row r="76">
          <cell r="A76" t="str">
            <v>FR3002000</v>
          </cell>
          <cell r="B76" t="str">
            <v>Total Other Operating Income</v>
          </cell>
          <cell r="C76">
            <v>0</v>
          </cell>
        </row>
        <row r="77">
          <cell r="A77" t="str">
            <v>FR3002300</v>
          </cell>
          <cell r="B77" t="str">
            <v>Total Other Income</v>
          </cell>
          <cell r="C77">
            <v>0</v>
          </cell>
        </row>
        <row r="78">
          <cell r="A78" t="str">
            <v>FR3790000</v>
          </cell>
          <cell r="B78" t="str">
            <v>Other</v>
          </cell>
          <cell r="C78">
            <v>0</v>
          </cell>
        </row>
        <row r="79">
          <cell r="A79" t="str">
            <v>G3730000</v>
          </cell>
          <cell r="B79" t="str">
            <v>EXT OTH INC-P&amp;L Other Income</v>
          </cell>
          <cell r="C79">
            <v>0</v>
          </cell>
        </row>
        <row r="80">
          <cell r="A80" t="str">
            <v>FR5000000</v>
          </cell>
          <cell r="B80" t="str">
            <v>Staff, Premises, Equipment &amp; Other Exps</v>
          </cell>
          <cell r="C80">
            <v>0</v>
          </cell>
        </row>
        <row r="81">
          <cell r="A81" t="str">
            <v>FR5800000</v>
          </cell>
          <cell r="B81" t="str">
            <v>Other Expenses</v>
          </cell>
          <cell r="C81">
            <v>0</v>
          </cell>
        </row>
        <row r="82">
          <cell r="A82" t="str">
            <v>FR5800001</v>
          </cell>
          <cell r="B82" t="str">
            <v>External Other Expenses</v>
          </cell>
          <cell r="C82">
            <v>0</v>
          </cell>
        </row>
        <row r="83">
          <cell r="A83" t="str">
            <v>FR5800012</v>
          </cell>
          <cell r="B83" t="str">
            <v>Other Costs</v>
          </cell>
          <cell r="C83">
            <v>0</v>
          </cell>
        </row>
        <row r="84">
          <cell r="A84" t="str">
            <v>G5891445</v>
          </cell>
          <cell r="B84" t="str">
            <v>Ext Oth Exp - Endowment redress costs</v>
          </cell>
          <cell r="C84">
            <v>0</v>
          </cell>
        </row>
        <row r="85">
          <cell r="A85" t="str">
            <v>FR8000000</v>
          </cell>
          <cell r="B85" t="str">
            <v>Non Balance Sheet / OBS / P&amp;L</v>
          </cell>
          <cell r="C85">
            <v>-0.01</v>
          </cell>
        </row>
        <row r="86">
          <cell r="A86" t="str">
            <v>FR8080000</v>
          </cell>
          <cell r="B86" t="str">
            <v>Management Memorandum Accounts</v>
          </cell>
          <cell r="C86">
            <v>-155074.91</v>
          </cell>
        </row>
        <row r="87">
          <cell r="A87" t="str">
            <v>FR8801220</v>
          </cell>
          <cell r="B87" t="str">
            <v>Group Management Adjustments</v>
          </cell>
          <cell r="C87">
            <v>-155074.91</v>
          </cell>
        </row>
        <row r="88">
          <cell r="A88" t="str">
            <v>G8800493</v>
          </cell>
          <cell r="B88" t="str">
            <v>Tax on relief ZCP int Adj (mgmt reportin</v>
          </cell>
          <cell r="C88">
            <v>66460.7</v>
          </cell>
        </row>
        <row r="89">
          <cell r="A89" t="str">
            <v>G8800463</v>
          </cell>
          <cell r="B89" t="str">
            <v>ZCP Interest Adjustment</v>
          </cell>
          <cell r="C89">
            <v>-221535.61</v>
          </cell>
        </row>
        <row r="90">
          <cell r="A90" t="str">
            <v>FR8082100</v>
          </cell>
          <cell r="B90" t="str">
            <v>ABS Total Average Liabilities</v>
          </cell>
          <cell r="C90">
            <v>0</v>
          </cell>
        </row>
        <row r="91">
          <cell r="A91" t="str">
            <v>FR8082106</v>
          </cell>
          <cell r="B91" t="str">
            <v>ABS Total Avg NonInt Bearing Liabilities</v>
          </cell>
          <cell r="C91">
            <v>0</v>
          </cell>
        </row>
        <row r="92">
          <cell r="A92" t="str">
            <v>FR8082115</v>
          </cell>
          <cell r="B92" t="str">
            <v>ABS Total Avg NonInt Brng Liabs-Banking</v>
          </cell>
          <cell r="C92">
            <v>0</v>
          </cell>
        </row>
        <row r="93">
          <cell r="A93" t="str">
            <v>FR8082193</v>
          </cell>
          <cell r="B93" t="str">
            <v>ABS NIB Liabs Bkng Ave Reserves</v>
          </cell>
          <cell r="C93">
            <v>0</v>
          </cell>
        </row>
        <row r="94">
          <cell r="A94" t="str">
            <v>G8820055</v>
          </cell>
          <cell r="B94" t="str">
            <v>AV BAL SHT- LIAB Av Reserves Stg</v>
          </cell>
          <cell r="C94">
            <v>0</v>
          </cell>
        </row>
        <row r="95">
          <cell r="A95" t="str">
            <v>FR8082178</v>
          </cell>
          <cell r="B95" t="str">
            <v>ABS NIB Liabs Bkng Other Liabs</v>
          </cell>
          <cell r="C95">
            <v>0</v>
          </cell>
        </row>
        <row r="96">
          <cell r="A96" t="str">
            <v>G8820037</v>
          </cell>
          <cell r="B96" t="str">
            <v>AV BAL SHT- LIAB Av Oth Liab no int Stg</v>
          </cell>
          <cell r="C96">
            <v>0</v>
          </cell>
        </row>
        <row r="97">
          <cell r="A97" t="str">
            <v>FR8082103</v>
          </cell>
          <cell r="B97" t="str">
            <v>ABS Total Avg Int Bearing Liabilities</v>
          </cell>
          <cell r="C97">
            <v>0</v>
          </cell>
        </row>
        <row r="98">
          <cell r="A98" t="str">
            <v>FR8082109</v>
          </cell>
          <cell r="B98" t="str">
            <v>ABS Total Avg Int Bearing Liabs-Banking</v>
          </cell>
          <cell r="C98">
            <v>0</v>
          </cell>
        </row>
        <row r="99">
          <cell r="A99" t="str">
            <v>FR8082157</v>
          </cell>
          <cell r="B99" t="str">
            <v>ABS IB Liabs Bkng Int Liab Bals</v>
          </cell>
          <cell r="C99">
            <v>0</v>
          </cell>
        </row>
        <row r="100">
          <cell r="A100" t="str">
            <v>G8820306</v>
          </cell>
          <cell r="B100" t="str">
            <v>Ave Int Balances - Int Bearing - Banking</v>
          </cell>
          <cell r="C100">
            <v>0</v>
          </cell>
        </row>
        <row r="101">
          <cell r="A101" t="str">
            <v>FR8999990</v>
          </cell>
          <cell r="B101" t="str">
            <v>Balancing Entry - Non-BSheet/OBS/P&amp;L</v>
          </cell>
          <cell r="C101">
            <v>155074.9</v>
          </cell>
        </row>
        <row r="102">
          <cell r="A102" t="str">
            <v>G8999999</v>
          </cell>
          <cell r="B102" t="str">
            <v>Balancing Entry - Non Balance Sheet/OBS/</v>
          </cell>
          <cell r="C102">
            <v>155074.9</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PBEXqueries"/>
      <sheetName val="SAPBEXfilters"/>
      <sheetName val="Summary SC_edit"/>
      <sheetName val="Total YTD_Full"/>
      <sheetName val="Pivot_Weighted_SC_edit"/>
      <sheetName val="Pivot_Weighted SC"/>
      <sheetName val="Pivot Table_Gross SC"/>
      <sheetName val="Data-NEW"/>
    </sheetNames>
    <sheetDataSet>
      <sheetData sheetId="0" refreshError="1"/>
      <sheetData sheetId="1" refreshError="1"/>
      <sheetData sheetId="2" refreshError="1"/>
      <sheetData sheetId="3" refreshError="1"/>
      <sheetData sheetId="4" refreshError="1">
        <row r="4">
          <cell r="A4" t="str">
            <v>Trading Company</v>
          </cell>
          <cell r="B4" t="str">
            <v>20092</v>
          </cell>
          <cell r="C4" t="str">
            <v>20106</v>
          </cell>
          <cell r="D4" t="str">
            <v>20108</v>
          </cell>
          <cell r="E4" t="str">
            <v>20200</v>
          </cell>
          <cell r="F4" t="str">
            <v>20210</v>
          </cell>
          <cell r="G4" t="str">
            <v>20211</v>
          </cell>
          <cell r="H4" t="str">
            <v>20217</v>
          </cell>
          <cell r="I4" t="str">
            <v>20239</v>
          </cell>
          <cell r="J4" t="str">
            <v>20248</v>
          </cell>
          <cell r="K4" t="str">
            <v>20647</v>
          </cell>
          <cell r="L4" t="str">
            <v>20722</v>
          </cell>
          <cell r="M4" t="str">
            <v>20853</v>
          </cell>
          <cell r="N4" t="str">
            <v>20861</v>
          </cell>
          <cell r="O4" t="str">
            <v>21154</v>
          </cell>
          <cell r="P4" t="str">
            <v>21225</v>
          </cell>
          <cell r="Q4" t="str">
            <v>22554</v>
          </cell>
          <cell r="R4" t="str">
            <v>22555</v>
          </cell>
          <cell r="S4" t="str">
            <v>24470</v>
          </cell>
          <cell r="T4" t="str">
            <v>29269</v>
          </cell>
          <cell r="U4" t="str">
            <v>Grand Total</v>
          </cell>
        </row>
        <row r="5">
          <cell r="A5" t="str">
            <v>TC20092A</v>
          </cell>
          <cell r="B5">
            <v>9568566.629999999</v>
          </cell>
          <cell r="C5">
            <v>836658.62</v>
          </cell>
          <cell r="H5">
            <v>99449</v>
          </cell>
          <cell r="I5">
            <v>3878.94</v>
          </cell>
          <cell r="J5">
            <v>282804.65999999997</v>
          </cell>
          <cell r="L5">
            <v>3005.7</v>
          </cell>
          <cell r="M5">
            <v>57720</v>
          </cell>
          <cell r="N5">
            <v>889133.12</v>
          </cell>
          <cell r="U5">
            <v>11741216.669999996</v>
          </cell>
        </row>
        <row r="6">
          <cell r="A6" t="str">
            <v>TC20106A</v>
          </cell>
          <cell r="B6">
            <v>5378.58</v>
          </cell>
          <cell r="C6">
            <v>22889841.230000015</v>
          </cell>
          <cell r="D6">
            <v>106560</v>
          </cell>
          <cell r="E6">
            <v>9208.6299999999992</v>
          </cell>
          <cell r="H6">
            <v>679457.75</v>
          </cell>
          <cell r="J6">
            <v>60349.440000000002</v>
          </cell>
          <cell r="L6">
            <v>52146.87</v>
          </cell>
          <cell r="M6">
            <v>752017.09</v>
          </cell>
          <cell r="N6">
            <v>1383081.08</v>
          </cell>
          <cell r="O6">
            <v>49737.41</v>
          </cell>
          <cell r="T6">
            <v>115009.98</v>
          </cell>
          <cell r="U6">
            <v>26102788.060000017</v>
          </cell>
        </row>
        <row r="7">
          <cell r="A7" t="str">
            <v>TC20108A</v>
          </cell>
          <cell r="C7">
            <v>16477.599999999999</v>
          </cell>
          <cell r="L7">
            <v>753869.02</v>
          </cell>
          <cell r="N7">
            <v>589.13</v>
          </cell>
          <cell r="O7">
            <v>619.21</v>
          </cell>
          <cell r="U7">
            <v>771554.96</v>
          </cell>
        </row>
        <row r="8">
          <cell r="A8" t="str">
            <v>TC20175A</v>
          </cell>
          <cell r="C8">
            <v>34504.86</v>
          </cell>
          <cell r="H8">
            <v>118924.19</v>
          </cell>
          <cell r="I8">
            <v>4105.88</v>
          </cell>
          <cell r="N8">
            <v>9970.34</v>
          </cell>
          <cell r="U8">
            <v>167505.26999999999</v>
          </cell>
        </row>
        <row r="9">
          <cell r="A9" t="str">
            <v>TC20200A</v>
          </cell>
          <cell r="B9">
            <v>194967.82</v>
          </cell>
          <cell r="C9">
            <v>4186573.56</v>
          </cell>
          <cell r="E9">
            <v>1810858.88</v>
          </cell>
          <cell r="H9">
            <v>9752.89</v>
          </cell>
          <cell r="J9">
            <v>25725</v>
          </cell>
          <cell r="L9">
            <v>4453.9799999999996</v>
          </cell>
          <cell r="M9">
            <v>353966.07</v>
          </cell>
          <cell r="N9">
            <v>3625449.52</v>
          </cell>
          <cell r="O9">
            <v>47489.58</v>
          </cell>
          <cell r="T9">
            <v>37883.97</v>
          </cell>
          <cell r="U9">
            <v>10297121.270000003</v>
          </cell>
        </row>
        <row r="10">
          <cell r="A10" t="str">
            <v>TC20210A</v>
          </cell>
          <cell r="C10">
            <v>257133.92</v>
          </cell>
          <cell r="H10">
            <v>1146752.57</v>
          </cell>
          <cell r="I10">
            <v>4441.2700000000004</v>
          </cell>
          <cell r="N10">
            <v>72704.73</v>
          </cell>
          <cell r="T10">
            <v>92.22</v>
          </cell>
          <cell r="U10">
            <v>1481124.71</v>
          </cell>
        </row>
        <row r="11">
          <cell r="A11" t="str">
            <v>TC20211A</v>
          </cell>
          <cell r="B11">
            <v>16819.88</v>
          </cell>
          <cell r="C11">
            <v>3767914.57</v>
          </cell>
          <cell r="G11">
            <v>66951.42</v>
          </cell>
          <cell r="H11">
            <v>20852.310000000001</v>
          </cell>
          <cell r="U11">
            <v>3872538.18</v>
          </cell>
        </row>
        <row r="12">
          <cell r="A12" t="str">
            <v>TC20217A</v>
          </cell>
          <cell r="B12">
            <v>2948806.7</v>
          </cell>
          <cell r="C12">
            <v>15194.6</v>
          </cell>
          <cell r="D12">
            <v>4497.21</v>
          </cell>
          <cell r="H12">
            <v>360.79</v>
          </cell>
          <cell r="I12">
            <v>0.2</v>
          </cell>
          <cell r="U12">
            <v>2968859.5</v>
          </cell>
        </row>
        <row r="13">
          <cell r="A13" t="str">
            <v>TC20239A</v>
          </cell>
          <cell r="B13">
            <v>88905.56</v>
          </cell>
          <cell r="C13">
            <v>131801.29</v>
          </cell>
          <cell r="E13">
            <v>1413.43</v>
          </cell>
          <cell r="F13">
            <v>24669.95</v>
          </cell>
          <cell r="H13">
            <v>14726.52</v>
          </cell>
          <cell r="I13">
            <v>560656.63</v>
          </cell>
          <cell r="J13">
            <v>34951.86</v>
          </cell>
          <cell r="L13">
            <v>157626.54999999999</v>
          </cell>
          <cell r="M13">
            <v>1579.91</v>
          </cell>
          <cell r="N13">
            <v>1671795.23</v>
          </cell>
          <cell r="O13">
            <v>34.630000000000003</v>
          </cell>
          <cell r="S13">
            <v>0.75</v>
          </cell>
          <cell r="T13">
            <v>4899.3900000000003</v>
          </cell>
          <cell r="U13">
            <v>2693061.7</v>
          </cell>
        </row>
        <row r="14">
          <cell r="A14" t="str">
            <v>TC20248A</v>
          </cell>
          <cell r="B14">
            <v>2354786.38</v>
          </cell>
          <cell r="C14">
            <v>2619194.37</v>
          </cell>
          <cell r="H14">
            <v>54459.71</v>
          </cell>
          <cell r="I14">
            <v>1775.66</v>
          </cell>
          <cell r="J14">
            <v>94392.99</v>
          </cell>
          <cell r="L14">
            <v>83076.05</v>
          </cell>
          <cell r="M14">
            <v>18299.060000000001</v>
          </cell>
          <cell r="N14">
            <v>644488.43000000005</v>
          </cell>
          <cell r="U14">
            <v>5870472.6499999994</v>
          </cell>
        </row>
        <row r="15">
          <cell r="A15" t="str">
            <v>TC20647A</v>
          </cell>
          <cell r="B15">
            <v>727936.43</v>
          </cell>
          <cell r="C15">
            <v>2444290.5</v>
          </cell>
          <cell r="E15">
            <v>11909.56</v>
          </cell>
          <cell r="H15">
            <v>5648664.0200000033</v>
          </cell>
          <cell r="I15">
            <v>915.54</v>
          </cell>
          <cell r="J15">
            <v>14791.02</v>
          </cell>
          <cell r="K15">
            <v>675.64</v>
          </cell>
          <cell r="L15">
            <v>695688.45</v>
          </cell>
          <cell r="M15">
            <v>1440727.33</v>
          </cell>
          <cell r="N15">
            <v>1791531.3</v>
          </cell>
          <cell r="O15">
            <v>177560.52</v>
          </cell>
          <cell r="U15">
            <v>12954690.310000002</v>
          </cell>
        </row>
        <row r="16">
          <cell r="A16" t="str">
            <v>TC20705A</v>
          </cell>
          <cell r="C16">
            <v>414.84</v>
          </cell>
          <cell r="U16">
            <v>414.84</v>
          </cell>
        </row>
        <row r="17">
          <cell r="A17" t="str">
            <v>TC20716A</v>
          </cell>
          <cell r="B17">
            <v>2814.7</v>
          </cell>
          <cell r="C17">
            <v>260223.74</v>
          </cell>
          <cell r="E17">
            <v>9453.0400000000009</v>
          </cell>
          <cell r="F17">
            <v>250384.81</v>
          </cell>
          <cell r="H17">
            <v>3942.47</v>
          </cell>
          <cell r="I17">
            <v>10188.93</v>
          </cell>
          <cell r="J17">
            <v>9258.8700000000008</v>
          </cell>
          <cell r="L17">
            <v>1107805.72</v>
          </cell>
          <cell r="M17">
            <v>578249.51</v>
          </cell>
          <cell r="N17">
            <v>2680905.5</v>
          </cell>
          <cell r="O17">
            <v>6742.92</v>
          </cell>
          <cell r="U17">
            <v>4919970.21</v>
          </cell>
        </row>
        <row r="18">
          <cell r="A18" t="str">
            <v>TC20722A</v>
          </cell>
          <cell r="B18">
            <v>1169595.6200000001</v>
          </cell>
          <cell r="C18">
            <v>4842852.0599999996</v>
          </cell>
          <cell r="H18">
            <v>31065.42</v>
          </cell>
          <cell r="J18">
            <v>519361.98</v>
          </cell>
          <cell r="L18">
            <v>21563438.150000013</v>
          </cell>
          <cell r="M18">
            <v>494.88</v>
          </cell>
          <cell r="N18">
            <v>3845863.31</v>
          </cell>
          <cell r="O18">
            <v>68042.28</v>
          </cell>
          <cell r="P18">
            <v>247.04</v>
          </cell>
          <cell r="U18">
            <v>32040960.740000013</v>
          </cell>
        </row>
        <row r="19">
          <cell r="A19" t="str">
            <v>TC20846A</v>
          </cell>
          <cell r="C19">
            <v>34638.58</v>
          </cell>
          <cell r="I19">
            <v>60677.81</v>
          </cell>
          <cell r="L19">
            <v>232249.44</v>
          </cell>
          <cell r="M19">
            <v>862.15</v>
          </cell>
          <cell r="N19">
            <v>591435.68999999994</v>
          </cell>
          <cell r="U19">
            <v>919863.67</v>
          </cell>
        </row>
        <row r="20">
          <cell r="A20" t="str">
            <v>TC20853A</v>
          </cell>
          <cell r="L20">
            <v>1803894.62</v>
          </cell>
          <cell r="M20">
            <v>6478582.2700000005</v>
          </cell>
          <cell r="U20">
            <v>8282476.8900000006</v>
          </cell>
        </row>
        <row r="21">
          <cell r="A21" t="str">
            <v>TC20861A</v>
          </cell>
          <cell r="B21">
            <v>1270517.6200000001</v>
          </cell>
          <cell r="C21">
            <v>6657630.0100000016</v>
          </cell>
          <cell r="E21">
            <v>90980.01</v>
          </cell>
          <cell r="H21">
            <v>172608.98</v>
          </cell>
          <cell r="I21">
            <v>7204.35</v>
          </cell>
          <cell r="J21">
            <v>676681.72</v>
          </cell>
          <cell r="L21">
            <v>1756890.91</v>
          </cell>
          <cell r="M21">
            <v>3861925.2</v>
          </cell>
          <cell r="N21">
            <v>46432776.75</v>
          </cell>
          <cell r="O21">
            <v>1701182.85</v>
          </cell>
          <cell r="P21">
            <v>6386.57</v>
          </cell>
          <cell r="T21">
            <v>1300246.49</v>
          </cell>
          <cell r="U21">
            <v>63935031.460000001</v>
          </cell>
        </row>
        <row r="22">
          <cell r="A22" t="str">
            <v>TC21154A</v>
          </cell>
          <cell r="B22">
            <v>451051.74</v>
          </cell>
          <cell r="C22">
            <v>1442458.27</v>
          </cell>
          <cell r="E22">
            <v>1572.42</v>
          </cell>
          <cell r="I22">
            <v>20.53</v>
          </cell>
          <cell r="J22">
            <v>95371.79</v>
          </cell>
          <cell r="L22">
            <v>145579.62</v>
          </cell>
          <cell r="M22">
            <v>10665.62</v>
          </cell>
          <cell r="N22">
            <v>3046491.85</v>
          </cell>
          <cell r="O22">
            <v>665035.46</v>
          </cell>
          <cell r="P22">
            <v>16.98</v>
          </cell>
          <cell r="T22">
            <v>60416.31</v>
          </cell>
          <cell r="U22">
            <v>5918680.5899999999</v>
          </cell>
        </row>
        <row r="23">
          <cell r="A23" t="str">
            <v>TC21225A</v>
          </cell>
          <cell r="B23">
            <v>11886.44</v>
          </cell>
          <cell r="N23">
            <v>772.52</v>
          </cell>
          <cell r="P23">
            <v>152833.32999999999</v>
          </cell>
          <cell r="U23">
            <v>165492.29</v>
          </cell>
        </row>
        <row r="24">
          <cell r="A24" t="str">
            <v>TC22554A</v>
          </cell>
          <cell r="C24">
            <v>24773.43</v>
          </cell>
          <cell r="I24">
            <v>91588.160000000003</v>
          </cell>
          <cell r="M24">
            <v>2167.94</v>
          </cell>
          <cell r="N24">
            <v>4580.74</v>
          </cell>
          <cell r="Q24">
            <v>1419967.56</v>
          </cell>
          <cell r="U24">
            <v>1543077.83</v>
          </cell>
        </row>
        <row r="25">
          <cell r="A25" t="str">
            <v>TC22555A</v>
          </cell>
          <cell r="B25">
            <v>70878.58</v>
          </cell>
          <cell r="C25">
            <v>7688.38</v>
          </cell>
          <cell r="I25">
            <v>8480.6200000000008</v>
          </cell>
          <cell r="N25">
            <v>42109.56</v>
          </cell>
          <cell r="R25">
            <v>112721.95</v>
          </cell>
          <cell r="U25">
            <v>241879.09</v>
          </cell>
        </row>
        <row r="26">
          <cell r="A26" t="str">
            <v>Grand Total</v>
          </cell>
          <cell r="B26">
            <v>18882912.68</v>
          </cell>
          <cell r="C26">
            <v>50470264.43000003</v>
          </cell>
          <cell r="D26">
            <v>111057.21</v>
          </cell>
          <cell r="E26">
            <v>1935395.97</v>
          </cell>
          <cell r="F26">
            <v>275054.76</v>
          </cell>
          <cell r="G26">
            <v>66951.42</v>
          </cell>
          <cell r="H26">
            <v>8001016.6200000038</v>
          </cell>
          <cell r="I26">
            <v>753934.52</v>
          </cell>
          <cell r="J26">
            <v>1813689.33</v>
          </cell>
          <cell r="K26">
            <v>675.64</v>
          </cell>
          <cell r="L26">
            <v>28359725.080000017</v>
          </cell>
          <cell r="M26">
            <v>13557257.029999997</v>
          </cell>
          <cell r="N26">
            <v>66733678.800000004</v>
          </cell>
          <cell r="O26">
            <v>2716444.86</v>
          </cell>
          <cell r="P26">
            <v>159483.92000000001</v>
          </cell>
          <cell r="Q26">
            <v>1419967.56</v>
          </cell>
          <cell r="R26">
            <v>112721.95</v>
          </cell>
          <cell r="S26">
            <v>0.75</v>
          </cell>
          <cell r="T26">
            <v>1518548.36</v>
          </cell>
          <cell r="U26">
            <v>196888780.89000008</v>
          </cell>
        </row>
      </sheetData>
      <sheetData sheetId="5" refreshError="1"/>
      <sheetData sheetId="6" refreshError="1"/>
      <sheetData sheetId="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NCR Hardware Quote"/>
      <sheetName val="NCR Maintenance Quote"/>
      <sheetName val="NCR Professional Services"/>
      <sheetName val="SA"/>
    </sheetNames>
    <sheetDataSet>
      <sheetData sheetId="0" refreshError="1"/>
      <sheetData sheetId="1"/>
      <sheetData sheetId="2" refreshError="1"/>
      <sheetData sheetId="3" refreshError="1"/>
      <sheetData sheetId="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801 sbp"/>
      <sheetName val="402 HKA)"/>
      <sheetName val="502A bill"/>
      <sheetName val="203 el"/>
      <sheetName val="Sheet4"/>
      <sheetName val="FALCON CASTLE A203"/>
      <sheetName val="1302 el de"/>
      <sheetName val="1302 ot final"/>
      <sheetName val="1302 orbit"/>
      <sheetName val="502a mea"/>
      <sheetName val="502A FALCON"/>
      <sheetName val="Ravi varma"/>
      <sheetName val="h bapna pl bill"/>
      <sheetName val="DETAIL OF FLATE"/>
      <sheetName val="504 FALCON"/>
      <sheetName val="ADI QUT UPSGILL"/>
      <sheetName val="sarogi biil no 2"/>
      <sheetName val="sarogi bill"/>
      <sheetName val="A KC BILL"/>
      <sheetName val="mr jhon b 101"/>
      <sheetName val="Raghvendran (2)"/>
      <sheetName val="402 ot bill"/>
      <sheetName val="1401"/>
      <sheetName val="802"/>
      <sheetName val="Misc."/>
      <sheetName val=" Kabra"/>
      <sheetName val="Kabra"/>
      <sheetName val="Bando"/>
      <sheetName val="A-501"/>
      <sheetName val="N J Prabhu"/>
      <sheetName val=" BORAR"/>
      <sheetName val="UPS Gill"/>
      <sheetName val="A-402."/>
      <sheetName val="J M S"/>
      <sheetName val="S R Bala"/>
      <sheetName val="Sridhar "/>
      <sheetName val="Summary"/>
      <sheetName val=" Sridhar "/>
      <sheetName val="Dyna-A-601"/>
      <sheetName val="Liberty A-601"/>
      <sheetName val="Sridhar"/>
      <sheetName val="1011bill "/>
      <sheetName val="Sheet2"/>
      <sheetName val="1101"/>
      <sheetName val="Maint"/>
      <sheetName val="Suryanarayanan"/>
      <sheetName val="A. P. Das "/>
      <sheetName val="Bando "/>
      <sheetName val="M S 503"/>
      <sheetName val="B-503."/>
      <sheetName val="A-104 FC (2)"/>
      <sheetName val="Sheet1"/>
      <sheetName val="801 (2)"/>
      <sheetName val="Ajay"/>
      <sheetName val="A. Verma"/>
      <sheetName val="Ajeet"/>
      <sheetName val="301"/>
      <sheetName val="Maint."/>
      <sheetName val="CSB"/>
      <sheetName val="A-501 (3)"/>
      <sheetName val="A KC"/>
      <sheetName val="Saraogi Not Approved"/>
      <sheetName val="Saraogi W. Order"/>
      <sheetName val="402"/>
      <sheetName val="m krishan bill"/>
      <sheetName val="M. Krishnan"/>
      <sheetName val="Sheet3"/>
      <sheetName val="orbit 1302"/>
      <sheetName val="FC 501B"/>
      <sheetName val="101-A"/>
      <sheetName val=" REVISED  A 102 "/>
      <sheetName val="a-102"/>
      <sheetName val="H bapana bill"/>
      <sheetName val="VSV"/>
      <sheetName val="Ravi"/>
      <sheetName val=" H.Bapna "/>
      <sheetName val=" mr m k agarwal bill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mailto:GST@18%25"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mailto:=@if(+N10*$K$11*$K$12%3e0,n10*$K$11*$K$12,0)" TargetMode="External"/><Relationship Id="rId7" Type="http://schemas.openxmlformats.org/officeDocument/2006/relationships/drawing" Target="../drawings/drawing5.xml"/><Relationship Id="rId2" Type="http://schemas.openxmlformats.org/officeDocument/2006/relationships/hyperlink" Target="mailto:=@if(+N10*$K$11*$K$12%3e0,n10*$K$11*$K$12,0)" TargetMode="External"/><Relationship Id="rId1" Type="http://schemas.openxmlformats.org/officeDocument/2006/relationships/hyperlink" Target="mailto:=@if(+N10*$K$11*$K$12%3e0,n10*$K$11*$K$12,0)" TargetMode="External"/><Relationship Id="rId6" Type="http://schemas.openxmlformats.org/officeDocument/2006/relationships/printerSettings" Target="../printerSettings/printerSettings8.bin"/><Relationship Id="rId5" Type="http://schemas.openxmlformats.org/officeDocument/2006/relationships/hyperlink" Target="mailto:=@if(+N10*$K$11*$K$12%3e0,n10*$K$11*$K$12,0)" TargetMode="External"/><Relationship Id="rId4" Type="http://schemas.openxmlformats.org/officeDocument/2006/relationships/hyperlink" Target="mailto:=@if(+N10*$K$11*$K$12%3e0,n10*$K$11*$K$12,0)"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317"/>
  <sheetViews>
    <sheetView showZeros="0" topLeftCell="A44" zoomScale="83" zoomScaleNormal="83" workbookViewId="0">
      <selection activeCell="G49" sqref="G49"/>
    </sheetView>
  </sheetViews>
  <sheetFormatPr defaultRowHeight="15"/>
  <cols>
    <col min="1" max="1" width="4.54296875" style="1265" customWidth="1"/>
    <col min="2" max="2" width="36.81640625" style="253" customWidth="1"/>
    <col min="3" max="3" width="9.90625" style="1246" customWidth="1"/>
    <col min="4" max="4" width="11.6328125" style="1337" customWidth="1"/>
    <col min="5" max="5" width="13.36328125" style="1338" customWidth="1"/>
    <col min="6" max="6" width="13.1796875" style="1338" customWidth="1"/>
    <col min="7" max="7" width="46.1796875" style="1142" customWidth="1"/>
    <col min="8" max="8" width="17.81640625" style="1142" customWidth="1"/>
    <col min="9" max="10" width="31.36328125" style="1142" customWidth="1"/>
    <col min="11" max="11" width="15.81640625" style="578" customWidth="1"/>
    <col min="12" max="12" width="12.6328125" style="253" customWidth="1"/>
    <col min="13" max="13" width="13.90625" style="253" customWidth="1"/>
    <col min="14" max="14" width="13.453125" style="254" customWidth="1"/>
    <col min="15" max="15" width="11.81640625" style="253" customWidth="1"/>
    <col min="16" max="16" width="13" style="253" customWidth="1"/>
    <col min="17" max="17" width="12" style="253" bestFit="1" customWidth="1"/>
    <col min="18" max="18" width="13.08984375" style="253" customWidth="1"/>
    <col min="19" max="19" width="11.6328125" style="253" customWidth="1"/>
    <col min="20" max="21" width="8.90625" style="253"/>
    <col min="22" max="22" width="12.08984375" style="253" customWidth="1"/>
    <col min="23" max="23" width="11.6328125" style="253" customWidth="1"/>
    <col min="24" max="26" width="8.90625" style="253"/>
    <col min="27" max="27" width="10.81640625" style="253" customWidth="1"/>
    <col min="28" max="29" width="8.90625" style="253"/>
    <col min="30" max="30" width="13.90625" style="253" customWidth="1"/>
    <col min="31" max="31" width="10.6328125" style="253" customWidth="1"/>
    <col min="32" max="34" width="8.90625" style="253"/>
    <col min="35" max="35" width="12" style="253" customWidth="1"/>
    <col min="36" max="37" width="8.90625" style="253"/>
    <col min="38" max="38" width="9.81640625" style="253" customWidth="1"/>
    <col min="39" max="39" width="10.6328125" style="253" customWidth="1"/>
    <col min="40" max="45" width="8.90625" style="253"/>
    <col min="46" max="46" width="9.36328125" style="253" bestFit="1" customWidth="1"/>
    <col min="47" max="47" width="9.1796875" style="253" bestFit="1" customWidth="1"/>
    <col min="48" max="48" width="9.08984375" style="253" bestFit="1" customWidth="1"/>
    <col min="49" max="259" width="8.90625" style="253"/>
    <col min="260" max="260" width="7.54296875" style="253" customWidth="1"/>
    <col min="261" max="261" width="43" style="253" customWidth="1"/>
    <col min="262" max="262" width="10.453125" style="253" customWidth="1"/>
    <col min="263" max="263" width="11.6328125" style="253" customWidth="1"/>
    <col min="264" max="264" width="11.1796875" style="253" customWidth="1"/>
    <col min="265" max="265" width="11.08984375" style="253" customWidth="1"/>
    <col min="266" max="266" width="9.90625" style="253" customWidth="1"/>
    <col min="267" max="267" width="12.1796875" style="253" customWidth="1"/>
    <col min="268" max="268" width="11.36328125" style="253" customWidth="1"/>
    <col min="269" max="269" width="10" style="253" customWidth="1"/>
    <col min="270" max="270" width="41" style="253" customWidth="1"/>
    <col min="271" max="271" width="11.81640625" style="253" customWidth="1"/>
    <col min="272" max="272" width="13" style="253" customWidth="1"/>
    <col min="273" max="273" width="12" style="253" bestFit="1" customWidth="1"/>
    <col min="274" max="274" width="13.08984375" style="253" customWidth="1"/>
    <col min="275" max="275" width="11.6328125" style="253" customWidth="1"/>
    <col min="276" max="277" width="8.90625" style="253"/>
    <col min="278" max="278" width="12.08984375" style="253" customWidth="1"/>
    <col min="279" max="279" width="11.6328125" style="253" customWidth="1"/>
    <col min="280" max="282" width="8.90625" style="253"/>
    <col min="283" max="283" width="10.81640625" style="253" customWidth="1"/>
    <col min="284" max="285" width="8.90625" style="253"/>
    <col min="286" max="286" width="13.90625" style="253" customWidth="1"/>
    <col min="287" max="287" width="10.6328125" style="253" customWidth="1"/>
    <col min="288" max="290" width="8.90625" style="253"/>
    <col min="291" max="291" width="12" style="253" customWidth="1"/>
    <col min="292" max="293" width="8.90625" style="253"/>
    <col min="294" max="294" width="9.81640625" style="253" customWidth="1"/>
    <col min="295" max="295" width="10.6328125" style="253" customWidth="1"/>
    <col min="296" max="301" width="8.90625" style="253"/>
    <col min="302" max="302" width="9.36328125" style="253" bestFit="1" customWidth="1"/>
    <col min="303" max="303" width="9.1796875" style="253" bestFit="1" customWidth="1"/>
    <col min="304" max="304" width="9.08984375" style="253" bestFit="1" customWidth="1"/>
    <col min="305" max="515" width="8.90625" style="253"/>
    <col min="516" max="516" width="7.54296875" style="253" customWidth="1"/>
    <col min="517" max="517" width="43" style="253" customWidth="1"/>
    <col min="518" max="518" width="10.453125" style="253" customWidth="1"/>
    <col min="519" max="519" width="11.6328125" style="253" customWidth="1"/>
    <col min="520" max="520" width="11.1796875" style="253" customWidth="1"/>
    <col min="521" max="521" width="11.08984375" style="253" customWidth="1"/>
    <col min="522" max="522" width="9.90625" style="253" customWidth="1"/>
    <col min="523" max="523" width="12.1796875" style="253" customWidth="1"/>
    <col min="524" max="524" width="11.36328125" style="253" customWidth="1"/>
    <col min="525" max="525" width="10" style="253" customWidth="1"/>
    <col min="526" max="526" width="41" style="253" customWidth="1"/>
    <col min="527" max="527" width="11.81640625" style="253" customWidth="1"/>
    <col min="528" max="528" width="13" style="253" customWidth="1"/>
    <col min="529" max="529" width="12" style="253" bestFit="1" customWidth="1"/>
    <col min="530" max="530" width="13.08984375" style="253" customWidth="1"/>
    <col min="531" max="531" width="11.6328125" style="253" customWidth="1"/>
    <col min="532" max="533" width="8.90625" style="253"/>
    <col min="534" max="534" width="12.08984375" style="253" customWidth="1"/>
    <col min="535" max="535" width="11.6328125" style="253" customWidth="1"/>
    <col min="536" max="538" width="8.90625" style="253"/>
    <col min="539" max="539" width="10.81640625" style="253" customWidth="1"/>
    <col min="540" max="541" width="8.90625" style="253"/>
    <col min="542" max="542" width="13.90625" style="253" customWidth="1"/>
    <col min="543" max="543" width="10.6328125" style="253" customWidth="1"/>
    <col min="544" max="546" width="8.90625" style="253"/>
    <col min="547" max="547" width="12" style="253" customWidth="1"/>
    <col min="548" max="549" width="8.90625" style="253"/>
    <col min="550" max="550" width="9.81640625" style="253" customWidth="1"/>
    <col min="551" max="551" width="10.6328125" style="253" customWidth="1"/>
    <col min="552" max="557" width="8.90625" style="253"/>
    <col min="558" max="558" width="9.36328125" style="253" bestFit="1" customWidth="1"/>
    <col min="559" max="559" width="9.1796875" style="253" bestFit="1" customWidth="1"/>
    <col min="560" max="560" width="9.08984375" style="253" bestFit="1" customWidth="1"/>
    <col min="561" max="771" width="8.90625" style="253"/>
    <col min="772" max="772" width="7.54296875" style="253" customWidth="1"/>
    <col min="773" max="773" width="43" style="253" customWidth="1"/>
    <col min="774" max="774" width="10.453125" style="253" customWidth="1"/>
    <col min="775" max="775" width="11.6328125" style="253" customWidth="1"/>
    <col min="776" max="776" width="11.1796875" style="253" customWidth="1"/>
    <col min="777" max="777" width="11.08984375" style="253" customWidth="1"/>
    <col min="778" max="778" width="9.90625" style="253" customWidth="1"/>
    <col min="779" max="779" width="12.1796875" style="253" customWidth="1"/>
    <col min="780" max="780" width="11.36328125" style="253" customWidth="1"/>
    <col min="781" max="781" width="10" style="253" customWidth="1"/>
    <col min="782" max="782" width="41" style="253" customWidth="1"/>
    <col min="783" max="783" width="11.81640625" style="253" customWidth="1"/>
    <col min="784" max="784" width="13" style="253" customWidth="1"/>
    <col min="785" max="785" width="12" style="253" bestFit="1" customWidth="1"/>
    <col min="786" max="786" width="13.08984375" style="253" customWidth="1"/>
    <col min="787" max="787" width="11.6328125" style="253" customWidth="1"/>
    <col min="788" max="789" width="8.90625" style="253"/>
    <col min="790" max="790" width="12.08984375" style="253" customWidth="1"/>
    <col min="791" max="791" width="11.6328125" style="253" customWidth="1"/>
    <col min="792" max="794" width="8.90625" style="253"/>
    <col min="795" max="795" width="10.81640625" style="253" customWidth="1"/>
    <col min="796" max="797" width="8.90625" style="253"/>
    <col min="798" max="798" width="13.90625" style="253" customWidth="1"/>
    <col min="799" max="799" width="10.6328125" style="253" customWidth="1"/>
    <col min="800" max="802" width="8.90625" style="253"/>
    <col min="803" max="803" width="12" style="253" customWidth="1"/>
    <col min="804" max="805" width="8.90625" style="253"/>
    <col min="806" max="806" width="9.81640625" style="253" customWidth="1"/>
    <col min="807" max="807" width="10.6328125" style="253" customWidth="1"/>
    <col min="808" max="813" width="8.90625" style="253"/>
    <col min="814" max="814" width="9.36328125" style="253" bestFit="1" customWidth="1"/>
    <col min="815" max="815" width="9.1796875" style="253" bestFit="1" customWidth="1"/>
    <col min="816" max="816" width="9.08984375" style="253" bestFit="1" customWidth="1"/>
    <col min="817" max="1027" width="8.90625" style="253"/>
    <col min="1028" max="1028" width="7.54296875" style="253" customWidth="1"/>
    <col min="1029" max="1029" width="43" style="253" customWidth="1"/>
    <col min="1030" max="1030" width="10.453125" style="253" customWidth="1"/>
    <col min="1031" max="1031" width="11.6328125" style="253" customWidth="1"/>
    <col min="1032" max="1032" width="11.1796875" style="253" customWidth="1"/>
    <col min="1033" max="1033" width="11.08984375" style="253" customWidth="1"/>
    <col min="1034" max="1034" width="9.90625" style="253" customWidth="1"/>
    <col min="1035" max="1035" width="12.1796875" style="253" customWidth="1"/>
    <col min="1036" max="1036" width="11.36328125" style="253" customWidth="1"/>
    <col min="1037" max="1037" width="10" style="253" customWidth="1"/>
    <col min="1038" max="1038" width="41" style="253" customWidth="1"/>
    <col min="1039" max="1039" width="11.81640625" style="253" customWidth="1"/>
    <col min="1040" max="1040" width="13" style="253" customWidth="1"/>
    <col min="1041" max="1041" width="12" style="253" bestFit="1" customWidth="1"/>
    <col min="1042" max="1042" width="13.08984375" style="253" customWidth="1"/>
    <col min="1043" max="1043" width="11.6328125" style="253" customWidth="1"/>
    <col min="1044" max="1045" width="8.90625" style="253"/>
    <col min="1046" max="1046" width="12.08984375" style="253" customWidth="1"/>
    <col min="1047" max="1047" width="11.6328125" style="253" customWidth="1"/>
    <col min="1048" max="1050" width="8.90625" style="253"/>
    <col min="1051" max="1051" width="10.81640625" style="253" customWidth="1"/>
    <col min="1052" max="1053" width="8.90625" style="253"/>
    <col min="1054" max="1054" width="13.90625" style="253" customWidth="1"/>
    <col min="1055" max="1055" width="10.6328125" style="253" customWidth="1"/>
    <col min="1056" max="1058" width="8.90625" style="253"/>
    <col min="1059" max="1059" width="12" style="253" customWidth="1"/>
    <col min="1060" max="1061" width="8.90625" style="253"/>
    <col min="1062" max="1062" width="9.81640625" style="253" customWidth="1"/>
    <col min="1063" max="1063" width="10.6328125" style="253" customWidth="1"/>
    <col min="1064" max="1069" width="8.90625" style="253"/>
    <col min="1070" max="1070" width="9.36328125" style="253" bestFit="1" customWidth="1"/>
    <col min="1071" max="1071" width="9.1796875" style="253" bestFit="1" customWidth="1"/>
    <col min="1072" max="1072" width="9.08984375" style="253" bestFit="1" customWidth="1"/>
    <col min="1073" max="1283" width="8.90625" style="253"/>
    <col min="1284" max="1284" width="7.54296875" style="253" customWidth="1"/>
    <col min="1285" max="1285" width="43" style="253" customWidth="1"/>
    <col min="1286" max="1286" width="10.453125" style="253" customWidth="1"/>
    <col min="1287" max="1287" width="11.6328125" style="253" customWidth="1"/>
    <col min="1288" max="1288" width="11.1796875" style="253" customWidth="1"/>
    <col min="1289" max="1289" width="11.08984375" style="253" customWidth="1"/>
    <col min="1290" max="1290" width="9.90625" style="253" customWidth="1"/>
    <col min="1291" max="1291" width="12.1796875" style="253" customWidth="1"/>
    <col min="1292" max="1292" width="11.36328125" style="253" customWidth="1"/>
    <col min="1293" max="1293" width="10" style="253" customWidth="1"/>
    <col min="1294" max="1294" width="41" style="253" customWidth="1"/>
    <col min="1295" max="1295" width="11.81640625" style="253" customWidth="1"/>
    <col min="1296" max="1296" width="13" style="253" customWidth="1"/>
    <col min="1297" max="1297" width="12" style="253" bestFit="1" customWidth="1"/>
    <col min="1298" max="1298" width="13.08984375" style="253" customWidth="1"/>
    <col min="1299" max="1299" width="11.6328125" style="253" customWidth="1"/>
    <col min="1300" max="1301" width="8.90625" style="253"/>
    <col min="1302" max="1302" width="12.08984375" style="253" customWidth="1"/>
    <col min="1303" max="1303" width="11.6328125" style="253" customWidth="1"/>
    <col min="1304" max="1306" width="8.90625" style="253"/>
    <col min="1307" max="1307" width="10.81640625" style="253" customWidth="1"/>
    <col min="1308" max="1309" width="8.90625" style="253"/>
    <col min="1310" max="1310" width="13.90625" style="253" customWidth="1"/>
    <col min="1311" max="1311" width="10.6328125" style="253" customWidth="1"/>
    <col min="1312" max="1314" width="8.90625" style="253"/>
    <col min="1315" max="1315" width="12" style="253" customWidth="1"/>
    <col min="1316" max="1317" width="8.90625" style="253"/>
    <col min="1318" max="1318" width="9.81640625" style="253" customWidth="1"/>
    <col min="1319" max="1319" width="10.6328125" style="253" customWidth="1"/>
    <col min="1320" max="1325" width="8.90625" style="253"/>
    <col min="1326" max="1326" width="9.36328125" style="253" bestFit="1" customWidth="1"/>
    <col min="1327" max="1327" width="9.1796875" style="253" bestFit="1" customWidth="1"/>
    <col min="1328" max="1328" width="9.08984375" style="253" bestFit="1" customWidth="1"/>
    <col min="1329" max="1539" width="8.90625" style="253"/>
    <col min="1540" max="1540" width="7.54296875" style="253" customWidth="1"/>
    <col min="1541" max="1541" width="43" style="253" customWidth="1"/>
    <col min="1542" max="1542" width="10.453125" style="253" customWidth="1"/>
    <col min="1543" max="1543" width="11.6328125" style="253" customWidth="1"/>
    <col min="1544" max="1544" width="11.1796875" style="253" customWidth="1"/>
    <col min="1545" max="1545" width="11.08984375" style="253" customWidth="1"/>
    <col min="1546" max="1546" width="9.90625" style="253" customWidth="1"/>
    <col min="1547" max="1547" width="12.1796875" style="253" customWidth="1"/>
    <col min="1548" max="1548" width="11.36328125" style="253" customWidth="1"/>
    <col min="1549" max="1549" width="10" style="253" customWidth="1"/>
    <col min="1550" max="1550" width="41" style="253" customWidth="1"/>
    <col min="1551" max="1551" width="11.81640625" style="253" customWidth="1"/>
    <col min="1552" max="1552" width="13" style="253" customWidth="1"/>
    <col min="1553" max="1553" width="12" style="253" bestFit="1" customWidth="1"/>
    <col min="1554" max="1554" width="13.08984375" style="253" customWidth="1"/>
    <col min="1555" max="1555" width="11.6328125" style="253" customWidth="1"/>
    <col min="1556" max="1557" width="8.90625" style="253"/>
    <col min="1558" max="1558" width="12.08984375" style="253" customWidth="1"/>
    <col min="1559" max="1559" width="11.6328125" style="253" customWidth="1"/>
    <col min="1560" max="1562" width="8.90625" style="253"/>
    <col min="1563" max="1563" width="10.81640625" style="253" customWidth="1"/>
    <col min="1564" max="1565" width="8.90625" style="253"/>
    <col min="1566" max="1566" width="13.90625" style="253" customWidth="1"/>
    <col min="1567" max="1567" width="10.6328125" style="253" customWidth="1"/>
    <col min="1568" max="1570" width="8.90625" style="253"/>
    <col min="1571" max="1571" width="12" style="253" customWidth="1"/>
    <col min="1572" max="1573" width="8.90625" style="253"/>
    <col min="1574" max="1574" width="9.81640625" style="253" customWidth="1"/>
    <col min="1575" max="1575" width="10.6328125" style="253" customWidth="1"/>
    <col min="1576" max="1581" width="8.90625" style="253"/>
    <col min="1582" max="1582" width="9.36328125" style="253" bestFit="1" customWidth="1"/>
    <col min="1583" max="1583" width="9.1796875" style="253" bestFit="1" customWidth="1"/>
    <col min="1584" max="1584" width="9.08984375" style="253" bestFit="1" customWidth="1"/>
    <col min="1585" max="1795" width="8.90625" style="253"/>
    <col min="1796" max="1796" width="7.54296875" style="253" customWidth="1"/>
    <col min="1797" max="1797" width="43" style="253" customWidth="1"/>
    <col min="1798" max="1798" width="10.453125" style="253" customWidth="1"/>
    <col min="1799" max="1799" width="11.6328125" style="253" customWidth="1"/>
    <col min="1800" max="1800" width="11.1796875" style="253" customWidth="1"/>
    <col min="1801" max="1801" width="11.08984375" style="253" customWidth="1"/>
    <col min="1802" max="1802" width="9.90625" style="253" customWidth="1"/>
    <col min="1803" max="1803" width="12.1796875" style="253" customWidth="1"/>
    <col min="1804" max="1804" width="11.36328125" style="253" customWidth="1"/>
    <col min="1805" max="1805" width="10" style="253" customWidth="1"/>
    <col min="1806" max="1806" width="41" style="253" customWidth="1"/>
    <col min="1807" max="1807" width="11.81640625" style="253" customWidth="1"/>
    <col min="1808" max="1808" width="13" style="253" customWidth="1"/>
    <col min="1809" max="1809" width="12" style="253" bestFit="1" customWidth="1"/>
    <col min="1810" max="1810" width="13.08984375" style="253" customWidth="1"/>
    <col min="1811" max="1811" width="11.6328125" style="253" customWidth="1"/>
    <col min="1812" max="1813" width="8.90625" style="253"/>
    <col min="1814" max="1814" width="12.08984375" style="253" customWidth="1"/>
    <col min="1815" max="1815" width="11.6328125" style="253" customWidth="1"/>
    <col min="1816" max="1818" width="8.90625" style="253"/>
    <col min="1819" max="1819" width="10.81640625" style="253" customWidth="1"/>
    <col min="1820" max="1821" width="8.90625" style="253"/>
    <col min="1822" max="1822" width="13.90625" style="253" customWidth="1"/>
    <col min="1823" max="1823" width="10.6328125" style="253" customWidth="1"/>
    <col min="1824" max="1826" width="8.90625" style="253"/>
    <col min="1827" max="1827" width="12" style="253" customWidth="1"/>
    <col min="1828" max="1829" width="8.90625" style="253"/>
    <col min="1830" max="1830" width="9.81640625" style="253" customWidth="1"/>
    <col min="1831" max="1831" width="10.6328125" style="253" customWidth="1"/>
    <col min="1832" max="1837" width="8.90625" style="253"/>
    <col min="1838" max="1838" width="9.36328125" style="253" bestFit="1" customWidth="1"/>
    <col min="1839" max="1839" width="9.1796875" style="253" bestFit="1" customWidth="1"/>
    <col min="1840" max="1840" width="9.08984375" style="253" bestFit="1" customWidth="1"/>
    <col min="1841" max="2051" width="8.90625" style="253"/>
    <col min="2052" max="2052" width="7.54296875" style="253" customWidth="1"/>
    <col min="2053" max="2053" width="43" style="253" customWidth="1"/>
    <col min="2054" max="2054" width="10.453125" style="253" customWidth="1"/>
    <col min="2055" max="2055" width="11.6328125" style="253" customWidth="1"/>
    <col min="2056" max="2056" width="11.1796875" style="253" customWidth="1"/>
    <col min="2057" max="2057" width="11.08984375" style="253" customWidth="1"/>
    <col min="2058" max="2058" width="9.90625" style="253" customWidth="1"/>
    <col min="2059" max="2059" width="12.1796875" style="253" customWidth="1"/>
    <col min="2060" max="2060" width="11.36328125" style="253" customWidth="1"/>
    <col min="2061" max="2061" width="10" style="253" customWidth="1"/>
    <col min="2062" max="2062" width="41" style="253" customWidth="1"/>
    <col min="2063" max="2063" width="11.81640625" style="253" customWidth="1"/>
    <col min="2064" max="2064" width="13" style="253" customWidth="1"/>
    <col min="2065" max="2065" width="12" style="253" bestFit="1" customWidth="1"/>
    <col min="2066" max="2066" width="13.08984375" style="253" customWidth="1"/>
    <col min="2067" max="2067" width="11.6328125" style="253" customWidth="1"/>
    <col min="2068" max="2069" width="8.90625" style="253"/>
    <col min="2070" max="2070" width="12.08984375" style="253" customWidth="1"/>
    <col min="2071" max="2071" width="11.6328125" style="253" customWidth="1"/>
    <col min="2072" max="2074" width="8.90625" style="253"/>
    <col min="2075" max="2075" width="10.81640625" style="253" customWidth="1"/>
    <col min="2076" max="2077" width="8.90625" style="253"/>
    <col min="2078" max="2078" width="13.90625" style="253" customWidth="1"/>
    <col min="2079" max="2079" width="10.6328125" style="253" customWidth="1"/>
    <col min="2080" max="2082" width="8.90625" style="253"/>
    <col min="2083" max="2083" width="12" style="253" customWidth="1"/>
    <col min="2084" max="2085" width="8.90625" style="253"/>
    <col min="2086" max="2086" width="9.81640625" style="253" customWidth="1"/>
    <col min="2087" max="2087" width="10.6328125" style="253" customWidth="1"/>
    <col min="2088" max="2093" width="8.90625" style="253"/>
    <col min="2094" max="2094" width="9.36328125" style="253" bestFit="1" customWidth="1"/>
    <col min="2095" max="2095" width="9.1796875" style="253" bestFit="1" customWidth="1"/>
    <col min="2096" max="2096" width="9.08984375" style="253" bestFit="1" customWidth="1"/>
    <col min="2097" max="2307" width="8.90625" style="253"/>
    <col min="2308" max="2308" width="7.54296875" style="253" customWidth="1"/>
    <col min="2309" max="2309" width="43" style="253" customWidth="1"/>
    <col min="2310" max="2310" width="10.453125" style="253" customWidth="1"/>
    <col min="2311" max="2311" width="11.6328125" style="253" customWidth="1"/>
    <col min="2312" max="2312" width="11.1796875" style="253" customWidth="1"/>
    <col min="2313" max="2313" width="11.08984375" style="253" customWidth="1"/>
    <col min="2314" max="2314" width="9.90625" style="253" customWidth="1"/>
    <col min="2315" max="2315" width="12.1796875" style="253" customWidth="1"/>
    <col min="2316" max="2316" width="11.36328125" style="253" customWidth="1"/>
    <col min="2317" max="2317" width="10" style="253" customWidth="1"/>
    <col min="2318" max="2318" width="41" style="253" customWidth="1"/>
    <col min="2319" max="2319" width="11.81640625" style="253" customWidth="1"/>
    <col min="2320" max="2320" width="13" style="253" customWidth="1"/>
    <col min="2321" max="2321" width="12" style="253" bestFit="1" customWidth="1"/>
    <col min="2322" max="2322" width="13.08984375" style="253" customWidth="1"/>
    <col min="2323" max="2323" width="11.6328125" style="253" customWidth="1"/>
    <col min="2324" max="2325" width="8.90625" style="253"/>
    <col min="2326" max="2326" width="12.08984375" style="253" customWidth="1"/>
    <col min="2327" max="2327" width="11.6328125" style="253" customWidth="1"/>
    <col min="2328" max="2330" width="8.90625" style="253"/>
    <col min="2331" max="2331" width="10.81640625" style="253" customWidth="1"/>
    <col min="2332" max="2333" width="8.90625" style="253"/>
    <col min="2334" max="2334" width="13.90625" style="253" customWidth="1"/>
    <col min="2335" max="2335" width="10.6328125" style="253" customWidth="1"/>
    <col min="2336" max="2338" width="8.90625" style="253"/>
    <col min="2339" max="2339" width="12" style="253" customWidth="1"/>
    <col min="2340" max="2341" width="8.90625" style="253"/>
    <col min="2342" max="2342" width="9.81640625" style="253" customWidth="1"/>
    <col min="2343" max="2343" width="10.6328125" style="253" customWidth="1"/>
    <col min="2344" max="2349" width="8.90625" style="253"/>
    <col min="2350" max="2350" width="9.36328125" style="253" bestFit="1" customWidth="1"/>
    <col min="2351" max="2351" width="9.1796875" style="253" bestFit="1" customWidth="1"/>
    <col min="2352" max="2352" width="9.08984375" style="253" bestFit="1" customWidth="1"/>
    <col min="2353" max="2563" width="8.90625" style="253"/>
    <col min="2564" max="2564" width="7.54296875" style="253" customWidth="1"/>
    <col min="2565" max="2565" width="43" style="253" customWidth="1"/>
    <col min="2566" max="2566" width="10.453125" style="253" customWidth="1"/>
    <col min="2567" max="2567" width="11.6328125" style="253" customWidth="1"/>
    <col min="2568" max="2568" width="11.1796875" style="253" customWidth="1"/>
    <col min="2569" max="2569" width="11.08984375" style="253" customWidth="1"/>
    <col min="2570" max="2570" width="9.90625" style="253" customWidth="1"/>
    <col min="2571" max="2571" width="12.1796875" style="253" customWidth="1"/>
    <col min="2572" max="2572" width="11.36328125" style="253" customWidth="1"/>
    <col min="2573" max="2573" width="10" style="253" customWidth="1"/>
    <col min="2574" max="2574" width="41" style="253" customWidth="1"/>
    <col min="2575" max="2575" width="11.81640625" style="253" customWidth="1"/>
    <col min="2576" max="2576" width="13" style="253" customWidth="1"/>
    <col min="2577" max="2577" width="12" style="253" bestFit="1" customWidth="1"/>
    <col min="2578" max="2578" width="13.08984375" style="253" customWidth="1"/>
    <col min="2579" max="2579" width="11.6328125" style="253" customWidth="1"/>
    <col min="2580" max="2581" width="8.90625" style="253"/>
    <col min="2582" max="2582" width="12.08984375" style="253" customWidth="1"/>
    <col min="2583" max="2583" width="11.6328125" style="253" customWidth="1"/>
    <col min="2584" max="2586" width="8.90625" style="253"/>
    <col min="2587" max="2587" width="10.81640625" style="253" customWidth="1"/>
    <col min="2588" max="2589" width="8.90625" style="253"/>
    <col min="2590" max="2590" width="13.90625" style="253" customWidth="1"/>
    <col min="2591" max="2591" width="10.6328125" style="253" customWidth="1"/>
    <col min="2592" max="2594" width="8.90625" style="253"/>
    <col min="2595" max="2595" width="12" style="253" customWidth="1"/>
    <col min="2596" max="2597" width="8.90625" style="253"/>
    <col min="2598" max="2598" width="9.81640625" style="253" customWidth="1"/>
    <col min="2599" max="2599" width="10.6328125" style="253" customWidth="1"/>
    <col min="2600" max="2605" width="8.90625" style="253"/>
    <col min="2606" max="2606" width="9.36328125" style="253" bestFit="1" customWidth="1"/>
    <col min="2607" max="2607" width="9.1796875" style="253" bestFit="1" customWidth="1"/>
    <col min="2608" max="2608" width="9.08984375" style="253" bestFit="1" customWidth="1"/>
    <col min="2609" max="2819" width="8.90625" style="253"/>
    <col min="2820" max="2820" width="7.54296875" style="253" customWidth="1"/>
    <col min="2821" max="2821" width="43" style="253" customWidth="1"/>
    <col min="2822" max="2822" width="10.453125" style="253" customWidth="1"/>
    <col min="2823" max="2823" width="11.6328125" style="253" customWidth="1"/>
    <col min="2824" max="2824" width="11.1796875" style="253" customWidth="1"/>
    <col min="2825" max="2825" width="11.08984375" style="253" customWidth="1"/>
    <col min="2826" max="2826" width="9.90625" style="253" customWidth="1"/>
    <col min="2827" max="2827" width="12.1796875" style="253" customWidth="1"/>
    <col min="2828" max="2828" width="11.36328125" style="253" customWidth="1"/>
    <col min="2829" max="2829" width="10" style="253" customWidth="1"/>
    <col min="2830" max="2830" width="41" style="253" customWidth="1"/>
    <col min="2831" max="2831" width="11.81640625" style="253" customWidth="1"/>
    <col min="2832" max="2832" width="13" style="253" customWidth="1"/>
    <col min="2833" max="2833" width="12" style="253" bestFit="1" customWidth="1"/>
    <col min="2834" max="2834" width="13.08984375" style="253" customWidth="1"/>
    <col min="2835" max="2835" width="11.6328125" style="253" customWidth="1"/>
    <col min="2836" max="2837" width="8.90625" style="253"/>
    <col min="2838" max="2838" width="12.08984375" style="253" customWidth="1"/>
    <col min="2839" max="2839" width="11.6328125" style="253" customWidth="1"/>
    <col min="2840" max="2842" width="8.90625" style="253"/>
    <col min="2843" max="2843" width="10.81640625" style="253" customWidth="1"/>
    <col min="2844" max="2845" width="8.90625" style="253"/>
    <col min="2846" max="2846" width="13.90625" style="253" customWidth="1"/>
    <col min="2847" max="2847" width="10.6328125" style="253" customWidth="1"/>
    <col min="2848" max="2850" width="8.90625" style="253"/>
    <col min="2851" max="2851" width="12" style="253" customWidth="1"/>
    <col min="2852" max="2853" width="8.90625" style="253"/>
    <col min="2854" max="2854" width="9.81640625" style="253" customWidth="1"/>
    <col min="2855" max="2855" width="10.6328125" style="253" customWidth="1"/>
    <col min="2856" max="2861" width="8.90625" style="253"/>
    <col min="2862" max="2862" width="9.36328125" style="253" bestFit="1" customWidth="1"/>
    <col min="2863" max="2863" width="9.1796875" style="253" bestFit="1" customWidth="1"/>
    <col min="2864" max="2864" width="9.08984375" style="253" bestFit="1" customWidth="1"/>
    <col min="2865" max="3075" width="8.90625" style="253"/>
    <col min="3076" max="3076" width="7.54296875" style="253" customWidth="1"/>
    <col min="3077" max="3077" width="43" style="253" customWidth="1"/>
    <col min="3078" max="3078" width="10.453125" style="253" customWidth="1"/>
    <col min="3079" max="3079" width="11.6328125" style="253" customWidth="1"/>
    <col min="3080" max="3080" width="11.1796875" style="253" customWidth="1"/>
    <col min="3081" max="3081" width="11.08984375" style="253" customWidth="1"/>
    <col min="3082" max="3082" width="9.90625" style="253" customWidth="1"/>
    <col min="3083" max="3083" width="12.1796875" style="253" customWidth="1"/>
    <col min="3084" max="3084" width="11.36328125" style="253" customWidth="1"/>
    <col min="3085" max="3085" width="10" style="253" customWidth="1"/>
    <col min="3086" max="3086" width="41" style="253" customWidth="1"/>
    <col min="3087" max="3087" width="11.81640625" style="253" customWidth="1"/>
    <col min="3088" max="3088" width="13" style="253" customWidth="1"/>
    <col min="3089" max="3089" width="12" style="253" bestFit="1" customWidth="1"/>
    <col min="3090" max="3090" width="13.08984375" style="253" customWidth="1"/>
    <col min="3091" max="3091" width="11.6328125" style="253" customWidth="1"/>
    <col min="3092" max="3093" width="8.90625" style="253"/>
    <col min="3094" max="3094" width="12.08984375" style="253" customWidth="1"/>
    <col min="3095" max="3095" width="11.6328125" style="253" customWidth="1"/>
    <col min="3096" max="3098" width="8.90625" style="253"/>
    <col min="3099" max="3099" width="10.81640625" style="253" customWidth="1"/>
    <col min="3100" max="3101" width="8.90625" style="253"/>
    <col min="3102" max="3102" width="13.90625" style="253" customWidth="1"/>
    <col min="3103" max="3103" width="10.6328125" style="253" customWidth="1"/>
    <col min="3104" max="3106" width="8.90625" style="253"/>
    <col min="3107" max="3107" width="12" style="253" customWidth="1"/>
    <col min="3108" max="3109" width="8.90625" style="253"/>
    <col min="3110" max="3110" width="9.81640625" style="253" customWidth="1"/>
    <col min="3111" max="3111" width="10.6328125" style="253" customWidth="1"/>
    <col min="3112" max="3117" width="8.90625" style="253"/>
    <col min="3118" max="3118" width="9.36328125" style="253" bestFit="1" customWidth="1"/>
    <col min="3119" max="3119" width="9.1796875" style="253" bestFit="1" customWidth="1"/>
    <col min="3120" max="3120" width="9.08984375" style="253" bestFit="1" customWidth="1"/>
    <col min="3121" max="3331" width="8.90625" style="253"/>
    <col min="3332" max="3332" width="7.54296875" style="253" customWidth="1"/>
    <col min="3333" max="3333" width="43" style="253" customWidth="1"/>
    <col min="3334" max="3334" width="10.453125" style="253" customWidth="1"/>
    <col min="3335" max="3335" width="11.6328125" style="253" customWidth="1"/>
    <col min="3336" max="3336" width="11.1796875" style="253" customWidth="1"/>
    <col min="3337" max="3337" width="11.08984375" style="253" customWidth="1"/>
    <col min="3338" max="3338" width="9.90625" style="253" customWidth="1"/>
    <col min="3339" max="3339" width="12.1796875" style="253" customWidth="1"/>
    <col min="3340" max="3340" width="11.36328125" style="253" customWidth="1"/>
    <col min="3341" max="3341" width="10" style="253" customWidth="1"/>
    <col min="3342" max="3342" width="41" style="253" customWidth="1"/>
    <col min="3343" max="3343" width="11.81640625" style="253" customWidth="1"/>
    <col min="3344" max="3344" width="13" style="253" customWidth="1"/>
    <col min="3345" max="3345" width="12" style="253" bestFit="1" customWidth="1"/>
    <col min="3346" max="3346" width="13.08984375" style="253" customWidth="1"/>
    <col min="3347" max="3347" width="11.6328125" style="253" customWidth="1"/>
    <col min="3348" max="3349" width="8.90625" style="253"/>
    <col min="3350" max="3350" width="12.08984375" style="253" customWidth="1"/>
    <col min="3351" max="3351" width="11.6328125" style="253" customWidth="1"/>
    <col min="3352" max="3354" width="8.90625" style="253"/>
    <col min="3355" max="3355" width="10.81640625" style="253" customWidth="1"/>
    <col min="3356" max="3357" width="8.90625" style="253"/>
    <col min="3358" max="3358" width="13.90625" style="253" customWidth="1"/>
    <col min="3359" max="3359" width="10.6328125" style="253" customWidth="1"/>
    <col min="3360" max="3362" width="8.90625" style="253"/>
    <col min="3363" max="3363" width="12" style="253" customWidth="1"/>
    <col min="3364" max="3365" width="8.90625" style="253"/>
    <col min="3366" max="3366" width="9.81640625" style="253" customWidth="1"/>
    <col min="3367" max="3367" width="10.6328125" style="253" customWidth="1"/>
    <col min="3368" max="3373" width="8.90625" style="253"/>
    <col min="3374" max="3374" width="9.36328125" style="253" bestFit="1" customWidth="1"/>
    <col min="3375" max="3375" width="9.1796875" style="253" bestFit="1" customWidth="1"/>
    <col min="3376" max="3376" width="9.08984375" style="253" bestFit="1" customWidth="1"/>
    <col min="3377" max="3587" width="8.90625" style="253"/>
    <col min="3588" max="3588" width="7.54296875" style="253" customWidth="1"/>
    <col min="3589" max="3589" width="43" style="253" customWidth="1"/>
    <col min="3590" max="3590" width="10.453125" style="253" customWidth="1"/>
    <col min="3591" max="3591" width="11.6328125" style="253" customWidth="1"/>
    <col min="3592" max="3592" width="11.1796875" style="253" customWidth="1"/>
    <col min="3593" max="3593" width="11.08984375" style="253" customWidth="1"/>
    <col min="3594" max="3594" width="9.90625" style="253" customWidth="1"/>
    <col min="3595" max="3595" width="12.1796875" style="253" customWidth="1"/>
    <col min="3596" max="3596" width="11.36328125" style="253" customWidth="1"/>
    <col min="3597" max="3597" width="10" style="253" customWidth="1"/>
    <col min="3598" max="3598" width="41" style="253" customWidth="1"/>
    <col min="3599" max="3599" width="11.81640625" style="253" customWidth="1"/>
    <col min="3600" max="3600" width="13" style="253" customWidth="1"/>
    <col min="3601" max="3601" width="12" style="253" bestFit="1" customWidth="1"/>
    <col min="3602" max="3602" width="13.08984375" style="253" customWidth="1"/>
    <col min="3603" max="3603" width="11.6328125" style="253" customWidth="1"/>
    <col min="3604" max="3605" width="8.90625" style="253"/>
    <col min="3606" max="3606" width="12.08984375" style="253" customWidth="1"/>
    <col min="3607" max="3607" width="11.6328125" style="253" customWidth="1"/>
    <col min="3608" max="3610" width="8.90625" style="253"/>
    <col min="3611" max="3611" width="10.81640625" style="253" customWidth="1"/>
    <col min="3612" max="3613" width="8.90625" style="253"/>
    <col min="3614" max="3614" width="13.90625" style="253" customWidth="1"/>
    <col min="3615" max="3615" width="10.6328125" style="253" customWidth="1"/>
    <col min="3616" max="3618" width="8.90625" style="253"/>
    <col min="3619" max="3619" width="12" style="253" customWidth="1"/>
    <col min="3620" max="3621" width="8.90625" style="253"/>
    <col min="3622" max="3622" width="9.81640625" style="253" customWidth="1"/>
    <col min="3623" max="3623" width="10.6328125" style="253" customWidth="1"/>
    <col min="3624" max="3629" width="8.90625" style="253"/>
    <col min="3630" max="3630" width="9.36328125" style="253" bestFit="1" customWidth="1"/>
    <col min="3631" max="3631" width="9.1796875" style="253" bestFit="1" customWidth="1"/>
    <col min="3632" max="3632" width="9.08984375" style="253" bestFit="1" customWidth="1"/>
    <col min="3633" max="3843" width="8.90625" style="253"/>
    <col min="3844" max="3844" width="7.54296875" style="253" customWidth="1"/>
    <col min="3845" max="3845" width="43" style="253" customWidth="1"/>
    <col min="3846" max="3846" width="10.453125" style="253" customWidth="1"/>
    <col min="3847" max="3847" width="11.6328125" style="253" customWidth="1"/>
    <col min="3848" max="3848" width="11.1796875" style="253" customWidth="1"/>
    <col min="3849" max="3849" width="11.08984375" style="253" customWidth="1"/>
    <col min="3850" max="3850" width="9.90625" style="253" customWidth="1"/>
    <col min="3851" max="3851" width="12.1796875" style="253" customWidth="1"/>
    <col min="3852" max="3852" width="11.36328125" style="253" customWidth="1"/>
    <col min="3853" max="3853" width="10" style="253" customWidth="1"/>
    <col min="3854" max="3854" width="41" style="253" customWidth="1"/>
    <col min="3855" max="3855" width="11.81640625" style="253" customWidth="1"/>
    <col min="3856" max="3856" width="13" style="253" customWidth="1"/>
    <col min="3857" max="3857" width="12" style="253" bestFit="1" customWidth="1"/>
    <col min="3858" max="3858" width="13.08984375" style="253" customWidth="1"/>
    <col min="3859" max="3859" width="11.6328125" style="253" customWidth="1"/>
    <col min="3860" max="3861" width="8.90625" style="253"/>
    <col min="3862" max="3862" width="12.08984375" style="253" customWidth="1"/>
    <col min="3863" max="3863" width="11.6328125" style="253" customWidth="1"/>
    <col min="3864" max="3866" width="8.90625" style="253"/>
    <col min="3867" max="3867" width="10.81640625" style="253" customWidth="1"/>
    <col min="3868" max="3869" width="8.90625" style="253"/>
    <col min="3870" max="3870" width="13.90625" style="253" customWidth="1"/>
    <col min="3871" max="3871" width="10.6328125" style="253" customWidth="1"/>
    <col min="3872" max="3874" width="8.90625" style="253"/>
    <col min="3875" max="3875" width="12" style="253" customWidth="1"/>
    <col min="3876" max="3877" width="8.90625" style="253"/>
    <col min="3878" max="3878" width="9.81640625" style="253" customWidth="1"/>
    <col min="3879" max="3879" width="10.6328125" style="253" customWidth="1"/>
    <col min="3880" max="3885" width="8.90625" style="253"/>
    <col min="3886" max="3886" width="9.36328125" style="253" bestFit="1" customWidth="1"/>
    <col min="3887" max="3887" width="9.1796875" style="253" bestFit="1" customWidth="1"/>
    <col min="3888" max="3888" width="9.08984375" style="253" bestFit="1" customWidth="1"/>
    <col min="3889" max="4099" width="8.90625" style="253"/>
    <col min="4100" max="4100" width="7.54296875" style="253" customWidth="1"/>
    <col min="4101" max="4101" width="43" style="253" customWidth="1"/>
    <col min="4102" max="4102" width="10.453125" style="253" customWidth="1"/>
    <col min="4103" max="4103" width="11.6328125" style="253" customWidth="1"/>
    <col min="4104" max="4104" width="11.1796875" style="253" customWidth="1"/>
    <col min="4105" max="4105" width="11.08984375" style="253" customWidth="1"/>
    <col min="4106" max="4106" width="9.90625" style="253" customWidth="1"/>
    <col min="4107" max="4107" width="12.1796875" style="253" customWidth="1"/>
    <col min="4108" max="4108" width="11.36328125" style="253" customWidth="1"/>
    <col min="4109" max="4109" width="10" style="253" customWidth="1"/>
    <col min="4110" max="4110" width="41" style="253" customWidth="1"/>
    <col min="4111" max="4111" width="11.81640625" style="253" customWidth="1"/>
    <col min="4112" max="4112" width="13" style="253" customWidth="1"/>
    <col min="4113" max="4113" width="12" style="253" bestFit="1" customWidth="1"/>
    <col min="4114" max="4114" width="13.08984375" style="253" customWidth="1"/>
    <col min="4115" max="4115" width="11.6328125" style="253" customWidth="1"/>
    <col min="4116" max="4117" width="8.90625" style="253"/>
    <col min="4118" max="4118" width="12.08984375" style="253" customWidth="1"/>
    <col min="4119" max="4119" width="11.6328125" style="253" customWidth="1"/>
    <col min="4120" max="4122" width="8.90625" style="253"/>
    <col min="4123" max="4123" width="10.81640625" style="253" customWidth="1"/>
    <col min="4124" max="4125" width="8.90625" style="253"/>
    <col min="4126" max="4126" width="13.90625" style="253" customWidth="1"/>
    <col min="4127" max="4127" width="10.6328125" style="253" customWidth="1"/>
    <col min="4128" max="4130" width="8.90625" style="253"/>
    <col min="4131" max="4131" width="12" style="253" customWidth="1"/>
    <col min="4132" max="4133" width="8.90625" style="253"/>
    <col min="4134" max="4134" width="9.81640625" style="253" customWidth="1"/>
    <col min="4135" max="4135" width="10.6328125" style="253" customWidth="1"/>
    <col min="4136" max="4141" width="8.90625" style="253"/>
    <col min="4142" max="4142" width="9.36328125" style="253" bestFit="1" customWidth="1"/>
    <col min="4143" max="4143" width="9.1796875" style="253" bestFit="1" customWidth="1"/>
    <col min="4144" max="4144" width="9.08984375" style="253" bestFit="1" customWidth="1"/>
    <col min="4145" max="4355" width="8.90625" style="253"/>
    <col min="4356" max="4356" width="7.54296875" style="253" customWidth="1"/>
    <col min="4357" max="4357" width="43" style="253" customWidth="1"/>
    <col min="4358" max="4358" width="10.453125" style="253" customWidth="1"/>
    <col min="4359" max="4359" width="11.6328125" style="253" customWidth="1"/>
    <col min="4360" max="4360" width="11.1796875" style="253" customWidth="1"/>
    <col min="4361" max="4361" width="11.08984375" style="253" customWidth="1"/>
    <col min="4362" max="4362" width="9.90625" style="253" customWidth="1"/>
    <col min="4363" max="4363" width="12.1796875" style="253" customWidth="1"/>
    <col min="4364" max="4364" width="11.36328125" style="253" customWidth="1"/>
    <col min="4365" max="4365" width="10" style="253" customWidth="1"/>
    <col min="4366" max="4366" width="41" style="253" customWidth="1"/>
    <col min="4367" max="4367" width="11.81640625" style="253" customWidth="1"/>
    <col min="4368" max="4368" width="13" style="253" customWidth="1"/>
    <col min="4369" max="4369" width="12" style="253" bestFit="1" customWidth="1"/>
    <col min="4370" max="4370" width="13.08984375" style="253" customWidth="1"/>
    <col min="4371" max="4371" width="11.6328125" style="253" customWidth="1"/>
    <col min="4372" max="4373" width="8.90625" style="253"/>
    <col min="4374" max="4374" width="12.08984375" style="253" customWidth="1"/>
    <col min="4375" max="4375" width="11.6328125" style="253" customWidth="1"/>
    <col min="4376" max="4378" width="8.90625" style="253"/>
    <col min="4379" max="4379" width="10.81640625" style="253" customWidth="1"/>
    <col min="4380" max="4381" width="8.90625" style="253"/>
    <col min="4382" max="4382" width="13.90625" style="253" customWidth="1"/>
    <col min="4383" max="4383" width="10.6328125" style="253" customWidth="1"/>
    <col min="4384" max="4386" width="8.90625" style="253"/>
    <col min="4387" max="4387" width="12" style="253" customWidth="1"/>
    <col min="4388" max="4389" width="8.90625" style="253"/>
    <col min="4390" max="4390" width="9.81640625" style="253" customWidth="1"/>
    <col min="4391" max="4391" width="10.6328125" style="253" customWidth="1"/>
    <col min="4392" max="4397" width="8.90625" style="253"/>
    <col min="4398" max="4398" width="9.36328125" style="253" bestFit="1" customWidth="1"/>
    <col min="4399" max="4399" width="9.1796875" style="253" bestFit="1" customWidth="1"/>
    <col min="4400" max="4400" width="9.08984375" style="253" bestFit="1" customWidth="1"/>
    <col min="4401" max="4611" width="8.90625" style="253"/>
    <col min="4612" max="4612" width="7.54296875" style="253" customWidth="1"/>
    <col min="4613" max="4613" width="43" style="253" customWidth="1"/>
    <col min="4614" max="4614" width="10.453125" style="253" customWidth="1"/>
    <col min="4615" max="4615" width="11.6328125" style="253" customWidth="1"/>
    <col min="4616" max="4616" width="11.1796875" style="253" customWidth="1"/>
    <col min="4617" max="4617" width="11.08984375" style="253" customWidth="1"/>
    <col min="4618" max="4618" width="9.90625" style="253" customWidth="1"/>
    <col min="4619" max="4619" width="12.1796875" style="253" customWidth="1"/>
    <col min="4620" max="4620" width="11.36328125" style="253" customWidth="1"/>
    <col min="4621" max="4621" width="10" style="253" customWidth="1"/>
    <col min="4622" max="4622" width="41" style="253" customWidth="1"/>
    <col min="4623" max="4623" width="11.81640625" style="253" customWidth="1"/>
    <col min="4624" max="4624" width="13" style="253" customWidth="1"/>
    <col min="4625" max="4625" width="12" style="253" bestFit="1" customWidth="1"/>
    <col min="4626" max="4626" width="13.08984375" style="253" customWidth="1"/>
    <col min="4627" max="4627" width="11.6328125" style="253" customWidth="1"/>
    <col min="4628" max="4629" width="8.90625" style="253"/>
    <col min="4630" max="4630" width="12.08984375" style="253" customWidth="1"/>
    <col min="4631" max="4631" width="11.6328125" style="253" customWidth="1"/>
    <col min="4632" max="4634" width="8.90625" style="253"/>
    <col min="4635" max="4635" width="10.81640625" style="253" customWidth="1"/>
    <col min="4636" max="4637" width="8.90625" style="253"/>
    <col min="4638" max="4638" width="13.90625" style="253" customWidth="1"/>
    <col min="4639" max="4639" width="10.6328125" style="253" customWidth="1"/>
    <col min="4640" max="4642" width="8.90625" style="253"/>
    <col min="4643" max="4643" width="12" style="253" customWidth="1"/>
    <col min="4644" max="4645" width="8.90625" style="253"/>
    <col min="4646" max="4646" width="9.81640625" style="253" customWidth="1"/>
    <col min="4647" max="4647" width="10.6328125" style="253" customWidth="1"/>
    <col min="4648" max="4653" width="8.90625" style="253"/>
    <col min="4654" max="4654" width="9.36328125" style="253" bestFit="1" customWidth="1"/>
    <col min="4655" max="4655" width="9.1796875" style="253" bestFit="1" customWidth="1"/>
    <col min="4656" max="4656" width="9.08984375" style="253" bestFit="1" customWidth="1"/>
    <col min="4657" max="4867" width="8.90625" style="253"/>
    <col min="4868" max="4868" width="7.54296875" style="253" customWidth="1"/>
    <col min="4869" max="4869" width="43" style="253" customWidth="1"/>
    <col min="4870" max="4870" width="10.453125" style="253" customWidth="1"/>
    <col min="4871" max="4871" width="11.6328125" style="253" customWidth="1"/>
    <col min="4872" max="4872" width="11.1796875" style="253" customWidth="1"/>
    <col min="4873" max="4873" width="11.08984375" style="253" customWidth="1"/>
    <col min="4874" max="4874" width="9.90625" style="253" customWidth="1"/>
    <col min="4875" max="4875" width="12.1796875" style="253" customWidth="1"/>
    <col min="4876" max="4876" width="11.36328125" style="253" customWidth="1"/>
    <col min="4877" max="4877" width="10" style="253" customWidth="1"/>
    <col min="4878" max="4878" width="41" style="253" customWidth="1"/>
    <col min="4879" max="4879" width="11.81640625" style="253" customWidth="1"/>
    <col min="4880" max="4880" width="13" style="253" customWidth="1"/>
    <col min="4881" max="4881" width="12" style="253" bestFit="1" customWidth="1"/>
    <col min="4882" max="4882" width="13.08984375" style="253" customWidth="1"/>
    <col min="4883" max="4883" width="11.6328125" style="253" customWidth="1"/>
    <col min="4884" max="4885" width="8.90625" style="253"/>
    <col min="4886" max="4886" width="12.08984375" style="253" customWidth="1"/>
    <col min="4887" max="4887" width="11.6328125" style="253" customWidth="1"/>
    <col min="4888" max="4890" width="8.90625" style="253"/>
    <col min="4891" max="4891" width="10.81640625" style="253" customWidth="1"/>
    <col min="4892" max="4893" width="8.90625" style="253"/>
    <col min="4894" max="4894" width="13.90625" style="253" customWidth="1"/>
    <col min="4895" max="4895" width="10.6328125" style="253" customWidth="1"/>
    <col min="4896" max="4898" width="8.90625" style="253"/>
    <col min="4899" max="4899" width="12" style="253" customWidth="1"/>
    <col min="4900" max="4901" width="8.90625" style="253"/>
    <col min="4902" max="4902" width="9.81640625" style="253" customWidth="1"/>
    <col min="4903" max="4903" width="10.6328125" style="253" customWidth="1"/>
    <col min="4904" max="4909" width="8.90625" style="253"/>
    <col min="4910" max="4910" width="9.36328125" style="253" bestFit="1" customWidth="1"/>
    <col min="4911" max="4911" width="9.1796875" style="253" bestFit="1" customWidth="1"/>
    <col min="4912" max="4912" width="9.08984375" style="253" bestFit="1" customWidth="1"/>
    <col min="4913" max="5123" width="8.90625" style="253"/>
    <col min="5124" max="5124" width="7.54296875" style="253" customWidth="1"/>
    <col min="5125" max="5125" width="43" style="253" customWidth="1"/>
    <col min="5126" max="5126" width="10.453125" style="253" customWidth="1"/>
    <col min="5127" max="5127" width="11.6328125" style="253" customWidth="1"/>
    <col min="5128" max="5128" width="11.1796875" style="253" customWidth="1"/>
    <col min="5129" max="5129" width="11.08984375" style="253" customWidth="1"/>
    <col min="5130" max="5130" width="9.90625" style="253" customWidth="1"/>
    <col min="5131" max="5131" width="12.1796875" style="253" customWidth="1"/>
    <col min="5132" max="5132" width="11.36328125" style="253" customWidth="1"/>
    <col min="5133" max="5133" width="10" style="253" customWidth="1"/>
    <col min="5134" max="5134" width="41" style="253" customWidth="1"/>
    <col min="5135" max="5135" width="11.81640625" style="253" customWidth="1"/>
    <col min="5136" max="5136" width="13" style="253" customWidth="1"/>
    <col min="5137" max="5137" width="12" style="253" bestFit="1" customWidth="1"/>
    <col min="5138" max="5138" width="13.08984375" style="253" customWidth="1"/>
    <col min="5139" max="5139" width="11.6328125" style="253" customWidth="1"/>
    <col min="5140" max="5141" width="8.90625" style="253"/>
    <col min="5142" max="5142" width="12.08984375" style="253" customWidth="1"/>
    <col min="5143" max="5143" width="11.6328125" style="253" customWidth="1"/>
    <col min="5144" max="5146" width="8.90625" style="253"/>
    <col min="5147" max="5147" width="10.81640625" style="253" customWidth="1"/>
    <col min="5148" max="5149" width="8.90625" style="253"/>
    <col min="5150" max="5150" width="13.90625" style="253" customWidth="1"/>
    <col min="5151" max="5151" width="10.6328125" style="253" customWidth="1"/>
    <col min="5152" max="5154" width="8.90625" style="253"/>
    <col min="5155" max="5155" width="12" style="253" customWidth="1"/>
    <col min="5156" max="5157" width="8.90625" style="253"/>
    <col min="5158" max="5158" width="9.81640625" style="253" customWidth="1"/>
    <col min="5159" max="5159" width="10.6328125" style="253" customWidth="1"/>
    <col min="5160" max="5165" width="8.90625" style="253"/>
    <col min="5166" max="5166" width="9.36328125" style="253" bestFit="1" customWidth="1"/>
    <col min="5167" max="5167" width="9.1796875" style="253" bestFit="1" customWidth="1"/>
    <col min="5168" max="5168" width="9.08984375" style="253" bestFit="1" customWidth="1"/>
    <col min="5169" max="5379" width="8.90625" style="253"/>
    <col min="5380" max="5380" width="7.54296875" style="253" customWidth="1"/>
    <col min="5381" max="5381" width="43" style="253" customWidth="1"/>
    <col min="5382" max="5382" width="10.453125" style="253" customWidth="1"/>
    <col min="5383" max="5383" width="11.6328125" style="253" customWidth="1"/>
    <col min="5384" max="5384" width="11.1796875" style="253" customWidth="1"/>
    <col min="5385" max="5385" width="11.08984375" style="253" customWidth="1"/>
    <col min="5386" max="5386" width="9.90625" style="253" customWidth="1"/>
    <col min="5387" max="5387" width="12.1796875" style="253" customWidth="1"/>
    <col min="5388" max="5388" width="11.36328125" style="253" customWidth="1"/>
    <col min="5389" max="5389" width="10" style="253" customWidth="1"/>
    <col min="5390" max="5390" width="41" style="253" customWidth="1"/>
    <col min="5391" max="5391" width="11.81640625" style="253" customWidth="1"/>
    <col min="5392" max="5392" width="13" style="253" customWidth="1"/>
    <col min="5393" max="5393" width="12" style="253" bestFit="1" customWidth="1"/>
    <col min="5394" max="5394" width="13.08984375" style="253" customWidth="1"/>
    <col min="5395" max="5395" width="11.6328125" style="253" customWidth="1"/>
    <col min="5396" max="5397" width="8.90625" style="253"/>
    <col min="5398" max="5398" width="12.08984375" style="253" customWidth="1"/>
    <col min="5399" max="5399" width="11.6328125" style="253" customWidth="1"/>
    <col min="5400" max="5402" width="8.90625" style="253"/>
    <col min="5403" max="5403" width="10.81640625" style="253" customWidth="1"/>
    <col min="5404" max="5405" width="8.90625" style="253"/>
    <col min="5406" max="5406" width="13.90625" style="253" customWidth="1"/>
    <col min="5407" max="5407" width="10.6328125" style="253" customWidth="1"/>
    <col min="5408" max="5410" width="8.90625" style="253"/>
    <col min="5411" max="5411" width="12" style="253" customWidth="1"/>
    <col min="5412" max="5413" width="8.90625" style="253"/>
    <col min="5414" max="5414" width="9.81640625" style="253" customWidth="1"/>
    <col min="5415" max="5415" width="10.6328125" style="253" customWidth="1"/>
    <col min="5416" max="5421" width="8.90625" style="253"/>
    <col min="5422" max="5422" width="9.36328125" style="253" bestFit="1" customWidth="1"/>
    <col min="5423" max="5423" width="9.1796875" style="253" bestFit="1" customWidth="1"/>
    <col min="5424" max="5424" width="9.08984375" style="253" bestFit="1" customWidth="1"/>
    <col min="5425" max="5635" width="8.90625" style="253"/>
    <col min="5636" max="5636" width="7.54296875" style="253" customWidth="1"/>
    <col min="5637" max="5637" width="43" style="253" customWidth="1"/>
    <col min="5638" max="5638" width="10.453125" style="253" customWidth="1"/>
    <col min="5639" max="5639" width="11.6328125" style="253" customWidth="1"/>
    <col min="5640" max="5640" width="11.1796875" style="253" customWidth="1"/>
    <col min="5641" max="5641" width="11.08984375" style="253" customWidth="1"/>
    <col min="5642" max="5642" width="9.90625" style="253" customWidth="1"/>
    <col min="5643" max="5643" width="12.1796875" style="253" customWidth="1"/>
    <col min="5644" max="5644" width="11.36328125" style="253" customWidth="1"/>
    <col min="5645" max="5645" width="10" style="253" customWidth="1"/>
    <col min="5646" max="5646" width="41" style="253" customWidth="1"/>
    <col min="5647" max="5647" width="11.81640625" style="253" customWidth="1"/>
    <col min="5648" max="5648" width="13" style="253" customWidth="1"/>
    <col min="5649" max="5649" width="12" style="253" bestFit="1" customWidth="1"/>
    <col min="5650" max="5650" width="13.08984375" style="253" customWidth="1"/>
    <col min="5651" max="5651" width="11.6328125" style="253" customWidth="1"/>
    <col min="5652" max="5653" width="8.90625" style="253"/>
    <col min="5654" max="5654" width="12.08984375" style="253" customWidth="1"/>
    <col min="5655" max="5655" width="11.6328125" style="253" customWidth="1"/>
    <col min="5656" max="5658" width="8.90625" style="253"/>
    <col min="5659" max="5659" width="10.81640625" style="253" customWidth="1"/>
    <col min="5660" max="5661" width="8.90625" style="253"/>
    <col min="5662" max="5662" width="13.90625" style="253" customWidth="1"/>
    <col min="5663" max="5663" width="10.6328125" style="253" customWidth="1"/>
    <col min="5664" max="5666" width="8.90625" style="253"/>
    <col min="5667" max="5667" width="12" style="253" customWidth="1"/>
    <col min="5668" max="5669" width="8.90625" style="253"/>
    <col min="5670" max="5670" width="9.81640625" style="253" customWidth="1"/>
    <col min="5671" max="5671" width="10.6328125" style="253" customWidth="1"/>
    <col min="5672" max="5677" width="8.90625" style="253"/>
    <col min="5678" max="5678" width="9.36328125" style="253" bestFit="1" customWidth="1"/>
    <col min="5679" max="5679" width="9.1796875" style="253" bestFit="1" customWidth="1"/>
    <col min="5680" max="5680" width="9.08984375" style="253" bestFit="1" customWidth="1"/>
    <col min="5681" max="5891" width="8.90625" style="253"/>
    <col min="5892" max="5892" width="7.54296875" style="253" customWidth="1"/>
    <col min="5893" max="5893" width="43" style="253" customWidth="1"/>
    <col min="5894" max="5894" width="10.453125" style="253" customWidth="1"/>
    <col min="5895" max="5895" width="11.6328125" style="253" customWidth="1"/>
    <col min="5896" max="5896" width="11.1796875" style="253" customWidth="1"/>
    <col min="5897" max="5897" width="11.08984375" style="253" customWidth="1"/>
    <col min="5898" max="5898" width="9.90625" style="253" customWidth="1"/>
    <col min="5899" max="5899" width="12.1796875" style="253" customWidth="1"/>
    <col min="5900" max="5900" width="11.36328125" style="253" customWidth="1"/>
    <col min="5901" max="5901" width="10" style="253" customWidth="1"/>
    <col min="5902" max="5902" width="41" style="253" customWidth="1"/>
    <col min="5903" max="5903" width="11.81640625" style="253" customWidth="1"/>
    <col min="5904" max="5904" width="13" style="253" customWidth="1"/>
    <col min="5905" max="5905" width="12" style="253" bestFit="1" customWidth="1"/>
    <col min="5906" max="5906" width="13.08984375" style="253" customWidth="1"/>
    <col min="5907" max="5907" width="11.6328125" style="253" customWidth="1"/>
    <col min="5908" max="5909" width="8.90625" style="253"/>
    <col min="5910" max="5910" width="12.08984375" style="253" customWidth="1"/>
    <col min="5911" max="5911" width="11.6328125" style="253" customWidth="1"/>
    <col min="5912" max="5914" width="8.90625" style="253"/>
    <col min="5915" max="5915" width="10.81640625" style="253" customWidth="1"/>
    <col min="5916" max="5917" width="8.90625" style="253"/>
    <col min="5918" max="5918" width="13.90625" style="253" customWidth="1"/>
    <col min="5919" max="5919" width="10.6328125" style="253" customWidth="1"/>
    <col min="5920" max="5922" width="8.90625" style="253"/>
    <col min="5923" max="5923" width="12" style="253" customWidth="1"/>
    <col min="5924" max="5925" width="8.90625" style="253"/>
    <col min="5926" max="5926" width="9.81640625" style="253" customWidth="1"/>
    <col min="5927" max="5927" width="10.6328125" style="253" customWidth="1"/>
    <col min="5928" max="5933" width="8.90625" style="253"/>
    <col min="5934" max="5934" width="9.36328125" style="253" bestFit="1" customWidth="1"/>
    <col min="5935" max="5935" width="9.1796875" style="253" bestFit="1" customWidth="1"/>
    <col min="5936" max="5936" width="9.08984375" style="253" bestFit="1" customWidth="1"/>
    <col min="5937" max="6147" width="8.90625" style="253"/>
    <col min="6148" max="6148" width="7.54296875" style="253" customWidth="1"/>
    <col min="6149" max="6149" width="43" style="253" customWidth="1"/>
    <col min="6150" max="6150" width="10.453125" style="253" customWidth="1"/>
    <col min="6151" max="6151" width="11.6328125" style="253" customWidth="1"/>
    <col min="6152" max="6152" width="11.1796875" style="253" customWidth="1"/>
    <col min="6153" max="6153" width="11.08984375" style="253" customWidth="1"/>
    <col min="6154" max="6154" width="9.90625" style="253" customWidth="1"/>
    <col min="6155" max="6155" width="12.1796875" style="253" customWidth="1"/>
    <col min="6156" max="6156" width="11.36328125" style="253" customWidth="1"/>
    <col min="6157" max="6157" width="10" style="253" customWidth="1"/>
    <col min="6158" max="6158" width="41" style="253" customWidth="1"/>
    <col min="6159" max="6159" width="11.81640625" style="253" customWidth="1"/>
    <col min="6160" max="6160" width="13" style="253" customWidth="1"/>
    <col min="6161" max="6161" width="12" style="253" bestFit="1" customWidth="1"/>
    <col min="6162" max="6162" width="13.08984375" style="253" customWidth="1"/>
    <col min="6163" max="6163" width="11.6328125" style="253" customWidth="1"/>
    <col min="6164" max="6165" width="8.90625" style="253"/>
    <col min="6166" max="6166" width="12.08984375" style="253" customWidth="1"/>
    <col min="6167" max="6167" width="11.6328125" style="253" customWidth="1"/>
    <col min="6168" max="6170" width="8.90625" style="253"/>
    <col min="6171" max="6171" width="10.81640625" style="253" customWidth="1"/>
    <col min="6172" max="6173" width="8.90625" style="253"/>
    <col min="6174" max="6174" width="13.90625" style="253" customWidth="1"/>
    <col min="6175" max="6175" width="10.6328125" style="253" customWidth="1"/>
    <col min="6176" max="6178" width="8.90625" style="253"/>
    <col min="6179" max="6179" width="12" style="253" customWidth="1"/>
    <col min="6180" max="6181" width="8.90625" style="253"/>
    <col min="6182" max="6182" width="9.81640625" style="253" customWidth="1"/>
    <col min="6183" max="6183" width="10.6328125" style="253" customWidth="1"/>
    <col min="6184" max="6189" width="8.90625" style="253"/>
    <col min="6190" max="6190" width="9.36328125" style="253" bestFit="1" customWidth="1"/>
    <col min="6191" max="6191" width="9.1796875" style="253" bestFit="1" customWidth="1"/>
    <col min="6192" max="6192" width="9.08984375" style="253" bestFit="1" customWidth="1"/>
    <col min="6193" max="6403" width="8.90625" style="253"/>
    <col min="6404" max="6404" width="7.54296875" style="253" customWidth="1"/>
    <col min="6405" max="6405" width="43" style="253" customWidth="1"/>
    <col min="6406" max="6406" width="10.453125" style="253" customWidth="1"/>
    <col min="6407" max="6407" width="11.6328125" style="253" customWidth="1"/>
    <col min="6408" max="6408" width="11.1796875" style="253" customWidth="1"/>
    <col min="6409" max="6409" width="11.08984375" style="253" customWidth="1"/>
    <col min="6410" max="6410" width="9.90625" style="253" customWidth="1"/>
    <col min="6411" max="6411" width="12.1796875" style="253" customWidth="1"/>
    <col min="6412" max="6412" width="11.36328125" style="253" customWidth="1"/>
    <col min="6413" max="6413" width="10" style="253" customWidth="1"/>
    <col min="6414" max="6414" width="41" style="253" customWidth="1"/>
    <col min="6415" max="6415" width="11.81640625" style="253" customWidth="1"/>
    <col min="6416" max="6416" width="13" style="253" customWidth="1"/>
    <col min="6417" max="6417" width="12" style="253" bestFit="1" customWidth="1"/>
    <col min="6418" max="6418" width="13.08984375" style="253" customWidth="1"/>
    <col min="6419" max="6419" width="11.6328125" style="253" customWidth="1"/>
    <col min="6420" max="6421" width="8.90625" style="253"/>
    <col min="6422" max="6422" width="12.08984375" style="253" customWidth="1"/>
    <col min="6423" max="6423" width="11.6328125" style="253" customWidth="1"/>
    <col min="6424" max="6426" width="8.90625" style="253"/>
    <col min="6427" max="6427" width="10.81640625" style="253" customWidth="1"/>
    <col min="6428" max="6429" width="8.90625" style="253"/>
    <col min="6430" max="6430" width="13.90625" style="253" customWidth="1"/>
    <col min="6431" max="6431" width="10.6328125" style="253" customWidth="1"/>
    <col min="6432" max="6434" width="8.90625" style="253"/>
    <col min="6435" max="6435" width="12" style="253" customWidth="1"/>
    <col min="6436" max="6437" width="8.90625" style="253"/>
    <col min="6438" max="6438" width="9.81640625" style="253" customWidth="1"/>
    <col min="6439" max="6439" width="10.6328125" style="253" customWidth="1"/>
    <col min="6440" max="6445" width="8.90625" style="253"/>
    <col min="6446" max="6446" width="9.36328125" style="253" bestFit="1" customWidth="1"/>
    <col min="6447" max="6447" width="9.1796875" style="253" bestFit="1" customWidth="1"/>
    <col min="6448" max="6448" width="9.08984375" style="253" bestFit="1" customWidth="1"/>
    <col min="6449" max="6659" width="8.90625" style="253"/>
    <col min="6660" max="6660" width="7.54296875" style="253" customWidth="1"/>
    <col min="6661" max="6661" width="43" style="253" customWidth="1"/>
    <col min="6662" max="6662" width="10.453125" style="253" customWidth="1"/>
    <col min="6663" max="6663" width="11.6328125" style="253" customWidth="1"/>
    <col min="6664" max="6664" width="11.1796875" style="253" customWidth="1"/>
    <col min="6665" max="6665" width="11.08984375" style="253" customWidth="1"/>
    <col min="6666" max="6666" width="9.90625" style="253" customWidth="1"/>
    <col min="6667" max="6667" width="12.1796875" style="253" customWidth="1"/>
    <col min="6668" max="6668" width="11.36328125" style="253" customWidth="1"/>
    <col min="6669" max="6669" width="10" style="253" customWidth="1"/>
    <col min="6670" max="6670" width="41" style="253" customWidth="1"/>
    <col min="6671" max="6671" width="11.81640625" style="253" customWidth="1"/>
    <col min="6672" max="6672" width="13" style="253" customWidth="1"/>
    <col min="6673" max="6673" width="12" style="253" bestFit="1" customWidth="1"/>
    <col min="6674" max="6674" width="13.08984375" style="253" customWidth="1"/>
    <col min="6675" max="6675" width="11.6328125" style="253" customWidth="1"/>
    <col min="6676" max="6677" width="8.90625" style="253"/>
    <col min="6678" max="6678" width="12.08984375" style="253" customWidth="1"/>
    <col min="6679" max="6679" width="11.6328125" style="253" customWidth="1"/>
    <col min="6680" max="6682" width="8.90625" style="253"/>
    <col min="6683" max="6683" width="10.81640625" style="253" customWidth="1"/>
    <col min="6684" max="6685" width="8.90625" style="253"/>
    <col min="6686" max="6686" width="13.90625" style="253" customWidth="1"/>
    <col min="6687" max="6687" width="10.6328125" style="253" customWidth="1"/>
    <col min="6688" max="6690" width="8.90625" style="253"/>
    <col min="6691" max="6691" width="12" style="253" customWidth="1"/>
    <col min="6692" max="6693" width="8.90625" style="253"/>
    <col min="6694" max="6694" width="9.81640625" style="253" customWidth="1"/>
    <col min="6695" max="6695" width="10.6328125" style="253" customWidth="1"/>
    <col min="6696" max="6701" width="8.90625" style="253"/>
    <col min="6702" max="6702" width="9.36328125" style="253" bestFit="1" customWidth="1"/>
    <col min="6703" max="6703" width="9.1796875" style="253" bestFit="1" customWidth="1"/>
    <col min="6704" max="6704" width="9.08984375" style="253" bestFit="1" customWidth="1"/>
    <col min="6705" max="6915" width="8.90625" style="253"/>
    <col min="6916" max="6916" width="7.54296875" style="253" customWidth="1"/>
    <col min="6917" max="6917" width="43" style="253" customWidth="1"/>
    <col min="6918" max="6918" width="10.453125" style="253" customWidth="1"/>
    <col min="6919" max="6919" width="11.6328125" style="253" customWidth="1"/>
    <col min="6920" max="6920" width="11.1796875" style="253" customWidth="1"/>
    <col min="6921" max="6921" width="11.08984375" style="253" customWidth="1"/>
    <col min="6922" max="6922" width="9.90625" style="253" customWidth="1"/>
    <col min="6923" max="6923" width="12.1796875" style="253" customWidth="1"/>
    <col min="6924" max="6924" width="11.36328125" style="253" customWidth="1"/>
    <col min="6925" max="6925" width="10" style="253" customWidth="1"/>
    <col min="6926" max="6926" width="41" style="253" customWidth="1"/>
    <col min="6927" max="6927" width="11.81640625" style="253" customWidth="1"/>
    <col min="6928" max="6928" width="13" style="253" customWidth="1"/>
    <col min="6929" max="6929" width="12" style="253" bestFit="1" customWidth="1"/>
    <col min="6930" max="6930" width="13.08984375" style="253" customWidth="1"/>
    <col min="6931" max="6931" width="11.6328125" style="253" customWidth="1"/>
    <col min="6932" max="6933" width="8.90625" style="253"/>
    <col min="6934" max="6934" width="12.08984375" style="253" customWidth="1"/>
    <col min="6935" max="6935" width="11.6328125" style="253" customWidth="1"/>
    <col min="6936" max="6938" width="8.90625" style="253"/>
    <col min="6939" max="6939" width="10.81640625" style="253" customWidth="1"/>
    <col min="6940" max="6941" width="8.90625" style="253"/>
    <col min="6942" max="6942" width="13.90625" style="253" customWidth="1"/>
    <col min="6943" max="6943" width="10.6328125" style="253" customWidth="1"/>
    <col min="6944" max="6946" width="8.90625" style="253"/>
    <col min="6947" max="6947" width="12" style="253" customWidth="1"/>
    <col min="6948" max="6949" width="8.90625" style="253"/>
    <col min="6950" max="6950" width="9.81640625" style="253" customWidth="1"/>
    <col min="6951" max="6951" width="10.6328125" style="253" customWidth="1"/>
    <col min="6952" max="6957" width="8.90625" style="253"/>
    <col min="6958" max="6958" width="9.36328125" style="253" bestFit="1" customWidth="1"/>
    <col min="6959" max="6959" width="9.1796875" style="253" bestFit="1" customWidth="1"/>
    <col min="6960" max="6960" width="9.08984375" style="253" bestFit="1" customWidth="1"/>
    <col min="6961" max="7171" width="8.90625" style="253"/>
    <col min="7172" max="7172" width="7.54296875" style="253" customWidth="1"/>
    <col min="7173" max="7173" width="43" style="253" customWidth="1"/>
    <col min="7174" max="7174" width="10.453125" style="253" customWidth="1"/>
    <col min="7175" max="7175" width="11.6328125" style="253" customWidth="1"/>
    <col min="7176" max="7176" width="11.1796875" style="253" customWidth="1"/>
    <col min="7177" max="7177" width="11.08984375" style="253" customWidth="1"/>
    <col min="7178" max="7178" width="9.90625" style="253" customWidth="1"/>
    <col min="7179" max="7179" width="12.1796875" style="253" customWidth="1"/>
    <col min="7180" max="7180" width="11.36328125" style="253" customWidth="1"/>
    <col min="7181" max="7181" width="10" style="253" customWidth="1"/>
    <col min="7182" max="7182" width="41" style="253" customWidth="1"/>
    <col min="7183" max="7183" width="11.81640625" style="253" customWidth="1"/>
    <col min="7184" max="7184" width="13" style="253" customWidth="1"/>
    <col min="7185" max="7185" width="12" style="253" bestFit="1" customWidth="1"/>
    <col min="7186" max="7186" width="13.08984375" style="253" customWidth="1"/>
    <col min="7187" max="7187" width="11.6328125" style="253" customWidth="1"/>
    <col min="7188" max="7189" width="8.90625" style="253"/>
    <col min="7190" max="7190" width="12.08984375" style="253" customWidth="1"/>
    <col min="7191" max="7191" width="11.6328125" style="253" customWidth="1"/>
    <col min="7192" max="7194" width="8.90625" style="253"/>
    <col min="7195" max="7195" width="10.81640625" style="253" customWidth="1"/>
    <col min="7196" max="7197" width="8.90625" style="253"/>
    <col min="7198" max="7198" width="13.90625" style="253" customWidth="1"/>
    <col min="7199" max="7199" width="10.6328125" style="253" customWidth="1"/>
    <col min="7200" max="7202" width="8.90625" style="253"/>
    <col min="7203" max="7203" width="12" style="253" customWidth="1"/>
    <col min="7204" max="7205" width="8.90625" style="253"/>
    <col min="7206" max="7206" width="9.81640625" style="253" customWidth="1"/>
    <col min="7207" max="7207" width="10.6328125" style="253" customWidth="1"/>
    <col min="7208" max="7213" width="8.90625" style="253"/>
    <col min="7214" max="7214" width="9.36328125" style="253" bestFit="1" customWidth="1"/>
    <col min="7215" max="7215" width="9.1796875" style="253" bestFit="1" customWidth="1"/>
    <col min="7216" max="7216" width="9.08984375" style="253" bestFit="1" customWidth="1"/>
    <col min="7217" max="7427" width="8.90625" style="253"/>
    <col min="7428" max="7428" width="7.54296875" style="253" customWidth="1"/>
    <col min="7429" max="7429" width="43" style="253" customWidth="1"/>
    <col min="7430" max="7430" width="10.453125" style="253" customWidth="1"/>
    <col min="7431" max="7431" width="11.6328125" style="253" customWidth="1"/>
    <col min="7432" max="7432" width="11.1796875" style="253" customWidth="1"/>
    <col min="7433" max="7433" width="11.08984375" style="253" customWidth="1"/>
    <col min="7434" max="7434" width="9.90625" style="253" customWidth="1"/>
    <col min="7435" max="7435" width="12.1796875" style="253" customWidth="1"/>
    <col min="7436" max="7436" width="11.36328125" style="253" customWidth="1"/>
    <col min="7437" max="7437" width="10" style="253" customWidth="1"/>
    <col min="7438" max="7438" width="41" style="253" customWidth="1"/>
    <col min="7439" max="7439" width="11.81640625" style="253" customWidth="1"/>
    <col min="7440" max="7440" width="13" style="253" customWidth="1"/>
    <col min="7441" max="7441" width="12" style="253" bestFit="1" customWidth="1"/>
    <col min="7442" max="7442" width="13.08984375" style="253" customWidth="1"/>
    <col min="7443" max="7443" width="11.6328125" style="253" customWidth="1"/>
    <col min="7444" max="7445" width="8.90625" style="253"/>
    <col min="7446" max="7446" width="12.08984375" style="253" customWidth="1"/>
    <col min="7447" max="7447" width="11.6328125" style="253" customWidth="1"/>
    <col min="7448" max="7450" width="8.90625" style="253"/>
    <col min="7451" max="7451" width="10.81640625" style="253" customWidth="1"/>
    <col min="7452" max="7453" width="8.90625" style="253"/>
    <col min="7454" max="7454" width="13.90625" style="253" customWidth="1"/>
    <col min="7455" max="7455" width="10.6328125" style="253" customWidth="1"/>
    <col min="7456" max="7458" width="8.90625" style="253"/>
    <col min="7459" max="7459" width="12" style="253" customWidth="1"/>
    <col min="7460" max="7461" width="8.90625" style="253"/>
    <col min="7462" max="7462" width="9.81640625" style="253" customWidth="1"/>
    <col min="7463" max="7463" width="10.6328125" style="253" customWidth="1"/>
    <col min="7464" max="7469" width="8.90625" style="253"/>
    <col min="7470" max="7470" width="9.36328125" style="253" bestFit="1" customWidth="1"/>
    <col min="7471" max="7471" width="9.1796875" style="253" bestFit="1" customWidth="1"/>
    <col min="7472" max="7472" width="9.08984375" style="253" bestFit="1" customWidth="1"/>
    <col min="7473" max="7683" width="8.90625" style="253"/>
    <col min="7684" max="7684" width="7.54296875" style="253" customWidth="1"/>
    <col min="7685" max="7685" width="43" style="253" customWidth="1"/>
    <col min="7686" max="7686" width="10.453125" style="253" customWidth="1"/>
    <col min="7687" max="7687" width="11.6328125" style="253" customWidth="1"/>
    <col min="7688" max="7688" width="11.1796875" style="253" customWidth="1"/>
    <col min="7689" max="7689" width="11.08984375" style="253" customWidth="1"/>
    <col min="7690" max="7690" width="9.90625" style="253" customWidth="1"/>
    <col min="7691" max="7691" width="12.1796875" style="253" customWidth="1"/>
    <col min="7692" max="7692" width="11.36328125" style="253" customWidth="1"/>
    <col min="7693" max="7693" width="10" style="253" customWidth="1"/>
    <col min="7694" max="7694" width="41" style="253" customWidth="1"/>
    <col min="7695" max="7695" width="11.81640625" style="253" customWidth="1"/>
    <col min="7696" max="7696" width="13" style="253" customWidth="1"/>
    <col min="7697" max="7697" width="12" style="253" bestFit="1" customWidth="1"/>
    <col min="7698" max="7698" width="13.08984375" style="253" customWidth="1"/>
    <col min="7699" max="7699" width="11.6328125" style="253" customWidth="1"/>
    <col min="7700" max="7701" width="8.90625" style="253"/>
    <col min="7702" max="7702" width="12.08984375" style="253" customWidth="1"/>
    <col min="7703" max="7703" width="11.6328125" style="253" customWidth="1"/>
    <col min="7704" max="7706" width="8.90625" style="253"/>
    <col min="7707" max="7707" width="10.81640625" style="253" customWidth="1"/>
    <col min="7708" max="7709" width="8.90625" style="253"/>
    <col min="7710" max="7710" width="13.90625" style="253" customWidth="1"/>
    <col min="7711" max="7711" width="10.6328125" style="253" customWidth="1"/>
    <col min="7712" max="7714" width="8.90625" style="253"/>
    <col min="7715" max="7715" width="12" style="253" customWidth="1"/>
    <col min="7716" max="7717" width="8.90625" style="253"/>
    <col min="7718" max="7718" width="9.81640625" style="253" customWidth="1"/>
    <col min="7719" max="7719" width="10.6328125" style="253" customWidth="1"/>
    <col min="7720" max="7725" width="8.90625" style="253"/>
    <col min="7726" max="7726" width="9.36328125" style="253" bestFit="1" customWidth="1"/>
    <col min="7727" max="7727" width="9.1796875" style="253" bestFit="1" customWidth="1"/>
    <col min="7728" max="7728" width="9.08984375" style="253" bestFit="1" customWidth="1"/>
    <col min="7729" max="7939" width="8.90625" style="253"/>
    <col min="7940" max="7940" width="7.54296875" style="253" customWidth="1"/>
    <col min="7941" max="7941" width="43" style="253" customWidth="1"/>
    <col min="7942" max="7942" width="10.453125" style="253" customWidth="1"/>
    <col min="7943" max="7943" width="11.6328125" style="253" customWidth="1"/>
    <col min="7944" max="7944" width="11.1796875" style="253" customWidth="1"/>
    <col min="7945" max="7945" width="11.08984375" style="253" customWidth="1"/>
    <col min="7946" max="7946" width="9.90625" style="253" customWidth="1"/>
    <col min="7947" max="7947" width="12.1796875" style="253" customWidth="1"/>
    <col min="7948" max="7948" width="11.36328125" style="253" customWidth="1"/>
    <col min="7949" max="7949" width="10" style="253" customWidth="1"/>
    <col min="7950" max="7950" width="41" style="253" customWidth="1"/>
    <col min="7951" max="7951" width="11.81640625" style="253" customWidth="1"/>
    <col min="7952" max="7952" width="13" style="253" customWidth="1"/>
    <col min="7953" max="7953" width="12" style="253" bestFit="1" customWidth="1"/>
    <col min="7954" max="7954" width="13.08984375" style="253" customWidth="1"/>
    <col min="7955" max="7955" width="11.6328125" style="253" customWidth="1"/>
    <col min="7956" max="7957" width="8.90625" style="253"/>
    <col min="7958" max="7958" width="12.08984375" style="253" customWidth="1"/>
    <col min="7959" max="7959" width="11.6328125" style="253" customWidth="1"/>
    <col min="7960" max="7962" width="8.90625" style="253"/>
    <col min="7963" max="7963" width="10.81640625" style="253" customWidth="1"/>
    <col min="7964" max="7965" width="8.90625" style="253"/>
    <col min="7966" max="7966" width="13.90625" style="253" customWidth="1"/>
    <col min="7967" max="7967" width="10.6328125" style="253" customWidth="1"/>
    <col min="7968" max="7970" width="8.90625" style="253"/>
    <col min="7971" max="7971" width="12" style="253" customWidth="1"/>
    <col min="7972" max="7973" width="8.90625" style="253"/>
    <col min="7974" max="7974" width="9.81640625" style="253" customWidth="1"/>
    <col min="7975" max="7975" width="10.6328125" style="253" customWidth="1"/>
    <col min="7976" max="7981" width="8.90625" style="253"/>
    <col min="7982" max="7982" width="9.36328125" style="253" bestFit="1" customWidth="1"/>
    <col min="7983" max="7983" width="9.1796875" style="253" bestFit="1" customWidth="1"/>
    <col min="7984" max="7984" width="9.08984375" style="253" bestFit="1" customWidth="1"/>
    <col min="7985" max="8195" width="8.90625" style="253"/>
    <col min="8196" max="8196" width="7.54296875" style="253" customWidth="1"/>
    <col min="8197" max="8197" width="43" style="253" customWidth="1"/>
    <col min="8198" max="8198" width="10.453125" style="253" customWidth="1"/>
    <col min="8199" max="8199" width="11.6328125" style="253" customWidth="1"/>
    <col min="8200" max="8200" width="11.1796875" style="253" customWidth="1"/>
    <col min="8201" max="8201" width="11.08984375" style="253" customWidth="1"/>
    <col min="8202" max="8202" width="9.90625" style="253" customWidth="1"/>
    <col min="8203" max="8203" width="12.1796875" style="253" customWidth="1"/>
    <col min="8204" max="8204" width="11.36328125" style="253" customWidth="1"/>
    <col min="8205" max="8205" width="10" style="253" customWidth="1"/>
    <col min="8206" max="8206" width="41" style="253" customWidth="1"/>
    <col min="8207" max="8207" width="11.81640625" style="253" customWidth="1"/>
    <col min="8208" max="8208" width="13" style="253" customWidth="1"/>
    <col min="8209" max="8209" width="12" style="253" bestFit="1" customWidth="1"/>
    <col min="8210" max="8210" width="13.08984375" style="253" customWidth="1"/>
    <col min="8211" max="8211" width="11.6328125" style="253" customWidth="1"/>
    <col min="8212" max="8213" width="8.90625" style="253"/>
    <col min="8214" max="8214" width="12.08984375" style="253" customWidth="1"/>
    <col min="8215" max="8215" width="11.6328125" style="253" customWidth="1"/>
    <col min="8216" max="8218" width="8.90625" style="253"/>
    <col min="8219" max="8219" width="10.81640625" style="253" customWidth="1"/>
    <col min="8220" max="8221" width="8.90625" style="253"/>
    <col min="8222" max="8222" width="13.90625" style="253" customWidth="1"/>
    <col min="8223" max="8223" width="10.6328125" style="253" customWidth="1"/>
    <col min="8224" max="8226" width="8.90625" style="253"/>
    <col min="8227" max="8227" width="12" style="253" customWidth="1"/>
    <col min="8228" max="8229" width="8.90625" style="253"/>
    <col min="8230" max="8230" width="9.81640625" style="253" customWidth="1"/>
    <col min="8231" max="8231" width="10.6328125" style="253" customWidth="1"/>
    <col min="8232" max="8237" width="8.90625" style="253"/>
    <col min="8238" max="8238" width="9.36328125" style="253" bestFit="1" customWidth="1"/>
    <col min="8239" max="8239" width="9.1796875" style="253" bestFit="1" customWidth="1"/>
    <col min="8240" max="8240" width="9.08984375" style="253" bestFit="1" customWidth="1"/>
    <col min="8241" max="8451" width="8.90625" style="253"/>
    <col min="8452" max="8452" width="7.54296875" style="253" customWidth="1"/>
    <col min="8453" max="8453" width="43" style="253" customWidth="1"/>
    <col min="8454" max="8454" width="10.453125" style="253" customWidth="1"/>
    <col min="8455" max="8455" width="11.6328125" style="253" customWidth="1"/>
    <col min="8456" max="8456" width="11.1796875" style="253" customWidth="1"/>
    <col min="8457" max="8457" width="11.08984375" style="253" customWidth="1"/>
    <col min="8458" max="8458" width="9.90625" style="253" customWidth="1"/>
    <col min="8459" max="8459" width="12.1796875" style="253" customWidth="1"/>
    <col min="8460" max="8460" width="11.36328125" style="253" customWidth="1"/>
    <col min="8461" max="8461" width="10" style="253" customWidth="1"/>
    <col min="8462" max="8462" width="41" style="253" customWidth="1"/>
    <col min="8463" max="8463" width="11.81640625" style="253" customWidth="1"/>
    <col min="8464" max="8464" width="13" style="253" customWidth="1"/>
    <col min="8465" max="8465" width="12" style="253" bestFit="1" customWidth="1"/>
    <col min="8466" max="8466" width="13.08984375" style="253" customWidth="1"/>
    <col min="8467" max="8467" width="11.6328125" style="253" customWidth="1"/>
    <col min="8468" max="8469" width="8.90625" style="253"/>
    <col min="8470" max="8470" width="12.08984375" style="253" customWidth="1"/>
    <col min="8471" max="8471" width="11.6328125" style="253" customWidth="1"/>
    <col min="8472" max="8474" width="8.90625" style="253"/>
    <col min="8475" max="8475" width="10.81640625" style="253" customWidth="1"/>
    <col min="8476" max="8477" width="8.90625" style="253"/>
    <col min="8478" max="8478" width="13.90625" style="253" customWidth="1"/>
    <col min="8479" max="8479" width="10.6328125" style="253" customWidth="1"/>
    <col min="8480" max="8482" width="8.90625" style="253"/>
    <col min="8483" max="8483" width="12" style="253" customWidth="1"/>
    <col min="8484" max="8485" width="8.90625" style="253"/>
    <col min="8486" max="8486" width="9.81640625" style="253" customWidth="1"/>
    <col min="8487" max="8487" width="10.6328125" style="253" customWidth="1"/>
    <col min="8488" max="8493" width="8.90625" style="253"/>
    <col min="8494" max="8494" width="9.36328125" style="253" bestFit="1" customWidth="1"/>
    <col min="8495" max="8495" width="9.1796875" style="253" bestFit="1" customWidth="1"/>
    <col min="8496" max="8496" width="9.08984375" style="253" bestFit="1" customWidth="1"/>
    <col min="8497" max="8707" width="8.90625" style="253"/>
    <col min="8708" max="8708" width="7.54296875" style="253" customWidth="1"/>
    <col min="8709" max="8709" width="43" style="253" customWidth="1"/>
    <col min="8710" max="8710" width="10.453125" style="253" customWidth="1"/>
    <col min="8711" max="8711" width="11.6328125" style="253" customWidth="1"/>
    <col min="8712" max="8712" width="11.1796875" style="253" customWidth="1"/>
    <col min="8713" max="8713" width="11.08984375" style="253" customWidth="1"/>
    <col min="8714" max="8714" width="9.90625" style="253" customWidth="1"/>
    <col min="8715" max="8715" width="12.1796875" style="253" customWidth="1"/>
    <col min="8716" max="8716" width="11.36328125" style="253" customWidth="1"/>
    <col min="8717" max="8717" width="10" style="253" customWidth="1"/>
    <col min="8718" max="8718" width="41" style="253" customWidth="1"/>
    <col min="8719" max="8719" width="11.81640625" style="253" customWidth="1"/>
    <col min="8720" max="8720" width="13" style="253" customWidth="1"/>
    <col min="8721" max="8721" width="12" style="253" bestFit="1" customWidth="1"/>
    <col min="8722" max="8722" width="13.08984375" style="253" customWidth="1"/>
    <col min="8723" max="8723" width="11.6328125" style="253" customWidth="1"/>
    <col min="8724" max="8725" width="8.90625" style="253"/>
    <col min="8726" max="8726" width="12.08984375" style="253" customWidth="1"/>
    <col min="8727" max="8727" width="11.6328125" style="253" customWidth="1"/>
    <col min="8728" max="8730" width="8.90625" style="253"/>
    <col min="8731" max="8731" width="10.81640625" style="253" customWidth="1"/>
    <col min="8732" max="8733" width="8.90625" style="253"/>
    <col min="8734" max="8734" width="13.90625" style="253" customWidth="1"/>
    <col min="8735" max="8735" width="10.6328125" style="253" customWidth="1"/>
    <col min="8736" max="8738" width="8.90625" style="253"/>
    <col min="8739" max="8739" width="12" style="253" customWidth="1"/>
    <col min="8740" max="8741" width="8.90625" style="253"/>
    <col min="8742" max="8742" width="9.81640625" style="253" customWidth="1"/>
    <col min="8743" max="8743" width="10.6328125" style="253" customWidth="1"/>
    <col min="8744" max="8749" width="8.90625" style="253"/>
    <col min="8750" max="8750" width="9.36328125" style="253" bestFit="1" customWidth="1"/>
    <col min="8751" max="8751" width="9.1796875" style="253" bestFit="1" customWidth="1"/>
    <col min="8752" max="8752" width="9.08984375" style="253" bestFit="1" customWidth="1"/>
    <col min="8753" max="8963" width="8.90625" style="253"/>
    <col min="8964" max="8964" width="7.54296875" style="253" customWidth="1"/>
    <col min="8965" max="8965" width="43" style="253" customWidth="1"/>
    <col min="8966" max="8966" width="10.453125" style="253" customWidth="1"/>
    <col min="8967" max="8967" width="11.6328125" style="253" customWidth="1"/>
    <col min="8968" max="8968" width="11.1796875" style="253" customWidth="1"/>
    <col min="8969" max="8969" width="11.08984375" style="253" customWidth="1"/>
    <col min="8970" max="8970" width="9.90625" style="253" customWidth="1"/>
    <col min="8971" max="8971" width="12.1796875" style="253" customWidth="1"/>
    <col min="8972" max="8972" width="11.36328125" style="253" customWidth="1"/>
    <col min="8973" max="8973" width="10" style="253" customWidth="1"/>
    <col min="8974" max="8974" width="41" style="253" customWidth="1"/>
    <col min="8975" max="8975" width="11.81640625" style="253" customWidth="1"/>
    <col min="8976" max="8976" width="13" style="253" customWidth="1"/>
    <col min="8977" max="8977" width="12" style="253" bestFit="1" customWidth="1"/>
    <col min="8978" max="8978" width="13.08984375" style="253" customWidth="1"/>
    <col min="8979" max="8979" width="11.6328125" style="253" customWidth="1"/>
    <col min="8980" max="8981" width="8.90625" style="253"/>
    <col min="8982" max="8982" width="12.08984375" style="253" customWidth="1"/>
    <col min="8983" max="8983" width="11.6328125" style="253" customWidth="1"/>
    <col min="8984" max="8986" width="8.90625" style="253"/>
    <col min="8987" max="8987" width="10.81640625" style="253" customWidth="1"/>
    <col min="8988" max="8989" width="8.90625" style="253"/>
    <col min="8990" max="8990" width="13.90625" style="253" customWidth="1"/>
    <col min="8991" max="8991" width="10.6328125" style="253" customWidth="1"/>
    <col min="8992" max="8994" width="8.90625" style="253"/>
    <col min="8995" max="8995" width="12" style="253" customWidth="1"/>
    <col min="8996" max="8997" width="8.90625" style="253"/>
    <col min="8998" max="8998" width="9.81640625" style="253" customWidth="1"/>
    <col min="8999" max="8999" width="10.6328125" style="253" customWidth="1"/>
    <col min="9000" max="9005" width="8.90625" style="253"/>
    <col min="9006" max="9006" width="9.36328125" style="253" bestFit="1" customWidth="1"/>
    <col min="9007" max="9007" width="9.1796875" style="253" bestFit="1" customWidth="1"/>
    <col min="9008" max="9008" width="9.08984375" style="253" bestFit="1" customWidth="1"/>
    <col min="9009" max="9219" width="8.90625" style="253"/>
    <col min="9220" max="9220" width="7.54296875" style="253" customWidth="1"/>
    <col min="9221" max="9221" width="43" style="253" customWidth="1"/>
    <col min="9222" max="9222" width="10.453125" style="253" customWidth="1"/>
    <col min="9223" max="9223" width="11.6328125" style="253" customWidth="1"/>
    <col min="9224" max="9224" width="11.1796875" style="253" customWidth="1"/>
    <col min="9225" max="9225" width="11.08984375" style="253" customWidth="1"/>
    <col min="9226" max="9226" width="9.90625" style="253" customWidth="1"/>
    <col min="9227" max="9227" width="12.1796875" style="253" customWidth="1"/>
    <col min="9228" max="9228" width="11.36328125" style="253" customWidth="1"/>
    <col min="9229" max="9229" width="10" style="253" customWidth="1"/>
    <col min="9230" max="9230" width="41" style="253" customWidth="1"/>
    <col min="9231" max="9231" width="11.81640625" style="253" customWidth="1"/>
    <col min="9232" max="9232" width="13" style="253" customWidth="1"/>
    <col min="9233" max="9233" width="12" style="253" bestFit="1" customWidth="1"/>
    <col min="9234" max="9234" width="13.08984375" style="253" customWidth="1"/>
    <col min="9235" max="9235" width="11.6328125" style="253" customWidth="1"/>
    <col min="9236" max="9237" width="8.90625" style="253"/>
    <col min="9238" max="9238" width="12.08984375" style="253" customWidth="1"/>
    <col min="9239" max="9239" width="11.6328125" style="253" customWidth="1"/>
    <col min="9240" max="9242" width="8.90625" style="253"/>
    <col min="9243" max="9243" width="10.81640625" style="253" customWidth="1"/>
    <col min="9244" max="9245" width="8.90625" style="253"/>
    <col min="9246" max="9246" width="13.90625" style="253" customWidth="1"/>
    <col min="9247" max="9247" width="10.6328125" style="253" customWidth="1"/>
    <col min="9248" max="9250" width="8.90625" style="253"/>
    <col min="9251" max="9251" width="12" style="253" customWidth="1"/>
    <col min="9252" max="9253" width="8.90625" style="253"/>
    <col min="9254" max="9254" width="9.81640625" style="253" customWidth="1"/>
    <col min="9255" max="9255" width="10.6328125" style="253" customWidth="1"/>
    <col min="9256" max="9261" width="8.90625" style="253"/>
    <col min="9262" max="9262" width="9.36328125" style="253" bestFit="1" customWidth="1"/>
    <col min="9263" max="9263" width="9.1796875" style="253" bestFit="1" customWidth="1"/>
    <col min="9264" max="9264" width="9.08984375" style="253" bestFit="1" customWidth="1"/>
    <col min="9265" max="9475" width="8.90625" style="253"/>
    <col min="9476" max="9476" width="7.54296875" style="253" customWidth="1"/>
    <col min="9477" max="9477" width="43" style="253" customWidth="1"/>
    <col min="9478" max="9478" width="10.453125" style="253" customWidth="1"/>
    <col min="9479" max="9479" width="11.6328125" style="253" customWidth="1"/>
    <col min="9480" max="9480" width="11.1796875" style="253" customWidth="1"/>
    <col min="9481" max="9481" width="11.08984375" style="253" customWidth="1"/>
    <col min="9482" max="9482" width="9.90625" style="253" customWidth="1"/>
    <col min="9483" max="9483" width="12.1796875" style="253" customWidth="1"/>
    <col min="9484" max="9484" width="11.36328125" style="253" customWidth="1"/>
    <col min="9485" max="9485" width="10" style="253" customWidth="1"/>
    <col min="9486" max="9486" width="41" style="253" customWidth="1"/>
    <col min="9487" max="9487" width="11.81640625" style="253" customWidth="1"/>
    <col min="9488" max="9488" width="13" style="253" customWidth="1"/>
    <col min="9489" max="9489" width="12" style="253" bestFit="1" customWidth="1"/>
    <col min="9490" max="9490" width="13.08984375" style="253" customWidth="1"/>
    <col min="9491" max="9491" width="11.6328125" style="253" customWidth="1"/>
    <col min="9492" max="9493" width="8.90625" style="253"/>
    <col min="9494" max="9494" width="12.08984375" style="253" customWidth="1"/>
    <col min="9495" max="9495" width="11.6328125" style="253" customWidth="1"/>
    <col min="9496" max="9498" width="8.90625" style="253"/>
    <col min="9499" max="9499" width="10.81640625" style="253" customWidth="1"/>
    <col min="9500" max="9501" width="8.90625" style="253"/>
    <col min="9502" max="9502" width="13.90625" style="253" customWidth="1"/>
    <col min="9503" max="9503" width="10.6328125" style="253" customWidth="1"/>
    <col min="9504" max="9506" width="8.90625" style="253"/>
    <col min="9507" max="9507" width="12" style="253" customWidth="1"/>
    <col min="9508" max="9509" width="8.90625" style="253"/>
    <col min="9510" max="9510" width="9.81640625" style="253" customWidth="1"/>
    <col min="9511" max="9511" width="10.6328125" style="253" customWidth="1"/>
    <col min="9512" max="9517" width="8.90625" style="253"/>
    <col min="9518" max="9518" width="9.36328125" style="253" bestFit="1" customWidth="1"/>
    <col min="9519" max="9519" width="9.1796875" style="253" bestFit="1" customWidth="1"/>
    <col min="9520" max="9520" width="9.08984375" style="253" bestFit="1" customWidth="1"/>
    <col min="9521" max="9731" width="8.90625" style="253"/>
    <col min="9732" max="9732" width="7.54296875" style="253" customWidth="1"/>
    <col min="9733" max="9733" width="43" style="253" customWidth="1"/>
    <col min="9734" max="9734" width="10.453125" style="253" customWidth="1"/>
    <col min="9735" max="9735" width="11.6328125" style="253" customWidth="1"/>
    <col min="9736" max="9736" width="11.1796875" style="253" customWidth="1"/>
    <col min="9737" max="9737" width="11.08984375" style="253" customWidth="1"/>
    <col min="9738" max="9738" width="9.90625" style="253" customWidth="1"/>
    <col min="9739" max="9739" width="12.1796875" style="253" customWidth="1"/>
    <col min="9740" max="9740" width="11.36328125" style="253" customWidth="1"/>
    <col min="9741" max="9741" width="10" style="253" customWidth="1"/>
    <col min="9742" max="9742" width="41" style="253" customWidth="1"/>
    <col min="9743" max="9743" width="11.81640625" style="253" customWidth="1"/>
    <col min="9744" max="9744" width="13" style="253" customWidth="1"/>
    <col min="9745" max="9745" width="12" style="253" bestFit="1" customWidth="1"/>
    <col min="9746" max="9746" width="13.08984375" style="253" customWidth="1"/>
    <col min="9747" max="9747" width="11.6328125" style="253" customWidth="1"/>
    <col min="9748" max="9749" width="8.90625" style="253"/>
    <col min="9750" max="9750" width="12.08984375" style="253" customWidth="1"/>
    <col min="9751" max="9751" width="11.6328125" style="253" customWidth="1"/>
    <col min="9752" max="9754" width="8.90625" style="253"/>
    <col min="9755" max="9755" width="10.81640625" style="253" customWidth="1"/>
    <col min="9756" max="9757" width="8.90625" style="253"/>
    <col min="9758" max="9758" width="13.90625" style="253" customWidth="1"/>
    <col min="9759" max="9759" width="10.6328125" style="253" customWidth="1"/>
    <col min="9760" max="9762" width="8.90625" style="253"/>
    <col min="9763" max="9763" width="12" style="253" customWidth="1"/>
    <col min="9764" max="9765" width="8.90625" style="253"/>
    <col min="9766" max="9766" width="9.81640625" style="253" customWidth="1"/>
    <col min="9767" max="9767" width="10.6328125" style="253" customWidth="1"/>
    <col min="9768" max="9773" width="8.90625" style="253"/>
    <col min="9774" max="9774" width="9.36328125" style="253" bestFit="1" customWidth="1"/>
    <col min="9775" max="9775" width="9.1796875" style="253" bestFit="1" customWidth="1"/>
    <col min="9776" max="9776" width="9.08984375" style="253" bestFit="1" customWidth="1"/>
    <col min="9777" max="9987" width="8.90625" style="253"/>
    <col min="9988" max="9988" width="7.54296875" style="253" customWidth="1"/>
    <col min="9989" max="9989" width="43" style="253" customWidth="1"/>
    <col min="9990" max="9990" width="10.453125" style="253" customWidth="1"/>
    <col min="9991" max="9991" width="11.6328125" style="253" customWidth="1"/>
    <col min="9992" max="9992" width="11.1796875" style="253" customWidth="1"/>
    <col min="9993" max="9993" width="11.08984375" style="253" customWidth="1"/>
    <col min="9994" max="9994" width="9.90625" style="253" customWidth="1"/>
    <col min="9995" max="9995" width="12.1796875" style="253" customWidth="1"/>
    <col min="9996" max="9996" width="11.36328125" style="253" customWidth="1"/>
    <col min="9997" max="9997" width="10" style="253" customWidth="1"/>
    <col min="9998" max="9998" width="41" style="253" customWidth="1"/>
    <col min="9999" max="9999" width="11.81640625" style="253" customWidth="1"/>
    <col min="10000" max="10000" width="13" style="253" customWidth="1"/>
    <col min="10001" max="10001" width="12" style="253" bestFit="1" customWidth="1"/>
    <col min="10002" max="10002" width="13.08984375" style="253" customWidth="1"/>
    <col min="10003" max="10003" width="11.6328125" style="253" customWidth="1"/>
    <col min="10004" max="10005" width="8.90625" style="253"/>
    <col min="10006" max="10006" width="12.08984375" style="253" customWidth="1"/>
    <col min="10007" max="10007" width="11.6328125" style="253" customWidth="1"/>
    <col min="10008" max="10010" width="8.90625" style="253"/>
    <col min="10011" max="10011" width="10.81640625" style="253" customWidth="1"/>
    <col min="10012" max="10013" width="8.90625" style="253"/>
    <col min="10014" max="10014" width="13.90625" style="253" customWidth="1"/>
    <col min="10015" max="10015" width="10.6328125" style="253" customWidth="1"/>
    <col min="10016" max="10018" width="8.90625" style="253"/>
    <col min="10019" max="10019" width="12" style="253" customWidth="1"/>
    <col min="10020" max="10021" width="8.90625" style="253"/>
    <col min="10022" max="10022" width="9.81640625" style="253" customWidth="1"/>
    <col min="10023" max="10023" width="10.6328125" style="253" customWidth="1"/>
    <col min="10024" max="10029" width="8.90625" style="253"/>
    <col min="10030" max="10030" width="9.36328125" style="253" bestFit="1" customWidth="1"/>
    <col min="10031" max="10031" width="9.1796875" style="253" bestFit="1" customWidth="1"/>
    <col min="10032" max="10032" width="9.08984375" style="253" bestFit="1" customWidth="1"/>
    <col min="10033" max="10243" width="8.90625" style="253"/>
    <col min="10244" max="10244" width="7.54296875" style="253" customWidth="1"/>
    <col min="10245" max="10245" width="43" style="253" customWidth="1"/>
    <col min="10246" max="10246" width="10.453125" style="253" customWidth="1"/>
    <col min="10247" max="10247" width="11.6328125" style="253" customWidth="1"/>
    <col min="10248" max="10248" width="11.1796875" style="253" customWidth="1"/>
    <col min="10249" max="10249" width="11.08984375" style="253" customWidth="1"/>
    <col min="10250" max="10250" width="9.90625" style="253" customWidth="1"/>
    <col min="10251" max="10251" width="12.1796875" style="253" customWidth="1"/>
    <col min="10252" max="10252" width="11.36328125" style="253" customWidth="1"/>
    <col min="10253" max="10253" width="10" style="253" customWidth="1"/>
    <col min="10254" max="10254" width="41" style="253" customWidth="1"/>
    <col min="10255" max="10255" width="11.81640625" style="253" customWidth="1"/>
    <col min="10256" max="10256" width="13" style="253" customWidth="1"/>
    <col min="10257" max="10257" width="12" style="253" bestFit="1" customWidth="1"/>
    <col min="10258" max="10258" width="13.08984375" style="253" customWidth="1"/>
    <col min="10259" max="10259" width="11.6328125" style="253" customWidth="1"/>
    <col min="10260" max="10261" width="8.90625" style="253"/>
    <col min="10262" max="10262" width="12.08984375" style="253" customWidth="1"/>
    <col min="10263" max="10263" width="11.6328125" style="253" customWidth="1"/>
    <col min="10264" max="10266" width="8.90625" style="253"/>
    <col min="10267" max="10267" width="10.81640625" style="253" customWidth="1"/>
    <col min="10268" max="10269" width="8.90625" style="253"/>
    <col min="10270" max="10270" width="13.90625" style="253" customWidth="1"/>
    <col min="10271" max="10271" width="10.6328125" style="253" customWidth="1"/>
    <col min="10272" max="10274" width="8.90625" style="253"/>
    <col min="10275" max="10275" width="12" style="253" customWidth="1"/>
    <col min="10276" max="10277" width="8.90625" style="253"/>
    <col min="10278" max="10278" width="9.81640625" style="253" customWidth="1"/>
    <col min="10279" max="10279" width="10.6328125" style="253" customWidth="1"/>
    <col min="10280" max="10285" width="8.90625" style="253"/>
    <col min="10286" max="10286" width="9.36328125" style="253" bestFit="1" customWidth="1"/>
    <col min="10287" max="10287" width="9.1796875" style="253" bestFit="1" customWidth="1"/>
    <col min="10288" max="10288" width="9.08984375" style="253" bestFit="1" customWidth="1"/>
    <col min="10289" max="10499" width="8.90625" style="253"/>
    <col min="10500" max="10500" width="7.54296875" style="253" customWidth="1"/>
    <col min="10501" max="10501" width="43" style="253" customWidth="1"/>
    <col min="10502" max="10502" width="10.453125" style="253" customWidth="1"/>
    <col min="10503" max="10503" width="11.6328125" style="253" customWidth="1"/>
    <col min="10504" max="10504" width="11.1796875" style="253" customWidth="1"/>
    <col min="10505" max="10505" width="11.08984375" style="253" customWidth="1"/>
    <col min="10506" max="10506" width="9.90625" style="253" customWidth="1"/>
    <col min="10507" max="10507" width="12.1796875" style="253" customWidth="1"/>
    <col min="10508" max="10508" width="11.36328125" style="253" customWidth="1"/>
    <col min="10509" max="10509" width="10" style="253" customWidth="1"/>
    <col min="10510" max="10510" width="41" style="253" customWidth="1"/>
    <col min="10511" max="10511" width="11.81640625" style="253" customWidth="1"/>
    <col min="10512" max="10512" width="13" style="253" customWidth="1"/>
    <col min="10513" max="10513" width="12" style="253" bestFit="1" customWidth="1"/>
    <col min="10514" max="10514" width="13.08984375" style="253" customWidth="1"/>
    <col min="10515" max="10515" width="11.6328125" style="253" customWidth="1"/>
    <col min="10516" max="10517" width="8.90625" style="253"/>
    <col min="10518" max="10518" width="12.08984375" style="253" customWidth="1"/>
    <col min="10519" max="10519" width="11.6328125" style="253" customWidth="1"/>
    <col min="10520" max="10522" width="8.90625" style="253"/>
    <col min="10523" max="10523" width="10.81640625" style="253" customWidth="1"/>
    <col min="10524" max="10525" width="8.90625" style="253"/>
    <col min="10526" max="10526" width="13.90625" style="253" customWidth="1"/>
    <col min="10527" max="10527" width="10.6328125" style="253" customWidth="1"/>
    <col min="10528" max="10530" width="8.90625" style="253"/>
    <col min="10531" max="10531" width="12" style="253" customWidth="1"/>
    <col min="10532" max="10533" width="8.90625" style="253"/>
    <col min="10534" max="10534" width="9.81640625" style="253" customWidth="1"/>
    <col min="10535" max="10535" width="10.6328125" style="253" customWidth="1"/>
    <col min="10536" max="10541" width="8.90625" style="253"/>
    <col min="10542" max="10542" width="9.36328125" style="253" bestFit="1" customWidth="1"/>
    <col min="10543" max="10543" width="9.1796875" style="253" bestFit="1" customWidth="1"/>
    <col min="10544" max="10544" width="9.08984375" style="253" bestFit="1" customWidth="1"/>
    <col min="10545" max="10755" width="8.90625" style="253"/>
    <col min="10756" max="10756" width="7.54296875" style="253" customWidth="1"/>
    <col min="10757" max="10757" width="43" style="253" customWidth="1"/>
    <col min="10758" max="10758" width="10.453125" style="253" customWidth="1"/>
    <col min="10759" max="10759" width="11.6328125" style="253" customWidth="1"/>
    <col min="10760" max="10760" width="11.1796875" style="253" customWidth="1"/>
    <col min="10761" max="10761" width="11.08984375" style="253" customWidth="1"/>
    <col min="10762" max="10762" width="9.90625" style="253" customWidth="1"/>
    <col min="10763" max="10763" width="12.1796875" style="253" customWidth="1"/>
    <col min="10764" max="10764" width="11.36328125" style="253" customWidth="1"/>
    <col min="10765" max="10765" width="10" style="253" customWidth="1"/>
    <col min="10766" max="10766" width="41" style="253" customWidth="1"/>
    <col min="10767" max="10767" width="11.81640625" style="253" customWidth="1"/>
    <col min="10768" max="10768" width="13" style="253" customWidth="1"/>
    <col min="10769" max="10769" width="12" style="253" bestFit="1" customWidth="1"/>
    <col min="10770" max="10770" width="13.08984375" style="253" customWidth="1"/>
    <col min="10771" max="10771" width="11.6328125" style="253" customWidth="1"/>
    <col min="10772" max="10773" width="8.90625" style="253"/>
    <col min="10774" max="10774" width="12.08984375" style="253" customWidth="1"/>
    <col min="10775" max="10775" width="11.6328125" style="253" customWidth="1"/>
    <col min="10776" max="10778" width="8.90625" style="253"/>
    <col min="10779" max="10779" width="10.81640625" style="253" customWidth="1"/>
    <col min="10780" max="10781" width="8.90625" style="253"/>
    <col min="10782" max="10782" width="13.90625" style="253" customWidth="1"/>
    <col min="10783" max="10783" width="10.6328125" style="253" customWidth="1"/>
    <col min="10784" max="10786" width="8.90625" style="253"/>
    <col min="10787" max="10787" width="12" style="253" customWidth="1"/>
    <col min="10788" max="10789" width="8.90625" style="253"/>
    <col min="10790" max="10790" width="9.81640625" style="253" customWidth="1"/>
    <col min="10791" max="10791" width="10.6328125" style="253" customWidth="1"/>
    <col min="10792" max="10797" width="8.90625" style="253"/>
    <col min="10798" max="10798" width="9.36328125" style="253" bestFit="1" customWidth="1"/>
    <col min="10799" max="10799" width="9.1796875" style="253" bestFit="1" customWidth="1"/>
    <col min="10800" max="10800" width="9.08984375" style="253" bestFit="1" customWidth="1"/>
    <col min="10801" max="11011" width="8.90625" style="253"/>
    <col min="11012" max="11012" width="7.54296875" style="253" customWidth="1"/>
    <col min="11013" max="11013" width="43" style="253" customWidth="1"/>
    <col min="11014" max="11014" width="10.453125" style="253" customWidth="1"/>
    <col min="11015" max="11015" width="11.6328125" style="253" customWidth="1"/>
    <col min="11016" max="11016" width="11.1796875" style="253" customWidth="1"/>
    <col min="11017" max="11017" width="11.08984375" style="253" customWidth="1"/>
    <col min="11018" max="11018" width="9.90625" style="253" customWidth="1"/>
    <col min="11019" max="11019" width="12.1796875" style="253" customWidth="1"/>
    <col min="11020" max="11020" width="11.36328125" style="253" customWidth="1"/>
    <col min="11021" max="11021" width="10" style="253" customWidth="1"/>
    <col min="11022" max="11022" width="41" style="253" customWidth="1"/>
    <col min="11023" max="11023" width="11.81640625" style="253" customWidth="1"/>
    <col min="11024" max="11024" width="13" style="253" customWidth="1"/>
    <col min="11025" max="11025" width="12" style="253" bestFit="1" customWidth="1"/>
    <col min="11026" max="11026" width="13.08984375" style="253" customWidth="1"/>
    <col min="11027" max="11027" width="11.6328125" style="253" customWidth="1"/>
    <col min="11028" max="11029" width="8.90625" style="253"/>
    <col min="11030" max="11030" width="12.08984375" style="253" customWidth="1"/>
    <col min="11031" max="11031" width="11.6328125" style="253" customWidth="1"/>
    <col min="11032" max="11034" width="8.90625" style="253"/>
    <col min="11035" max="11035" width="10.81640625" style="253" customWidth="1"/>
    <col min="11036" max="11037" width="8.90625" style="253"/>
    <col min="11038" max="11038" width="13.90625" style="253" customWidth="1"/>
    <col min="11039" max="11039" width="10.6328125" style="253" customWidth="1"/>
    <col min="11040" max="11042" width="8.90625" style="253"/>
    <col min="11043" max="11043" width="12" style="253" customWidth="1"/>
    <col min="11044" max="11045" width="8.90625" style="253"/>
    <col min="11046" max="11046" width="9.81640625" style="253" customWidth="1"/>
    <col min="11047" max="11047" width="10.6328125" style="253" customWidth="1"/>
    <col min="11048" max="11053" width="8.90625" style="253"/>
    <col min="11054" max="11054" width="9.36328125" style="253" bestFit="1" customWidth="1"/>
    <col min="11055" max="11055" width="9.1796875" style="253" bestFit="1" customWidth="1"/>
    <col min="11056" max="11056" width="9.08984375" style="253" bestFit="1" customWidth="1"/>
    <col min="11057" max="11267" width="8.90625" style="253"/>
    <col min="11268" max="11268" width="7.54296875" style="253" customWidth="1"/>
    <col min="11269" max="11269" width="43" style="253" customWidth="1"/>
    <col min="11270" max="11270" width="10.453125" style="253" customWidth="1"/>
    <col min="11271" max="11271" width="11.6328125" style="253" customWidth="1"/>
    <col min="11272" max="11272" width="11.1796875" style="253" customWidth="1"/>
    <col min="11273" max="11273" width="11.08984375" style="253" customWidth="1"/>
    <col min="11274" max="11274" width="9.90625" style="253" customWidth="1"/>
    <col min="11275" max="11275" width="12.1796875" style="253" customWidth="1"/>
    <col min="11276" max="11276" width="11.36328125" style="253" customWidth="1"/>
    <col min="11277" max="11277" width="10" style="253" customWidth="1"/>
    <col min="11278" max="11278" width="41" style="253" customWidth="1"/>
    <col min="11279" max="11279" width="11.81640625" style="253" customWidth="1"/>
    <col min="11280" max="11280" width="13" style="253" customWidth="1"/>
    <col min="11281" max="11281" width="12" style="253" bestFit="1" customWidth="1"/>
    <col min="11282" max="11282" width="13.08984375" style="253" customWidth="1"/>
    <col min="11283" max="11283" width="11.6328125" style="253" customWidth="1"/>
    <col min="11284" max="11285" width="8.90625" style="253"/>
    <col min="11286" max="11286" width="12.08984375" style="253" customWidth="1"/>
    <col min="11287" max="11287" width="11.6328125" style="253" customWidth="1"/>
    <col min="11288" max="11290" width="8.90625" style="253"/>
    <col min="11291" max="11291" width="10.81640625" style="253" customWidth="1"/>
    <col min="11292" max="11293" width="8.90625" style="253"/>
    <col min="11294" max="11294" width="13.90625" style="253" customWidth="1"/>
    <col min="11295" max="11295" width="10.6328125" style="253" customWidth="1"/>
    <col min="11296" max="11298" width="8.90625" style="253"/>
    <col min="11299" max="11299" width="12" style="253" customWidth="1"/>
    <col min="11300" max="11301" width="8.90625" style="253"/>
    <col min="11302" max="11302" width="9.81640625" style="253" customWidth="1"/>
    <col min="11303" max="11303" width="10.6328125" style="253" customWidth="1"/>
    <col min="11304" max="11309" width="8.90625" style="253"/>
    <col min="11310" max="11310" width="9.36328125" style="253" bestFit="1" customWidth="1"/>
    <col min="11311" max="11311" width="9.1796875" style="253" bestFit="1" customWidth="1"/>
    <col min="11312" max="11312" width="9.08984375" style="253" bestFit="1" customWidth="1"/>
    <col min="11313" max="11523" width="8.90625" style="253"/>
    <col min="11524" max="11524" width="7.54296875" style="253" customWidth="1"/>
    <col min="11525" max="11525" width="43" style="253" customWidth="1"/>
    <col min="11526" max="11526" width="10.453125" style="253" customWidth="1"/>
    <col min="11527" max="11527" width="11.6328125" style="253" customWidth="1"/>
    <col min="11528" max="11528" width="11.1796875" style="253" customWidth="1"/>
    <col min="11529" max="11529" width="11.08984375" style="253" customWidth="1"/>
    <col min="11530" max="11530" width="9.90625" style="253" customWidth="1"/>
    <col min="11531" max="11531" width="12.1796875" style="253" customWidth="1"/>
    <col min="11532" max="11532" width="11.36328125" style="253" customWidth="1"/>
    <col min="11533" max="11533" width="10" style="253" customWidth="1"/>
    <col min="11534" max="11534" width="41" style="253" customWidth="1"/>
    <col min="11535" max="11535" width="11.81640625" style="253" customWidth="1"/>
    <col min="11536" max="11536" width="13" style="253" customWidth="1"/>
    <col min="11537" max="11537" width="12" style="253" bestFit="1" customWidth="1"/>
    <col min="11538" max="11538" width="13.08984375" style="253" customWidth="1"/>
    <col min="11539" max="11539" width="11.6328125" style="253" customWidth="1"/>
    <col min="11540" max="11541" width="8.90625" style="253"/>
    <col min="11542" max="11542" width="12.08984375" style="253" customWidth="1"/>
    <col min="11543" max="11543" width="11.6328125" style="253" customWidth="1"/>
    <col min="11544" max="11546" width="8.90625" style="253"/>
    <col min="11547" max="11547" width="10.81640625" style="253" customWidth="1"/>
    <col min="11548" max="11549" width="8.90625" style="253"/>
    <col min="11550" max="11550" width="13.90625" style="253" customWidth="1"/>
    <col min="11551" max="11551" width="10.6328125" style="253" customWidth="1"/>
    <col min="11552" max="11554" width="8.90625" style="253"/>
    <col min="11555" max="11555" width="12" style="253" customWidth="1"/>
    <col min="11556" max="11557" width="8.90625" style="253"/>
    <col min="11558" max="11558" width="9.81640625" style="253" customWidth="1"/>
    <col min="11559" max="11559" width="10.6328125" style="253" customWidth="1"/>
    <col min="11560" max="11565" width="8.90625" style="253"/>
    <col min="11566" max="11566" width="9.36328125" style="253" bestFit="1" customWidth="1"/>
    <col min="11567" max="11567" width="9.1796875" style="253" bestFit="1" customWidth="1"/>
    <col min="11568" max="11568" width="9.08984375" style="253" bestFit="1" customWidth="1"/>
    <col min="11569" max="11779" width="8.90625" style="253"/>
    <col min="11780" max="11780" width="7.54296875" style="253" customWidth="1"/>
    <col min="11781" max="11781" width="43" style="253" customWidth="1"/>
    <col min="11782" max="11782" width="10.453125" style="253" customWidth="1"/>
    <col min="11783" max="11783" width="11.6328125" style="253" customWidth="1"/>
    <col min="11784" max="11784" width="11.1796875" style="253" customWidth="1"/>
    <col min="11785" max="11785" width="11.08984375" style="253" customWidth="1"/>
    <col min="11786" max="11786" width="9.90625" style="253" customWidth="1"/>
    <col min="11787" max="11787" width="12.1796875" style="253" customWidth="1"/>
    <col min="11788" max="11788" width="11.36328125" style="253" customWidth="1"/>
    <col min="11789" max="11789" width="10" style="253" customWidth="1"/>
    <col min="11790" max="11790" width="41" style="253" customWidth="1"/>
    <col min="11791" max="11791" width="11.81640625" style="253" customWidth="1"/>
    <col min="11792" max="11792" width="13" style="253" customWidth="1"/>
    <col min="11793" max="11793" width="12" style="253" bestFit="1" customWidth="1"/>
    <col min="11794" max="11794" width="13.08984375" style="253" customWidth="1"/>
    <col min="11795" max="11795" width="11.6328125" style="253" customWidth="1"/>
    <col min="11796" max="11797" width="8.90625" style="253"/>
    <col min="11798" max="11798" width="12.08984375" style="253" customWidth="1"/>
    <col min="11799" max="11799" width="11.6328125" style="253" customWidth="1"/>
    <col min="11800" max="11802" width="8.90625" style="253"/>
    <col min="11803" max="11803" width="10.81640625" style="253" customWidth="1"/>
    <col min="11804" max="11805" width="8.90625" style="253"/>
    <col min="11806" max="11806" width="13.90625" style="253" customWidth="1"/>
    <col min="11807" max="11807" width="10.6328125" style="253" customWidth="1"/>
    <col min="11808" max="11810" width="8.90625" style="253"/>
    <col min="11811" max="11811" width="12" style="253" customWidth="1"/>
    <col min="11812" max="11813" width="8.90625" style="253"/>
    <col min="11814" max="11814" width="9.81640625" style="253" customWidth="1"/>
    <col min="11815" max="11815" width="10.6328125" style="253" customWidth="1"/>
    <col min="11816" max="11821" width="8.90625" style="253"/>
    <col min="11822" max="11822" width="9.36328125" style="253" bestFit="1" customWidth="1"/>
    <col min="11823" max="11823" width="9.1796875" style="253" bestFit="1" customWidth="1"/>
    <col min="11824" max="11824" width="9.08984375" style="253" bestFit="1" customWidth="1"/>
    <col min="11825" max="12035" width="8.90625" style="253"/>
    <col min="12036" max="12036" width="7.54296875" style="253" customWidth="1"/>
    <col min="12037" max="12037" width="43" style="253" customWidth="1"/>
    <col min="12038" max="12038" width="10.453125" style="253" customWidth="1"/>
    <col min="12039" max="12039" width="11.6328125" style="253" customWidth="1"/>
    <col min="12040" max="12040" width="11.1796875" style="253" customWidth="1"/>
    <col min="12041" max="12041" width="11.08984375" style="253" customWidth="1"/>
    <col min="12042" max="12042" width="9.90625" style="253" customWidth="1"/>
    <col min="12043" max="12043" width="12.1796875" style="253" customWidth="1"/>
    <col min="12044" max="12044" width="11.36328125" style="253" customWidth="1"/>
    <col min="12045" max="12045" width="10" style="253" customWidth="1"/>
    <col min="12046" max="12046" width="41" style="253" customWidth="1"/>
    <col min="12047" max="12047" width="11.81640625" style="253" customWidth="1"/>
    <col min="12048" max="12048" width="13" style="253" customWidth="1"/>
    <col min="12049" max="12049" width="12" style="253" bestFit="1" customWidth="1"/>
    <col min="12050" max="12050" width="13.08984375" style="253" customWidth="1"/>
    <col min="12051" max="12051" width="11.6328125" style="253" customWidth="1"/>
    <col min="12052" max="12053" width="8.90625" style="253"/>
    <col min="12054" max="12054" width="12.08984375" style="253" customWidth="1"/>
    <col min="12055" max="12055" width="11.6328125" style="253" customWidth="1"/>
    <col min="12056" max="12058" width="8.90625" style="253"/>
    <col min="12059" max="12059" width="10.81640625" style="253" customWidth="1"/>
    <col min="12060" max="12061" width="8.90625" style="253"/>
    <col min="12062" max="12062" width="13.90625" style="253" customWidth="1"/>
    <col min="12063" max="12063" width="10.6328125" style="253" customWidth="1"/>
    <col min="12064" max="12066" width="8.90625" style="253"/>
    <col min="12067" max="12067" width="12" style="253" customWidth="1"/>
    <col min="12068" max="12069" width="8.90625" style="253"/>
    <col min="12070" max="12070" width="9.81640625" style="253" customWidth="1"/>
    <col min="12071" max="12071" width="10.6328125" style="253" customWidth="1"/>
    <col min="12072" max="12077" width="8.90625" style="253"/>
    <col min="12078" max="12078" width="9.36328125" style="253" bestFit="1" customWidth="1"/>
    <col min="12079" max="12079" width="9.1796875" style="253" bestFit="1" customWidth="1"/>
    <col min="12080" max="12080" width="9.08984375" style="253" bestFit="1" customWidth="1"/>
    <col min="12081" max="12291" width="8.90625" style="253"/>
    <col min="12292" max="12292" width="7.54296875" style="253" customWidth="1"/>
    <col min="12293" max="12293" width="43" style="253" customWidth="1"/>
    <col min="12294" max="12294" width="10.453125" style="253" customWidth="1"/>
    <col min="12295" max="12295" width="11.6328125" style="253" customWidth="1"/>
    <col min="12296" max="12296" width="11.1796875" style="253" customWidth="1"/>
    <col min="12297" max="12297" width="11.08984375" style="253" customWidth="1"/>
    <col min="12298" max="12298" width="9.90625" style="253" customWidth="1"/>
    <col min="12299" max="12299" width="12.1796875" style="253" customWidth="1"/>
    <col min="12300" max="12300" width="11.36328125" style="253" customWidth="1"/>
    <col min="12301" max="12301" width="10" style="253" customWidth="1"/>
    <col min="12302" max="12302" width="41" style="253" customWidth="1"/>
    <col min="12303" max="12303" width="11.81640625" style="253" customWidth="1"/>
    <col min="12304" max="12304" width="13" style="253" customWidth="1"/>
    <col min="12305" max="12305" width="12" style="253" bestFit="1" customWidth="1"/>
    <col min="12306" max="12306" width="13.08984375" style="253" customWidth="1"/>
    <col min="12307" max="12307" width="11.6328125" style="253" customWidth="1"/>
    <col min="12308" max="12309" width="8.90625" style="253"/>
    <col min="12310" max="12310" width="12.08984375" style="253" customWidth="1"/>
    <col min="12311" max="12311" width="11.6328125" style="253" customWidth="1"/>
    <col min="12312" max="12314" width="8.90625" style="253"/>
    <col min="12315" max="12315" width="10.81640625" style="253" customWidth="1"/>
    <col min="12316" max="12317" width="8.90625" style="253"/>
    <col min="12318" max="12318" width="13.90625" style="253" customWidth="1"/>
    <col min="12319" max="12319" width="10.6328125" style="253" customWidth="1"/>
    <col min="12320" max="12322" width="8.90625" style="253"/>
    <col min="12323" max="12323" width="12" style="253" customWidth="1"/>
    <col min="12324" max="12325" width="8.90625" style="253"/>
    <col min="12326" max="12326" width="9.81640625" style="253" customWidth="1"/>
    <col min="12327" max="12327" width="10.6328125" style="253" customWidth="1"/>
    <col min="12328" max="12333" width="8.90625" style="253"/>
    <col min="12334" max="12334" width="9.36328125" style="253" bestFit="1" customWidth="1"/>
    <col min="12335" max="12335" width="9.1796875" style="253" bestFit="1" customWidth="1"/>
    <col min="12336" max="12336" width="9.08984375" style="253" bestFit="1" customWidth="1"/>
    <col min="12337" max="12547" width="8.90625" style="253"/>
    <col min="12548" max="12548" width="7.54296875" style="253" customWidth="1"/>
    <col min="12549" max="12549" width="43" style="253" customWidth="1"/>
    <col min="12550" max="12550" width="10.453125" style="253" customWidth="1"/>
    <col min="12551" max="12551" width="11.6328125" style="253" customWidth="1"/>
    <col min="12552" max="12552" width="11.1796875" style="253" customWidth="1"/>
    <col min="12553" max="12553" width="11.08984375" style="253" customWidth="1"/>
    <col min="12554" max="12554" width="9.90625" style="253" customWidth="1"/>
    <col min="12555" max="12555" width="12.1796875" style="253" customWidth="1"/>
    <col min="12556" max="12556" width="11.36328125" style="253" customWidth="1"/>
    <col min="12557" max="12557" width="10" style="253" customWidth="1"/>
    <col min="12558" max="12558" width="41" style="253" customWidth="1"/>
    <col min="12559" max="12559" width="11.81640625" style="253" customWidth="1"/>
    <col min="12560" max="12560" width="13" style="253" customWidth="1"/>
    <col min="12561" max="12561" width="12" style="253" bestFit="1" customWidth="1"/>
    <col min="12562" max="12562" width="13.08984375" style="253" customWidth="1"/>
    <col min="12563" max="12563" width="11.6328125" style="253" customWidth="1"/>
    <col min="12564" max="12565" width="8.90625" style="253"/>
    <col min="12566" max="12566" width="12.08984375" style="253" customWidth="1"/>
    <col min="12567" max="12567" width="11.6328125" style="253" customWidth="1"/>
    <col min="12568" max="12570" width="8.90625" style="253"/>
    <col min="12571" max="12571" width="10.81640625" style="253" customWidth="1"/>
    <col min="12572" max="12573" width="8.90625" style="253"/>
    <col min="12574" max="12574" width="13.90625" style="253" customWidth="1"/>
    <col min="12575" max="12575" width="10.6328125" style="253" customWidth="1"/>
    <col min="12576" max="12578" width="8.90625" style="253"/>
    <col min="12579" max="12579" width="12" style="253" customWidth="1"/>
    <col min="12580" max="12581" width="8.90625" style="253"/>
    <col min="12582" max="12582" width="9.81640625" style="253" customWidth="1"/>
    <col min="12583" max="12583" width="10.6328125" style="253" customWidth="1"/>
    <col min="12584" max="12589" width="8.90625" style="253"/>
    <col min="12590" max="12590" width="9.36328125" style="253" bestFit="1" customWidth="1"/>
    <col min="12591" max="12591" width="9.1796875" style="253" bestFit="1" customWidth="1"/>
    <col min="12592" max="12592" width="9.08984375" style="253" bestFit="1" customWidth="1"/>
    <col min="12593" max="12803" width="8.90625" style="253"/>
    <col min="12804" max="12804" width="7.54296875" style="253" customWidth="1"/>
    <col min="12805" max="12805" width="43" style="253" customWidth="1"/>
    <col min="12806" max="12806" width="10.453125" style="253" customWidth="1"/>
    <col min="12807" max="12807" width="11.6328125" style="253" customWidth="1"/>
    <col min="12808" max="12808" width="11.1796875" style="253" customWidth="1"/>
    <col min="12809" max="12809" width="11.08984375" style="253" customWidth="1"/>
    <col min="12810" max="12810" width="9.90625" style="253" customWidth="1"/>
    <col min="12811" max="12811" width="12.1796875" style="253" customWidth="1"/>
    <col min="12812" max="12812" width="11.36328125" style="253" customWidth="1"/>
    <col min="12813" max="12813" width="10" style="253" customWidth="1"/>
    <col min="12814" max="12814" width="41" style="253" customWidth="1"/>
    <col min="12815" max="12815" width="11.81640625" style="253" customWidth="1"/>
    <col min="12816" max="12816" width="13" style="253" customWidth="1"/>
    <col min="12817" max="12817" width="12" style="253" bestFit="1" customWidth="1"/>
    <col min="12818" max="12818" width="13.08984375" style="253" customWidth="1"/>
    <col min="12819" max="12819" width="11.6328125" style="253" customWidth="1"/>
    <col min="12820" max="12821" width="8.90625" style="253"/>
    <col min="12822" max="12822" width="12.08984375" style="253" customWidth="1"/>
    <col min="12823" max="12823" width="11.6328125" style="253" customWidth="1"/>
    <col min="12824" max="12826" width="8.90625" style="253"/>
    <col min="12827" max="12827" width="10.81640625" style="253" customWidth="1"/>
    <col min="12828" max="12829" width="8.90625" style="253"/>
    <col min="12830" max="12830" width="13.90625" style="253" customWidth="1"/>
    <col min="12831" max="12831" width="10.6328125" style="253" customWidth="1"/>
    <col min="12832" max="12834" width="8.90625" style="253"/>
    <col min="12835" max="12835" width="12" style="253" customWidth="1"/>
    <col min="12836" max="12837" width="8.90625" style="253"/>
    <col min="12838" max="12838" width="9.81640625" style="253" customWidth="1"/>
    <col min="12839" max="12839" width="10.6328125" style="253" customWidth="1"/>
    <col min="12840" max="12845" width="8.90625" style="253"/>
    <col min="12846" max="12846" width="9.36328125" style="253" bestFit="1" customWidth="1"/>
    <col min="12847" max="12847" width="9.1796875" style="253" bestFit="1" customWidth="1"/>
    <col min="12848" max="12848" width="9.08984375" style="253" bestFit="1" customWidth="1"/>
    <col min="12849" max="13059" width="8.90625" style="253"/>
    <col min="13060" max="13060" width="7.54296875" style="253" customWidth="1"/>
    <col min="13061" max="13061" width="43" style="253" customWidth="1"/>
    <col min="13062" max="13062" width="10.453125" style="253" customWidth="1"/>
    <col min="13063" max="13063" width="11.6328125" style="253" customWidth="1"/>
    <col min="13064" max="13064" width="11.1796875" style="253" customWidth="1"/>
    <col min="13065" max="13065" width="11.08984375" style="253" customWidth="1"/>
    <col min="13066" max="13066" width="9.90625" style="253" customWidth="1"/>
    <col min="13067" max="13067" width="12.1796875" style="253" customWidth="1"/>
    <col min="13068" max="13068" width="11.36328125" style="253" customWidth="1"/>
    <col min="13069" max="13069" width="10" style="253" customWidth="1"/>
    <col min="13070" max="13070" width="41" style="253" customWidth="1"/>
    <col min="13071" max="13071" width="11.81640625" style="253" customWidth="1"/>
    <col min="13072" max="13072" width="13" style="253" customWidth="1"/>
    <col min="13073" max="13073" width="12" style="253" bestFit="1" customWidth="1"/>
    <col min="13074" max="13074" width="13.08984375" style="253" customWidth="1"/>
    <col min="13075" max="13075" width="11.6328125" style="253" customWidth="1"/>
    <col min="13076" max="13077" width="8.90625" style="253"/>
    <col min="13078" max="13078" width="12.08984375" style="253" customWidth="1"/>
    <col min="13079" max="13079" width="11.6328125" style="253" customWidth="1"/>
    <col min="13080" max="13082" width="8.90625" style="253"/>
    <col min="13083" max="13083" width="10.81640625" style="253" customWidth="1"/>
    <col min="13084" max="13085" width="8.90625" style="253"/>
    <col min="13086" max="13086" width="13.90625" style="253" customWidth="1"/>
    <col min="13087" max="13087" width="10.6328125" style="253" customWidth="1"/>
    <col min="13088" max="13090" width="8.90625" style="253"/>
    <col min="13091" max="13091" width="12" style="253" customWidth="1"/>
    <col min="13092" max="13093" width="8.90625" style="253"/>
    <col min="13094" max="13094" width="9.81640625" style="253" customWidth="1"/>
    <col min="13095" max="13095" width="10.6328125" style="253" customWidth="1"/>
    <col min="13096" max="13101" width="8.90625" style="253"/>
    <col min="13102" max="13102" width="9.36328125" style="253" bestFit="1" customWidth="1"/>
    <col min="13103" max="13103" width="9.1796875" style="253" bestFit="1" customWidth="1"/>
    <col min="13104" max="13104" width="9.08984375" style="253" bestFit="1" customWidth="1"/>
    <col min="13105" max="13315" width="8.90625" style="253"/>
    <col min="13316" max="13316" width="7.54296875" style="253" customWidth="1"/>
    <col min="13317" max="13317" width="43" style="253" customWidth="1"/>
    <col min="13318" max="13318" width="10.453125" style="253" customWidth="1"/>
    <col min="13319" max="13319" width="11.6328125" style="253" customWidth="1"/>
    <col min="13320" max="13320" width="11.1796875" style="253" customWidth="1"/>
    <col min="13321" max="13321" width="11.08984375" style="253" customWidth="1"/>
    <col min="13322" max="13322" width="9.90625" style="253" customWidth="1"/>
    <col min="13323" max="13323" width="12.1796875" style="253" customWidth="1"/>
    <col min="13324" max="13324" width="11.36328125" style="253" customWidth="1"/>
    <col min="13325" max="13325" width="10" style="253" customWidth="1"/>
    <col min="13326" max="13326" width="41" style="253" customWidth="1"/>
    <col min="13327" max="13327" width="11.81640625" style="253" customWidth="1"/>
    <col min="13328" max="13328" width="13" style="253" customWidth="1"/>
    <col min="13329" max="13329" width="12" style="253" bestFit="1" customWidth="1"/>
    <col min="13330" max="13330" width="13.08984375" style="253" customWidth="1"/>
    <col min="13331" max="13331" width="11.6328125" style="253" customWidth="1"/>
    <col min="13332" max="13333" width="8.90625" style="253"/>
    <col min="13334" max="13334" width="12.08984375" style="253" customWidth="1"/>
    <col min="13335" max="13335" width="11.6328125" style="253" customWidth="1"/>
    <col min="13336" max="13338" width="8.90625" style="253"/>
    <col min="13339" max="13339" width="10.81640625" style="253" customWidth="1"/>
    <col min="13340" max="13341" width="8.90625" style="253"/>
    <col min="13342" max="13342" width="13.90625" style="253" customWidth="1"/>
    <col min="13343" max="13343" width="10.6328125" style="253" customWidth="1"/>
    <col min="13344" max="13346" width="8.90625" style="253"/>
    <col min="13347" max="13347" width="12" style="253" customWidth="1"/>
    <col min="13348" max="13349" width="8.90625" style="253"/>
    <col min="13350" max="13350" width="9.81640625" style="253" customWidth="1"/>
    <col min="13351" max="13351" width="10.6328125" style="253" customWidth="1"/>
    <col min="13352" max="13357" width="8.90625" style="253"/>
    <col min="13358" max="13358" width="9.36328125" style="253" bestFit="1" customWidth="1"/>
    <col min="13359" max="13359" width="9.1796875" style="253" bestFit="1" customWidth="1"/>
    <col min="13360" max="13360" width="9.08984375" style="253" bestFit="1" customWidth="1"/>
    <col min="13361" max="13571" width="8.90625" style="253"/>
    <col min="13572" max="13572" width="7.54296875" style="253" customWidth="1"/>
    <col min="13573" max="13573" width="43" style="253" customWidth="1"/>
    <col min="13574" max="13574" width="10.453125" style="253" customWidth="1"/>
    <col min="13575" max="13575" width="11.6328125" style="253" customWidth="1"/>
    <col min="13576" max="13576" width="11.1796875" style="253" customWidth="1"/>
    <col min="13577" max="13577" width="11.08984375" style="253" customWidth="1"/>
    <col min="13578" max="13578" width="9.90625" style="253" customWidth="1"/>
    <col min="13579" max="13579" width="12.1796875" style="253" customWidth="1"/>
    <col min="13580" max="13580" width="11.36328125" style="253" customWidth="1"/>
    <col min="13581" max="13581" width="10" style="253" customWidth="1"/>
    <col min="13582" max="13582" width="41" style="253" customWidth="1"/>
    <col min="13583" max="13583" width="11.81640625" style="253" customWidth="1"/>
    <col min="13584" max="13584" width="13" style="253" customWidth="1"/>
    <col min="13585" max="13585" width="12" style="253" bestFit="1" customWidth="1"/>
    <col min="13586" max="13586" width="13.08984375" style="253" customWidth="1"/>
    <col min="13587" max="13587" width="11.6328125" style="253" customWidth="1"/>
    <col min="13588" max="13589" width="8.90625" style="253"/>
    <col min="13590" max="13590" width="12.08984375" style="253" customWidth="1"/>
    <col min="13591" max="13591" width="11.6328125" style="253" customWidth="1"/>
    <col min="13592" max="13594" width="8.90625" style="253"/>
    <col min="13595" max="13595" width="10.81640625" style="253" customWidth="1"/>
    <col min="13596" max="13597" width="8.90625" style="253"/>
    <col min="13598" max="13598" width="13.90625" style="253" customWidth="1"/>
    <col min="13599" max="13599" width="10.6328125" style="253" customWidth="1"/>
    <col min="13600" max="13602" width="8.90625" style="253"/>
    <col min="13603" max="13603" width="12" style="253" customWidth="1"/>
    <col min="13604" max="13605" width="8.90625" style="253"/>
    <col min="13606" max="13606" width="9.81640625" style="253" customWidth="1"/>
    <col min="13607" max="13607" width="10.6328125" style="253" customWidth="1"/>
    <col min="13608" max="13613" width="8.90625" style="253"/>
    <col min="13614" max="13614" width="9.36328125" style="253" bestFit="1" customWidth="1"/>
    <col min="13615" max="13615" width="9.1796875" style="253" bestFit="1" customWidth="1"/>
    <col min="13616" max="13616" width="9.08984375" style="253" bestFit="1" customWidth="1"/>
    <col min="13617" max="13827" width="8.90625" style="253"/>
    <col min="13828" max="13828" width="7.54296875" style="253" customWidth="1"/>
    <col min="13829" max="13829" width="43" style="253" customWidth="1"/>
    <col min="13830" max="13830" width="10.453125" style="253" customWidth="1"/>
    <col min="13831" max="13831" width="11.6328125" style="253" customWidth="1"/>
    <col min="13832" max="13832" width="11.1796875" style="253" customWidth="1"/>
    <col min="13833" max="13833" width="11.08984375" style="253" customWidth="1"/>
    <col min="13834" max="13834" width="9.90625" style="253" customWidth="1"/>
    <col min="13835" max="13835" width="12.1796875" style="253" customWidth="1"/>
    <col min="13836" max="13836" width="11.36328125" style="253" customWidth="1"/>
    <col min="13837" max="13837" width="10" style="253" customWidth="1"/>
    <col min="13838" max="13838" width="41" style="253" customWidth="1"/>
    <col min="13839" max="13839" width="11.81640625" style="253" customWidth="1"/>
    <col min="13840" max="13840" width="13" style="253" customWidth="1"/>
    <col min="13841" max="13841" width="12" style="253" bestFit="1" customWidth="1"/>
    <col min="13842" max="13842" width="13.08984375" style="253" customWidth="1"/>
    <col min="13843" max="13843" width="11.6328125" style="253" customWidth="1"/>
    <col min="13844" max="13845" width="8.90625" style="253"/>
    <col min="13846" max="13846" width="12.08984375" style="253" customWidth="1"/>
    <col min="13847" max="13847" width="11.6328125" style="253" customWidth="1"/>
    <col min="13848" max="13850" width="8.90625" style="253"/>
    <col min="13851" max="13851" width="10.81640625" style="253" customWidth="1"/>
    <col min="13852" max="13853" width="8.90625" style="253"/>
    <col min="13854" max="13854" width="13.90625" style="253" customWidth="1"/>
    <col min="13855" max="13855" width="10.6328125" style="253" customWidth="1"/>
    <col min="13856" max="13858" width="8.90625" style="253"/>
    <col min="13859" max="13859" width="12" style="253" customWidth="1"/>
    <col min="13860" max="13861" width="8.90625" style="253"/>
    <col min="13862" max="13862" width="9.81640625" style="253" customWidth="1"/>
    <col min="13863" max="13863" width="10.6328125" style="253" customWidth="1"/>
    <col min="13864" max="13869" width="8.90625" style="253"/>
    <col min="13870" max="13870" width="9.36328125" style="253" bestFit="1" customWidth="1"/>
    <col min="13871" max="13871" width="9.1796875" style="253" bestFit="1" customWidth="1"/>
    <col min="13872" max="13872" width="9.08984375" style="253" bestFit="1" customWidth="1"/>
    <col min="13873" max="14083" width="8.90625" style="253"/>
    <col min="14084" max="14084" width="7.54296875" style="253" customWidth="1"/>
    <col min="14085" max="14085" width="43" style="253" customWidth="1"/>
    <col min="14086" max="14086" width="10.453125" style="253" customWidth="1"/>
    <col min="14087" max="14087" width="11.6328125" style="253" customWidth="1"/>
    <col min="14088" max="14088" width="11.1796875" style="253" customWidth="1"/>
    <col min="14089" max="14089" width="11.08984375" style="253" customWidth="1"/>
    <col min="14090" max="14090" width="9.90625" style="253" customWidth="1"/>
    <col min="14091" max="14091" width="12.1796875" style="253" customWidth="1"/>
    <col min="14092" max="14092" width="11.36328125" style="253" customWidth="1"/>
    <col min="14093" max="14093" width="10" style="253" customWidth="1"/>
    <col min="14094" max="14094" width="41" style="253" customWidth="1"/>
    <col min="14095" max="14095" width="11.81640625" style="253" customWidth="1"/>
    <col min="14096" max="14096" width="13" style="253" customWidth="1"/>
    <col min="14097" max="14097" width="12" style="253" bestFit="1" customWidth="1"/>
    <col min="14098" max="14098" width="13.08984375" style="253" customWidth="1"/>
    <col min="14099" max="14099" width="11.6328125" style="253" customWidth="1"/>
    <col min="14100" max="14101" width="8.90625" style="253"/>
    <col min="14102" max="14102" width="12.08984375" style="253" customWidth="1"/>
    <col min="14103" max="14103" width="11.6328125" style="253" customWidth="1"/>
    <col min="14104" max="14106" width="8.90625" style="253"/>
    <col min="14107" max="14107" width="10.81640625" style="253" customWidth="1"/>
    <col min="14108" max="14109" width="8.90625" style="253"/>
    <col min="14110" max="14110" width="13.90625" style="253" customWidth="1"/>
    <col min="14111" max="14111" width="10.6328125" style="253" customWidth="1"/>
    <col min="14112" max="14114" width="8.90625" style="253"/>
    <col min="14115" max="14115" width="12" style="253" customWidth="1"/>
    <col min="14116" max="14117" width="8.90625" style="253"/>
    <col min="14118" max="14118" width="9.81640625" style="253" customWidth="1"/>
    <col min="14119" max="14119" width="10.6328125" style="253" customWidth="1"/>
    <col min="14120" max="14125" width="8.90625" style="253"/>
    <col min="14126" max="14126" width="9.36328125" style="253" bestFit="1" customWidth="1"/>
    <col min="14127" max="14127" width="9.1796875" style="253" bestFit="1" customWidth="1"/>
    <col min="14128" max="14128" width="9.08984375" style="253" bestFit="1" customWidth="1"/>
    <col min="14129" max="14339" width="8.90625" style="253"/>
    <col min="14340" max="14340" width="7.54296875" style="253" customWidth="1"/>
    <col min="14341" max="14341" width="43" style="253" customWidth="1"/>
    <col min="14342" max="14342" width="10.453125" style="253" customWidth="1"/>
    <col min="14343" max="14343" width="11.6328125" style="253" customWidth="1"/>
    <col min="14344" max="14344" width="11.1796875" style="253" customWidth="1"/>
    <col min="14345" max="14345" width="11.08984375" style="253" customWidth="1"/>
    <col min="14346" max="14346" width="9.90625" style="253" customWidth="1"/>
    <col min="14347" max="14347" width="12.1796875" style="253" customWidth="1"/>
    <col min="14348" max="14348" width="11.36328125" style="253" customWidth="1"/>
    <col min="14349" max="14349" width="10" style="253" customWidth="1"/>
    <col min="14350" max="14350" width="41" style="253" customWidth="1"/>
    <col min="14351" max="14351" width="11.81640625" style="253" customWidth="1"/>
    <col min="14352" max="14352" width="13" style="253" customWidth="1"/>
    <col min="14353" max="14353" width="12" style="253" bestFit="1" customWidth="1"/>
    <col min="14354" max="14354" width="13.08984375" style="253" customWidth="1"/>
    <col min="14355" max="14355" width="11.6328125" style="253" customWidth="1"/>
    <col min="14356" max="14357" width="8.90625" style="253"/>
    <col min="14358" max="14358" width="12.08984375" style="253" customWidth="1"/>
    <col min="14359" max="14359" width="11.6328125" style="253" customWidth="1"/>
    <col min="14360" max="14362" width="8.90625" style="253"/>
    <col min="14363" max="14363" width="10.81640625" style="253" customWidth="1"/>
    <col min="14364" max="14365" width="8.90625" style="253"/>
    <col min="14366" max="14366" width="13.90625" style="253" customWidth="1"/>
    <col min="14367" max="14367" width="10.6328125" style="253" customWidth="1"/>
    <col min="14368" max="14370" width="8.90625" style="253"/>
    <col min="14371" max="14371" width="12" style="253" customWidth="1"/>
    <col min="14372" max="14373" width="8.90625" style="253"/>
    <col min="14374" max="14374" width="9.81640625" style="253" customWidth="1"/>
    <col min="14375" max="14375" width="10.6328125" style="253" customWidth="1"/>
    <col min="14376" max="14381" width="8.90625" style="253"/>
    <col min="14382" max="14382" width="9.36328125" style="253" bestFit="1" customWidth="1"/>
    <col min="14383" max="14383" width="9.1796875" style="253" bestFit="1" customWidth="1"/>
    <col min="14384" max="14384" width="9.08984375" style="253" bestFit="1" customWidth="1"/>
    <col min="14385" max="14595" width="8.90625" style="253"/>
    <col min="14596" max="14596" width="7.54296875" style="253" customWidth="1"/>
    <col min="14597" max="14597" width="43" style="253" customWidth="1"/>
    <col min="14598" max="14598" width="10.453125" style="253" customWidth="1"/>
    <col min="14599" max="14599" width="11.6328125" style="253" customWidth="1"/>
    <col min="14600" max="14600" width="11.1796875" style="253" customWidth="1"/>
    <col min="14601" max="14601" width="11.08984375" style="253" customWidth="1"/>
    <col min="14602" max="14602" width="9.90625" style="253" customWidth="1"/>
    <col min="14603" max="14603" width="12.1796875" style="253" customWidth="1"/>
    <col min="14604" max="14604" width="11.36328125" style="253" customWidth="1"/>
    <col min="14605" max="14605" width="10" style="253" customWidth="1"/>
    <col min="14606" max="14606" width="41" style="253" customWidth="1"/>
    <col min="14607" max="14607" width="11.81640625" style="253" customWidth="1"/>
    <col min="14608" max="14608" width="13" style="253" customWidth="1"/>
    <col min="14609" max="14609" width="12" style="253" bestFit="1" customWidth="1"/>
    <col min="14610" max="14610" width="13.08984375" style="253" customWidth="1"/>
    <col min="14611" max="14611" width="11.6328125" style="253" customWidth="1"/>
    <col min="14612" max="14613" width="8.90625" style="253"/>
    <col min="14614" max="14614" width="12.08984375" style="253" customWidth="1"/>
    <col min="14615" max="14615" width="11.6328125" style="253" customWidth="1"/>
    <col min="14616" max="14618" width="8.90625" style="253"/>
    <col min="14619" max="14619" width="10.81640625" style="253" customWidth="1"/>
    <col min="14620" max="14621" width="8.90625" style="253"/>
    <col min="14622" max="14622" width="13.90625" style="253" customWidth="1"/>
    <col min="14623" max="14623" width="10.6328125" style="253" customWidth="1"/>
    <col min="14624" max="14626" width="8.90625" style="253"/>
    <col min="14627" max="14627" width="12" style="253" customWidth="1"/>
    <col min="14628" max="14629" width="8.90625" style="253"/>
    <col min="14630" max="14630" width="9.81640625" style="253" customWidth="1"/>
    <col min="14631" max="14631" width="10.6328125" style="253" customWidth="1"/>
    <col min="14632" max="14637" width="8.90625" style="253"/>
    <col min="14638" max="14638" width="9.36328125" style="253" bestFit="1" customWidth="1"/>
    <col min="14639" max="14639" width="9.1796875" style="253" bestFit="1" customWidth="1"/>
    <col min="14640" max="14640" width="9.08984375" style="253" bestFit="1" customWidth="1"/>
    <col min="14641" max="14851" width="8.90625" style="253"/>
    <col min="14852" max="14852" width="7.54296875" style="253" customWidth="1"/>
    <col min="14853" max="14853" width="43" style="253" customWidth="1"/>
    <col min="14854" max="14854" width="10.453125" style="253" customWidth="1"/>
    <col min="14855" max="14855" width="11.6328125" style="253" customWidth="1"/>
    <col min="14856" max="14856" width="11.1796875" style="253" customWidth="1"/>
    <col min="14857" max="14857" width="11.08984375" style="253" customWidth="1"/>
    <col min="14858" max="14858" width="9.90625" style="253" customWidth="1"/>
    <col min="14859" max="14859" width="12.1796875" style="253" customWidth="1"/>
    <col min="14860" max="14860" width="11.36328125" style="253" customWidth="1"/>
    <col min="14861" max="14861" width="10" style="253" customWidth="1"/>
    <col min="14862" max="14862" width="41" style="253" customWidth="1"/>
    <col min="14863" max="14863" width="11.81640625" style="253" customWidth="1"/>
    <col min="14864" max="14864" width="13" style="253" customWidth="1"/>
    <col min="14865" max="14865" width="12" style="253" bestFit="1" customWidth="1"/>
    <col min="14866" max="14866" width="13.08984375" style="253" customWidth="1"/>
    <col min="14867" max="14867" width="11.6328125" style="253" customWidth="1"/>
    <col min="14868" max="14869" width="8.90625" style="253"/>
    <col min="14870" max="14870" width="12.08984375" style="253" customWidth="1"/>
    <col min="14871" max="14871" width="11.6328125" style="253" customWidth="1"/>
    <col min="14872" max="14874" width="8.90625" style="253"/>
    <col min="14875" max="14875" width="10.81640625" style="253" customWidth="1"/>
    <col min="14876" max="14877" width="8.90625" style="253"/>
    <col min="14878" max="14878" width="13.90625" style="253" customWidth="1"/>
    <col min="14879" max="14879" width="10.6328125" style="253" customWidth="1"/>
    <col min="14880" max="14882" width="8.90625" style="253"/>
    <col min="14883" max="14883" width="12" style="253" customWidth="1"/>
    <col min="14884" max="14885" width="8.90625" style="253"/>
    <col min="14886" max="14886" width="9.81640625" style="253" customWidth="1"/>
    <col min="14887" max="14887" width="10.6328125" style="253" customWidth="1"/>
    <col min="14888" max="14893" width="8.90625" style="253"/>
    <col min="14894" max="14894" width="9.36328125" style="253" bestFit="1" customWidth="1"/>
    <col min="14895" max="14895" width="9.1796875" style="253" bestFit="1" customWidth="1"/>
    <col min="14896" max="14896" width="9.08984375" style="253" bestFit="1" customWidth="1"/>
    <col min="14897" max="15107" width="8.90625" style="253"/>
    <col min="15108" max="15108" width="7.54296875" style="253" customWidth="1"/>
    <col min="15109" max="15109" width="43" style="253" customWidth="1"/>
    <col min="15110" max="15110" width="10.453125" style="253" customWidth="1"/>
    <col min="15111" max="15111" width="11.6328125" style="253" customWidth="1"/>
    <col min="15112" max="15112" width="11.1796875" style="253" customWidth="1"/>
    <col min="15113" max="15113" width="11.08984375" style="253" customWidth="1"/>
    <col min="15114" max="15114" width="9.90625" style="253" customWidth="1"/>
    <col min="15115" max="15115" width="12.1796875" style="253" customWidth="1"/>
    <col min="15116" max="15116" width="11.36328125" style="253" customWidth="1"/>
    <col min="15117" max="15117" width="10" style="253" customWidth="1"/>
    <col min="15118" max="15118" width="41" style="253" customWidth="1"/>
    <col min="15119" max="15119" width="11.81640625" style="253" customWidth="1"/>
    <col min="15120" max="15120" width="13" style="253" customWidth="1"/>
    <col min="15121" max="15121" width="12" style="253" bestFit="1" customWidth="1"/>
    <col min="15122" max="15122" width="13.08984375" style="253" customWidth="1"/>
    <col min="15123" max="15123" width="11.6328125" style="253" customWidth="1"/>
    <col min="15124" max="15125" width="8.90625" style="253"/>
    <col min="15126" max="15126" width="12.08984375" style="253" customWidth="1"/>
    <col min="15127" max="15127" width="11.6328125" style="253" customWidth="1"/>
    <col min="15128" max="15130" width="8.90625" style="253"/>
    <col min="15131" max="15131" width="10.81640625" style="253" customWidth="1"/>
    <col min="15132" max="15133" width="8.90625" style="253"/>
    <col min="15134" max="15134" width="13.90625" style="253" customWidth="1"/>
    <col min="15135" max="15135" width="10.6328125" style="253" customWidth="1"/>
    <col min="15136" max="15138" width="8.90625" style="253"/>
    <col min="15139" max="15139" width="12" style="253" customWidth="1"/>
    <col min="15140" max="15141" width="8.90625" style="253"/>
    <col min="15142" max="15142" width="9.81640625" style="253" customWidth="1"/>
    <col min="15143" max="15143" width="10.6328125" style="253" customWidth="1"/>
    <col min="15144" max="15149" width="8.90625" style="253"/>
    <col min="15150" max="15150" width="9.36328125" style="253" bestFit="1" customWidth="1"/>
    <col min="15151" max="15151" width="9.1796875" style="253" bestFit="1" customWidth="1"/>
    <col min="15152" max="15152" width="9.08984375" style="253" bestFit="1" customWidth="1"/>
    <col min="15153" max="15363" width="8.90625" style="253"/>
    <col min="15364" max="15364" width="7.54296875" style="253" customWidth="1"/>
    <col min="15365" max="15365" width="43" style="253" customWidth="1"/>
    <col min="15366" max="15366" width="10.453125" style="253" customWidth="1"/>
    <col min="15367" max="15367" width="11.6328125" style="253" customWidth="1"/>
    <col min="15368" max="15368" width="11.1796875" style="253" customWidth="1"/>
    <col min="15369" max="15369" width="11.08984375" style="253" customWidth="1"/>
    <col min="15370" max="15370" width="9.90625" style="253" customWidth="1"/>
    <col min="15371" max="15371" width="12.1796875" style="253" customWidth="1"/>
    <col min="15372" max="15372" width="11.36328125" style="253" customWidth="1"/>
    <col min="15373" max="15373" width="10" style="253" customWidth="1"/>
    <col min="15374" max="15374" width="41" style="253" customWidth="1"/>
    <col min="15375" max="15375" width="11.81640625" style="253" customWidth="1"/>
    <col min="15376" max="15376" width="13" style="253" customWidth="1"/>
    <col min="15377" max="15377" width="12" style="253" bestFit="1" customWidth="1"/>
    <col min="15378" max="15378" width="13.08984375" style="253" customWidth="1"/>
    <col min="15379" max="15379" width="11.6328125" style="253" customWidth="1"/>
    <col min="15380" max="15381" width="8.90625" style="253"/>
    <col min="15382" max="15382" width="12.08984375" style="253" customWidth="1"/>
    <col min="15383" max="15383" width="11.6328125" style="253" customWidth="1"/>
    <col min="15384" max="15386" width="8.90625" style="253"/>
    <col min="15387" max="15387" width="10.81640625" style="253" customWidth="1"/>
    <col min="15388" max="15389" width="8.90625" style="253"/>
    <col min="15390" max="15390" width="13.90625" style="253" customWidth="1"/>
    <col min="15391" max="15391" width="10.6328125" style="253" customWidth="1"/>
    <col min="15392" max="15394" width="8.90625" style="253"/>
    <col min="15395" max="15395" width="12" style="253" customWidth="1"/>
    <col min="15396" max="15397" width="8.90625" style="253"/>
    <col min="15398" max="15398" width="9.81640625" style="253" customWidth="1"/>
    <col min="15399" max="15399" width="10.6328125" style="253" customWidth="1"/>
    <col min="15400" max="15405" width="8.90625" style="253"/>
    <col min="15406" max="15406" width="9.36328125" style="253" bestFit="1" customWidth="1"/>
    <col min="15407" max="15407" width="9.1796875" style="253" bestFit="1" customWidth="1"/>
    <col min="15408" max="15408" width="9.08984375" style="253" bestFit="1" customWidth="1"/>
    <col min="15409" max="15619" width="8.90625" style="253"/>
    <col min="15620" max="15620" width="7.54296875" style="253" customWidth="1"/>
    <col min="15621" max="15621" width="43" style="253" customWidth="1"/>
    <col min="15622" max="15622" width="10.453125" style="253" customWidth="1"/>
    <col min="15623" max="15623" width="11.6328125" style="253" customWidth="1"/>
    <col min="15624" max="15624" width="11.1796875" style="253" customWidth="1"/>
    <col min="15625" max="15625" width="11.08984375" style="253" customWidth="1"/>
    <col min="15626" max="15626" width="9.90625" style="253" customWidth="1"/>
    <col min="15627" max="15627" width="12.1796875" style="253" customWidth="1"/>
    <col min="15628" max="15628" width="11.36328125" style="253" customWidth="1"/>
    <col min="15629" max="15629" width="10" style="253" customWidth="1"/>
    <col min="15630" max="15630" width="41" style="253" customWidth="1"/>
    <col min="15631" max="15631" width="11.81640625" style="253" customWidth="1"/>
    <col min="15632" max="15632" width="13" style="253" customWidth="1"/>
    <col min="15633" max="15633" width="12" style="253" bestFit="1" customWidth="1"/>
    <col min="15634" max="15634" width="13.08984375" style="253" customWidth="1"/>
    <col min="15635" max="15635" width="11.6328125" style="253" customWidth="1"/>
    <col min="15636" max="15637" width="8.90625" style="253"/>
    <col min="15638" max="15638" width="12.08984375" style="253" customWidth="1"/>
    <col min="15639" max="15639" width="11.6328125" style="253" customWidth="1"/>
    <col min="15640" max="15642" width="8.90625" style="253"/>
    <col min="15643" max="15643" width="10.81640625" style="253" customWidth="1"/>
    <col min="15644" max="15645" width="8.90625" style="253"/>
    <col min="15646" max="15646" width="13.90625" style="253" customWidth="1"/>
    <col min="15647" max="15647" width="10.6328125" style="253" customWidth="1"/>
    <col min="15648" max="15650" width="8.90625" style="253"/>
    <col min="15651" max="15651" width="12" style="253" customWidth="1"/>
    <col min="15652" max="15653" width="8.90625" style="253"/>
    <col min="15654" max="15654" width="9.81640625" style="253" customWidth="1"/>
    <col min="15655" max="15655" width="10.6328125" style="253" customWidth="1"/>
    <col min="15656" max="15661" width="8.90625" style="253"/>
    <col min="15662" max="15662" width="9.36328125" style="253" bestFit="1" customWidth="1"/>
    <col min="15663" max="15663" width="9.1796875" style="253" bestFit="1" customWidth="1"/>
    <col min="15664" max="15664" width="9.08984375" style="253" bestFit="1" customWidth="1"/>
    <col min="15665" max="15875" width="8.90625" style="253"/>
    <col min="15876" max="15876" width="7.54296875" style="253" customWidth="1"/>
    <col min="15877" max="15877" width="43" style="253" customWidth="1"/>
    <col min="15878" max="15878" width="10.453125" style="253" customWidth="1"/>
    <col min="15879" max="15879" width="11.6328125" style="253" customWidth="1"/>
    <col min="15880" max="15880" width="11.1796875" style="253" customWidth="1"/>
    <col min="15881" max="15881" width="11.08984375" style="253" customWidth="1"/>
    <col min="15882" max="15882" width="9.90625" style="253" customWidth="1"/>
    <col min="15883" max="15883" width="12.1796875" style="253" customWidth="1"/>
    <col min="15884" max="15884" width="11.36328125" style="253" customWidth="1"/>
    <col min="15885" max="15885" width="10" style="253" customWidth="1"/>
    <col min="15886" max="15886" width="41" style="253" customWidth="1"/>
    <col min="15887" max="15887" width="11.81640625" style="253" customWidth="1"/>
    <col min="15888" max="15888" width="13" style="253" customWidth="1"/>
    <col min="15889" max="15889" width="12" style="253" bestFit="1" customWidth="1"/>
    <col min="15890" max="15890" width="13.08984375" style="253" customWidth="1"/>
    <col min="15891" max="15891" width="11.6328125" style="253" customWidth="1"/>
    <col min="15892" max="15893" width="8.90625" style="253"/>
    <col min="15894" max="15894" width="12.08984375" style="253" customWidth="1"/>
    <col min="15895" max="15895" width="11.6328125" style="253" customWidth="1"/>
    <col min="15896" max="15898" width="8.90625" style="253"/>
    <col min="15899" max="15899" width="10.81640625" style="253" customWidth="1"/>
    <col min="15900" max="15901" width="8.90625" style="253"/>
    <col min="15902" max="15902" width="13.90625" style="253" customWidth="1"/>
    <col min="15903" max="15903" width="10.6328125" style="253" customWidth="1"/>
    <col min="15904" max="15906" width="8.90625" style="253"/>
    <col min="15907" max="15907" width="12" style="253" customWidth="1"/>
    <col min="15908" max="15909" width="8.90625" style="253"/>
    <col min="15910" max="15910" width="9.81640625" style="253" customWidth="1"/>
    <col min="15911" max="15911" width="10.6328125" style="253" customWidth="1"/>
    <col min="15912" max="15917" width="8.90625" style="253"/>
    <col min="15918" max="15918" width="9.36328125" style="253" bestFit="1" customWidth="1"/>
    <col min="15919" max="15919" width="9.1796875" style="253" bestFit="1" customWidth="1"/>
    <col min="15920" max="15920" width="9.08984375" style="253" bestFit="1" customWidth="1"/>
    <col min="15921" max="16131" width="8.90625" style="253"/>
    <col min="16132" max="16132" width="7.54296875" style="253" customWidth="1"/>
    <col min="16133" max="16133" width="43" style="253" customWidth="1"/>
    <col min="16134" max="16134" width="10.453125" style="253" customWidth="1"/>
    <col min="16135" max="16135" width="11.6328125" style="253" customWidth="1"/>
    <col min="16136" max="16136" width="11.1796875" style="253" customWidth="1"/>
    <col min="16137" max="16137" width="11.08984375" style="253" customWidth="1"/>
    <col min="16138" max="16138" width="9.90625" style="253" customWidth="1"/>
    <col min="16139" max="16139" width="12.1796875" style="253" customWidth="1"/>
    <col min="16140" max="16140" width="11.36328125" style="253" customWidth="1"/>
    <col min="16141" max="16141" width="10" style="253" customWidth="1"/>
    <col min="16142" max="16142" width="41" style="253" customWidth="1"/>
    <col min="16143" max="16143" width="11.81640625" style="253" customWidth="1"/>
    <col min="16144" max="16144" width="13" style="253" customWidth="1"/>
    <col min="16145" max="16145" width="12" style="253" bestFit="1" customWidth="1"/>
    <col min="16146" max="16146" width="13.08984375" style="253" customWidth="1"/>
    <col min="16147" max="16147" width="11.6328125" style="253" customWidth="1"/>
    <col min="16148" max="16149" width="8.90625" style="253"/>
    <col min="16150" max="16150" width="12.08984375" style="253" customWidth="1"/>
    <col min="16151" max="16151" width="11.6328125" style="253" customWidth="1"/>
    <col min="16152" max="16154" width="8.90625" style="253"/>
    <col min="16155" max="16155" width="10.81640625" style="253" customWidth="1"/>
    <col min="16156" max="16157" width="8.90625" style="253"/>
    <col min="16158" max="16158" width="13.90625" style="253" customWidth="1"/>
    <col min="16159" max="16159" width="10.6328125" style="253" customWidth="1"/>
    <col min="16160" max="16162" width="8.90625" style="253"/>
    <col min="16163" max="16163" width="12" style="253" customWidth="1"/>
    <col min="16164" max="16165" width="8.90625" style="253"/>
    <col min="16166" max="16166" width="9.81640625" style="253" customWidth="1"/>
    <col min="16167" max="16167" width="10.6328125" style="253" customWidth="1"/>
    <col min="16168" max="16173" width="8.90625" style="253"/>
    <col min="16174" max="16174" width="9.36328125" style="253" bestFit="1" customWidth="1"/>
    <col min="16175" max="16175" width="9.1796875" style="253" bestFit="1" customWidth="1"/>
    <col min="16176" max="16176" width="9.08984375" style="253" bestFit="1" customWidth="1"/>
    <col min="16177" max="16384" width="8.90625" style="253"/>
  </cols>
  <sheetData>
    <row r="1" spans="1:30" ht="21" customHeight="1">
      <c r="A1" s="2296" t="s">
        <v>1</v>
      </c>
      <c r="B1" s="2296"/>
      <c r="C1" s="2296"/>
      <c r="D1" s="2296"/>
      <c r="E1" s="2296"/>
      <c r="F1" s="2296"/>
      <c r="G1" s="2296"/>
      <c r="H1" s="2296"/>
    </row>
    <row r="2" spans="1:30" ht="23.25" customHeight="1">
      <c r="A2" s="2297" t="s">
        <v>1084</v>
      </c>
      <c r="B2" s="2297"/>
      <c r="C2" s="2297"/>
      <c r="D2" s="2297"/>
      <c r="E2" s="2297"/>
      <c r="F2" s="2297"/>
      <c r="G2" s="2297"/>
      <c r="H2" s="2297"/>
    </row>
    <row r="3" spans="1:30" ht="21" customHeight="1">
      <c r="A3" s="2298" t="s">
        <v>987</v>
      </c>
      <c r="B3" s="2298"/>
      <c r="C3" s="2298"/>
      <c r="D3" s="2298"/>
      <c r="E3" s="2298"/>
      <c r="F3" s="2298"/>
      <c r="G3" s="2298"/>
      <c r="H3" s="2298"/>
      <c r="I3" s="1143"/>
      <c r="J3" s="1143"/>
      <c r="L3" s="1144"/>
    </row>
    <row r="4" spans="1:30">
      <c r="A4" s="2297" t="s">
        <v>988</v>
      </c>
      <c r="B4" s="2297"/>
      <c r="C4" s="2297"/>
      <c r="D4" s="2297"/>
      <c r="E4" s="2297"/>
      <c r="F4" s="2297"/>
      <c r="G4" s="2297"/>
      <c r="H4" s="2297"/>
      <c r="L4" s="578"/>
      <c r="M4" s="4"/>
      <c r="N4" s="1145"/>
      <c r="O4" s="1145"/>
    </row>
    <row r="5" spans="1:30" ht="22.5" customHeight="1">
      <c r="A5" s="1146"/>
      <c r="B5" s="1147"/>
      <c r="C5" s="15"/>
      <c r="D5" s="15"/>
      <c r="E5" s="1148"/>
      <c r="F5" s="754"/>
      <c r="G5"/>
      <c r="H5"/>
      <c r="I5"/>
      <c r="J5"/>
      <c r="K5"/>
      <c r="L5"/>
      <c r="M5"/>
      <c r="N5"/>
      <c r="O5"/>
      <c r="P5"/>
      <c r="Q5"/>
      <c r="R5"/>
      <c r="S5"/>
      <c r="T5"/>
      <c r="U5"/>
      <c r="V5"/>
      <c r="W5"/>
      <c r="X5"/>
      <c r="Y5"/>
      <c r="Z5"/>
      <c r="AA5"/>
      <c r="AB5"/>
      <c r="AC5"/>
      <c r="AD5"/>
    </row>
    <row r="6" spans="1:30" ht="27.6">
      <c r="A6" s="1149" t="s">
        <v>8</v>
      </c>
      <c r="B6" s="1150" t="s">
        <v>294</v>
      </c>
      <c r="C6" s="1150" t="s">
        <v>198</v>
      </c>
      <c r="D6" s="1322" t="s">
        <v>313</v>
      </c>
      <c r="E6" s="1323" t="s">
        <v>989</v>
      </c>
      <c r="F6" s="1151" t="s">
        <v>990</v>
      </c>
      <c r="G6" s="1151" t="s">
        <v>991</v>
      </c>
      <c r="H6" s="1304" t="s">
        <v>749</v>
      </c>
      <c r="I6" s="1151" t="s">
        <v>334</v>
      </c>
      <c r="J6" s="1324" t="s">
        <v>1117</v>
      </c>
      <c r="K6"/>
      <c r="L6"/>
      <c r="M6" s="1325"/>
      <c r="N6" s="1325"/>
      <c r="O6" s="1325"/>
      <c r="P6" s="1325"/>
      <c r="Q6" s="1325"/>
      <c r="R6" s="1325"/>
      <c r="S6" s="1325"/>
      <c r="T6" s="1325"/>
      <c r="U6" s="1325"/>
      <c r="V6" s="1325"/>
      <c r="W6" s="1325"/>
      <c r="X6" s="1325"/>
      <c r="Y6" s="1325"/>
      <c r="Z6"/>
      <c r="AA6"/>
      <c r="AB6"/>
      <c r="AC6"/>
      <c r="AD6"/>
    </row>
    <row r="7" spans="1:30" ht="22.5" customHeight="1">
      <c r="A7" s="1277"/>
      <c r="B7" s="2299" t="s">
        <v>992</v>
      </c>
      <c r="C7" s="2299"/>
      <c r="D7" s="2299"/>
      <c r="E7" s="2299"/>
      <c r="F7" s="2299"/>
      <c r="G7" s="1278"/>
      <c r="H7" s="1305"/>
      <c r="I7" s="1193"/>
      <c r="J7" s="253"/>
      <c r="M7" s="1326"/>
      <c r="N7" s="1327"/>
      <c r="O7" s="1327"/>
      <c r="P7" s="1327"/>
      <c r="Q7" s="1327"/>
      <c r="R7" s="1327"/>
      <c r="S7" s="1327"/>
      <c r="T7" s="1327"/>
      <c r="U7" s="1327"/>
      <c r="V7" s="1327"/>
      <c r="W7" s="1327"/>
      <c r="X7" s="1327"/>
      <c r="Y7" s="1327"/>
    </row>
    <row r="8" spans="1:30" ht="19.2">
      <c r="A8" s="1152"/>
      <c r="B8" s="1154" t="s">
        <v>993</v>
      </c>
      <c r="C8" s="1155"/>
      <c r="D8" s="1155"/>
      <c r="E8" s="1156"/>
      <c r="F8" s="1156"/>
      <c r="G8" s="1153"/>
      <c r="H8" s="1306"/>
      <c r="I8" s="1193"/>
      <c r="J8" s="253"/>
      <c r="M8" s="1325"/>
      <c r="N8" s="1325"/>
      <c r="O8" s="1325"/>
      <c r="P8" s="1325"/>
      <c r="Q8" s="1325"/>
      <c r="R8" s="1325"/>
      <c r="S8" s="1325"/>
      <c r="T8" s="1325"/>
      <c r="U8" s="1325"/>
      <c r="V8" s="1325"/>
      <c r="W8" s="1325"/>
      <c r="X8" s="1325"/>
      <c r="Y8" s="1325"/>
    </row>
    <row r="9" spans="1:30" ht="19.2">
      <c r="A9" s="1157" t="s">
        <v>158</v>
      </c>
      <c r="B9" s="1158" t="s">
        <v>774</v>
      </c>
      <c r="C9" s="1159"/>
      <c r="D9" s="1159"/>
      <c r="E9" s="1160"/>
      <c r="F9" s="1160"/>
      <c r="G9" s="1161" t="e">
        <f>SUM(F10:F15)</f>
        <v>#REF!</v>
      </c>
      <c r="H9" s="1307"/>
      <c r="I9" s="1314"/>
      <c r="J9"/>
      <c r="K9"/>
      <c r="L9"/>
      <c r="M9" s="1326"/>
      <c r="N9" s="1327"/>
      <c r="O9" s="1327"/>
      <c r="P9" s="1327"/>
      <c r="Q9" s="1327"/>
      <c r="R9" s="1327"/>
      <c r="S9" s="1327"/>
      <c r="T9" s="1327"/>
      <c r="U9" s="1327"/>
      <c r="V9" s="1327"/>
      <c r="W9" s="1327"/>
      <c r="X9" s="1327"/>
      <c r="Y9" s="1327"/>
    </row>
    <row r="10" spans="1:30" ht="183" customHeight="1">
      <c r="A10" s="1162" t="s">
        <v>994</v>
      </c>
      <c r="B10" s="1163" t="s">
        <v>995</v>
      </c>
      <c r="C10" s="1164" t="s">
        <v>768</v>
      </c>
      <c r="D10" s="1164">
        <v>2</v>
      </c>
      <c r="E10" s="1165">
        <f>1862.63*10^5</f>
        <v>186263000</v>
      </c>
      <c r="F10" s="1166">
        <f>E10*D10/10^5</f>
        <v>3725.26</v>
      </c>
      <c r="G10" s="1167" t="s">
        <v>996</v>
      </c>
      <c r="H10" s="1308">
        <v>1862.63</v>
      </c>
      <c r="I10" s="1282" t="s">
        <v>1110</v>
      </c>
      <c r="J10" s="1282" t="s">
        <v>1118</v>
      </c>
      <c r="K10">
        <f>146.76*10^5</f>
        <v>14676000</v>
      </c>
      <c r="L10">
        <f>F10*0.02*10^5</f>
        <v>7450520</v>
      </c>
      <c r="M10" s="1328" t="s">
        <v>1108</v>
      </c>
      <c r="N10" s="1327"/>
      <c r="O10" s="1327"/>
      <c r="P10" s="1327"/>
      <c r="Q10" s="1327"/>
      <c r="R10" s="1327"/>
      <c r="S10" s="1327"/>
      <c r="T10" s="1327"/>
      <c r="U10" s="1327"/>
      <c r="V10" s="1327"/>
      <c r="W10" s="1327"/>
      <c r="X10" s="1327"/>
      <c r="Y10" s="1327"/>
    </row>
    <row r="11" spans="1:30" ht="37.5" customHeight="1">
      <c r="A11" s="1162" t="s">
        <v>997</v>
      </c>
      <c r="B11" s="1168" t="s">
        <v>808</v>
      </c>
      <c r="C11" s="1164" t="s">
        <v>768</v>
      </c>
      <c r="D11" s="1164">
        <v>2</v>
      </c>
      <c r="E11" s="1316">
        <f>1640*10^5/1.02</f>
        <v>160784313.72549018</v>
      </c>
      <c r="F11" s="1166">
        <f>E11*D11/10^5*0</f>
        <v>0</v>
      </c>
      <c r="G11" s="1317" t="s">
        <v>1109</v>
      </c>
      <c r="H11" s="1308">
        <v>1640</v>
      </c>
      <c r="I11" s="1171"/>
      <c r="J11" s="1329"/>
      <c r="K11" s="1169">
        <f>F10*0.12</f>
        <v>447.03120000000001</v>
      </c>
      <c r="L11" s="1170"/>
      <c r="M11" s="1328" t="s">
        <v>1106</v>
      </c>
      <c r="N11" s="1327"/>
      <c r="O11" s="1327"/>
      <c r="P11" s="1327"/>
      <c r="Q11" s="1327"/>
      <c r="R11" s="1327"/>
      <c r="S11" s="1327"/>
      <c r="T11" s="1327"/>
      <c r="U11" s="1327"/>
      <c r="V11" s="1327"/>
      <c r="W11" s="1327"/>
      <c r="X11" s="1327"/>
      <c r="Y11" s="1327"/>
    </row>
    <row r="12" spans="1:30" ht="54" customHeight="1">
      <c r="A12" s="1162" t="s">
        <v>998</v>
      </c>
      <c r="B12" s="1168" t="s">
        <v>808</v>
      </c>
      <c r="C12" s="1164" t="s">
        <v>768</v>
      </c>
      <c r="D12" s="1164">
        <v>2</v>
      </c>
      <c r="E12" s="1165">
        <f>2450*10^5</f>
        <v>245000000</v>
      </c>
      <c r="F12" s="1166">
        <f>E12*D12/10^5*0</f>
        <v>0</v>
      </c>
      <c r="G12" s="1167" t="s">
        <v>999</v>
      </c>
      <c r="H12" s="1308">
        <v>2450</v>
      </c>
      <c r="I12" s="1300" t="s">
        <v>1111</v>
      </c>
      <c r="J12" s="1330" t="s">
        <v>1119</v>
      </c>
      <c r="K12" s="1169"/>
      <c r="L12" s="1170"/>
      <c r="M12" s="1328" t="s">
        <v>1107</v>
      </c>
      <c r="N12" s="1327"/>
      <c r="O12" s="1327"/>
      <c r="P12" s="1327"/>
      <c r="Q12" s="1327"/>
      <c r="R12" s="1327"/>
      <c r="S12" s="1327"/>
      <c r="T12" s="1327"/>
      <c r="U12" s="1327"/>
      <c r="V12" s="1327"/>
      <c r="W12" s="1327"/>
      <c r="X12" s="1327"/>
      <c r="Y12" s="1327"/>
    </row>
    <row r="13" spans="1:30" ht="26.25" customHeight="1">
      <c r="A13" s="1162" t="s">
        <v>1000</v>
      </c>
      <c r="B13" s="1168" t="s">
        <v>808</v>
      </c>
      <c r="C13" s="1164" t="s">
        <v>41</v>
      </c>
      <c r="D13" s="1164">
        <f>300*2</f>
        <v>600</v>
      </c>
      <c r="E13" s="1165">
        <f>6*10^5</f>
        <v>600000</v>
      </c>
      <c r="F13" s="1166">
        <f>E13*D13/10^5*0</f>
        <v>0</v>
      </c>
      <c r="G13" s="1167" t="s">
        <v>1001</v>
      </c>
      <c r="H13" s="1309"/>
      <c r="I13" s="1283">
        <f>D13*E13/10^5</f>
        <v>3600</v>
      </c>
      <c r="J13" s="1169"/>
      <c r="K13" s="1169"/>
      <c r="L13" s="1170"/>
      <c r="M13" s="1326"/>
      <c r="N13" s="1327"/>
      <c r="O13" s="1327"/>
      <c r="P13" s="1327"/>
      <c r="Q13" s="1327"/>
      <c r="R13" s="1327"/>
      <c r="S13" s="1327"/>
      <c r="T13" s="1327"/>
      <c r="U13" s="1327"/>
      <c r="V13" s="1327"/>
      <c r="W13" s="1327"/>
      <c r="X13" s="1327"/>
      <c r="Y13" s="1327"/>
    </row>
    <row r="14" spans="1:30" ht="115.5" customHeight="1">
      <c r="A14" s="1162">
        <v>2</v>
      </c>
      <c r="B14" s="1171" t="s">
        <v>1002</v>
      </c>
      <c r="C14" s="1172" t="s">
        <v>768</v>
      </c>
      <c r="D14" s="1172">
        <v>2</v>
      </c>
      <c r="E14" s="1285" t="e">
        <f>(25.44*10^5)*(65/75)^0.65*#REF!/1.02+495000+75000+1300000</f>
        <v>#REF!</v>
      </c>
      <c r="F14" s="1166" t="e">
        <f>E14*D14/10^5</f>
        <v>#REF!</v>
      </c>
      <c r="G14" s="1299" t="s">
        <v>1099</v>
      </c>
      <c r="H14" s="1310">
        <v>88.28</v>
      </c>
      <c r="I14" s="1282" t="s">
        <v>1112</v>
      </c>
      <c r="J14" s="1331" t="s">
        <v>1120</v>
      </c>
      <c r="M14" s="1326"/>
      <c r="N14" s="1327"/>
      <c r="O14" s="1327"/>
      <c r="P14" s="1327"/>
      <c r="Q14" s="1327"/>
      <c r="R14" s="1327"/>
      <c r="S14" s="1327"/>
      <c r="T14" s="1327"/>
      <c r="U14" s="1327"/>
      <c r="V14" s="1327"/>
      <c r="W14" s="1327"/>
      <c r="X14" s="1327"/>
      <c r="Y14" s="1327"/>
    </row>
    <row r="15" spans="1:30" ht="38.4">
      <c r="A15" s="1162">
        <v>3</v>
      </c>
      <c r="B15" s="1171" t="s">
        <v>1003</v>
      </c>
      <c r="C15" s="1172" t="s">
        <v>768</v>
      </c>
      <c r="D15" s="1172">
        <v>1</v>
      </c>
      <c r="E15" s="1173">
        <f>10*10^5</f>
        <v>1000000</v>
      </c>
      <c r="F15" s="1166">
        <f>E15*D15/10^5</f>
        <v>10</v>
      </c>
      <c r="G15" s="1174" t="s">
        <v>1004</v>
      </c>
      <c r="H15" s="1310"/>
      <c r="I15" s="1282" t="s">
        <v>1098</v>
      </c>
      <c r="J15" s="1331" t="s">
        <v>1121</v>
      </c>
      <c r="M15" s="1326"/>
      <c r="N15" s="1327"/>
      <c r="O15" s="1327"/>
      <c r="P15" s="1327"/>
      <c r="Q15" s="1327"/>
      <c r="R15" s="1327"/>
      <c r="S15" s="1327"/>
      <c r="T15" s="1327"/>
      <c r="U15" s="1327"/>
      <c r="V15" s="1327"/>
      <c r="W15" s="1327"/>
      <c r="X15" s="1327"/>
      <c r="Y15" s="1327"/>
    </row>
    <row r="16" spans="1:30" ht="21.75" customHeight="1">
      <c r="A16" s="1162"/>
      <c r="B16" s="2293" t="s">
        <v>1091</v>
      </c>
      <c r="C16" s="2294"/>
      <c r="D16" s="2294"/>
      <c r="E16" s="2295"/>
      <c r="F16" s="1160" t="e">
        <f>SUM(F10:F15)</f>
        <v>#REF!</v>
      </c>
      <c r="G16" s="1174"/>
      <c r="H16" s="1310"/>
      <c r="I16" s="1193"/>
      <c r="J16" s="253"/>
      <c r="M16" s="1326"/>
      <c r="N16" s="1327"/>
      <c r="O16" s="1327"/>
      <c r="P16" s="1327"/>
      <c r="Q16" s="1327"/>
      <c r="R16" s="1327"/>
      <c r="S16" s="1327"/>
      <c r="T16" s="1327"/>
      <c r="U16" s="1327"/>
      <c r="V16" s="1327"/>
      <c r="W16" s="1327"/>
      <c r="X16" s="1327"/>
      <c r="Y16" s="1327"/>
    </row>
    <row r="17" spans="1:25" ht="19.2">
      <c r="A17" s="1162"/>
      <c r="B17" s="1171"/>
      <c r="C17" s="1172"/>
      <c r="D17" s="1172"/>
      <c r="E17" s="1173"/>
      <c r="F17" s="1166"/>
      <c r="G17" s="1174"/>
      <c r="H17" s="1310"/>
      <c r="I17" s="1193"/>
      <c r="J17" s="253"/>
      <c r="M17" s="1326"/>
      <c r="N17" s="1327"/>
      <c r="O17" s="1327"/>
      <c r="P17" s="1327"/>
      <c r="Q17" s="1327"/>
      <c r="R17" s="1327"/>
      <c r="S17" s="1327"/>
      <c r="T17" s="1327"/>
      <c r="U17" s="1327"/>
      <c r="V17" s="1327"/>
      <c r="W17" s="1327"/>
      <c r="X17" s="1327"/>
      <c r="Y17" s="1327"/>
    </row>
    <row r="18" spans="1:25" ht="19.2">
      <c r="A18" s="1157" t="s">
        <v>811</v>
      </c>
      <c r="B18" s="1158" t="s">
        <v>1005</v>
      </c>
      <c r="C18" s="1159"/>
      <c r="D18" s="1159"/>
      <c r="E18" s="1175"/>
      <c r="F18" s="1160"/>
      <c r="G18" s="1176" t="e">
        <f>SUM(F20:F42)</f>
        <v>#REF!</v>
      </c>
      <c r="H18" s="1310"/>
      <c r="I18" s="1193"/>
      <c r="J18" s="253"/>
    </row>
    <row r="19" spans="1:25" ht="19.2">
      <c r="A19" s="1177" t="s">
        <v>93</v>
      </c>
      <c r="B19" s="1161" t="s">
        <v>55</v>
      </c>
      <c r="C19" s="1179"/>
      <c r="D19" s="1179"/>
      <c r="E19" s="1180"/>
      <c r="F19" s="1181"/>
      <c r="G19" s="1182"/>
      <c r="H19" s="1310"/>
      <c r="I19" s="1193"/>
      <c r="J19" s="253"/>
    </row>
    <row r="20" spans="1:25" ht="96">
      <c r="A20" s="1183">
        <v>1</v>
      </c>
      <c r="B20" s="1184" t="s">
        <v>1006</v>
      </c>
      <c r="C20" s="1185" t="s">
        <v>564</v>
      </c>
      <c r="D20" s="1185">
        <v>2</v>
      </c>
      <c r="E20" s="1186"/>
      <c r="F20" s="1187"/>
      <c r="G20" s="1188"/>
      <c r="H20" s="1310"/>
      <c r="I20" s="1193"/>
      <c r="J20" s="253"/>
    </row>
    <row r="21" spans="1:25" ht="60.75" customHeight="1">
      <c r="A21" s="1183"/>
      <c r="B21" s="1189" t="s">
        <v>1007</v>
      </c>
      <c r="C21" s="1190" t="s">
        <v>768</v>
      </c>
      <c r="D21" s="1190">
        <f>2</f>
        <v>2</v>
      </c>
      <c r="E21" s="1318" t="e">
        <f>172881*#REF!</f>
        <v>#REF!</v>
      </c>
      <c r="F21" s="1192" t="e">
        <f>D21*E21/10^5</f>
        <v>#REF!</v>
      </c>
      <c r="G21" s="1282" t="s">
        <v>1115</v>
      </c>
      <c r="H21" s="1310"/>
      <c r="I21" s="1193"/>
      <c r="J21" s="253"/>
    </row>
    <row r="22" spans="1:25" ht="19.2">
      <c r="A22" s="1183"/>
      <c r="B22" s="1193" t="s">
        <v>1008</v>
      </c>
      <c r="C22" s="1194" t="s">
        <v>767</v>
      </c>
      <c r="D22" s="1194">
        <f>2</f>
        <v>2</v>
      </c>
      <c r="E22" s="1191">
        <v>15000</v>
      </c>
      <c r="F22" s="1192">
        <f t="shared" ref="F22:F29" si="0">D22*E22/10^5</f>
        <v>0.3</v>
      </c>
      <c r="G22" s="1193" t="s">
        <v>1009</v>
      </c>
      <c r="H22" s="1310"/>
      <c r="I22" s="1193"/>
      <c r="J22" s="253"/>
    </row>
    <row r="23" spans="1:25" ht="19.2">
      <c r="A23" s="1183"/>
      <c r="B23" s="1193" t="s">
        <v>1010</v>
      </c>
      <c r="C23" s="1194" t="s">
        <v>767</v>
      </c>
      <c r="D23" s="1194">
        <f>2</f>
        <v>2</v>
      </c>
      <c r="E23" s="1191">
        <v>25000</v>
      </c>
      <c r="F23" s="1192">
        <f t="shared" si="0"/>
        <v>0.5</v>
      </c>
      <c r="G23" s="1193" t="s">
        <v>1011</v>
      </c>
      <c r="H23" s="1310"/>
      <c r="I23" s="1193"/>
      <c r="J23" s="253"/>
    </row>
    <row r="24" spans="1:25" ht="19.2">
      <c r="A24" s="1183"/>
      <c r="B24" s="1193" t="s">
        <v>1012</v>
      </c>
      <c r="C24" s="1194" t="s">
        <v>767</v>
      </c>
      <c r="D24" s="1194">
        <f>2</f>
        <v>2</v>
      </c>
      <c r="E24" s="1191">
        <v>700</v>
      </c>
      <c r="F24" s="1192">
        <f t="shared" si="0"/>
        <v>1.4E-2</v>
      </c>
      <c r="G24" s="1193" t="s">
        <v>1013</v>
      </c>
      <c r="H24" s="1310"/>
      <c r="I24" s="1193"/>
      <c r="J24" s="253"/>
    </row>
    <row r="25" spans="1:25" ht="19.2">
      <c r="A25" s="1183"/>
      <c r="B25" s="1193" t="s">
        <v>1014</v>
      </c>
      <c r="C25" s="1194" t="s">
        <v>767</v>
      </c>
      <c r="D25" s="1194">
        <f>2</f>
        <v>2</v>
      </c>
      <c r="E25" s="1191">
        <v>495</v>
      </c>
      <c r="F25" s="1192">
        <f t="shared" si="0"/>
        <v>9.9000000000000008E-3</v>
      </c>
      <c r="G25" s="1193" t="s">
        <v>1015</v>
      </c>
      <c r="H25" s="1310"/>
      <c r="I25" s="1193"/>
      <c r="J25" s="253"/>
    </row>
    <row r="26" spans="1:25" ht="19.2">
      <c r="A26" s="1183"/>
      <c r="B26" s="1193" t="s">
        <v>1016</v>
      </c>
      <c r="C26" s="1194" t="s">
        <v>767</v>
      </c>
      <c r="D26" s="1194">
        <f>2</f>
        <v>2</v>
      </c>
      <c r="E26" s="1191">
        <v>4123</v>
      </c>
      <c r="F26" s="1192">
        <f t="shared" si="0"/>
        <v>8.2460000000000006E-2</v>
      </c>
      <c r="G26" s="1193" t="s">
        <v>1017</v>
      </c>
      <c r="H26" s="1310"/>
      <c r="I26" s="1193"/>
      <c r="J26" s="253"/>
    </row>
    <row r="27" spans="1:25" ht="19.2">
      <c r="A27" s="1183"/>
      <c r="B27" s="1193" t="s">
        <v>1018</v>
      </c>
      <c r="C27" s="1194" t="s">
        <v>564</v>
      </c>
      <c r="D27" s="1194">
        <f>1*2</f>
        <v>2</v>
      </c>
      <c r="E27" s="1191">
        <v>10000</v>
      </c>
      <c r="F27" s="1192">
        <f t="shared" si="0"/>
        <v>0.2</v>
      </c>
      <c r="G27" s="1193" t="s">
        <v>1019</v>
      </c>
      <c r="H27" s="1310"/>
      <c r="I27" s="1193"/>
      <c r="J27" s="253"/>
    </row>
    <row r="28" spans="1:25" ht="38.4">
      <c r="A28" s="1183">
        <v>2</v>
      </c>
      <c r="B28" s="1184" t="s">
        <v>1020</v>
      </c>
      <c r="C28" s="1185" t="s">
        <v>767</v>
      </c>
      <c r="D28" s="1185">
        <v>1</v>
      </c>
      <c r="E28" s="1165">
        <f>11.67*10^5</f>
        <v>1167000</v>
      </c>
      <c r="F28" s="1192">
        <f t="shared" si="0"/>
        <v>11.67</v>
      </c>
      <c r="G28" s="1195" t="s">
        <v>1021</v>
      </c>
      <c r="H28" s="1310"/>
      <c r="I28" s="1282" t="s">
        <v>1101</v>
      </c>
      <c r="J28" s="1331" t="s">
        <v>1122</v>
      </c>
    </row>
    <row r="29" spans="1:25" ht="37.5" customHeight="1">
      <c r="A29" s="1183">
        <v>3</v>
      </c>
      <c r="B29" s="1184" t="s">
        <v>1022</v>
      </c>
      <c r="C29" s="1185" t="s">
        <v>564</v>
      </c>
      <c r="D29" s="1185">
        <v>1</v>
      </c>
      <c r="E29" s="1165">
        <f>63.75*10^5</f>
        <v>6375000</v>
      </c>
      <c r="F29" s="1192">
        <f t="shared" si="0"/>
        <v>63.75</v>
      </c>
      <c r="G29" s="1195" t="s">
        <v>1023</v>
      </c>
      <c r="H29" s="1311"/>
      <c r="I29" s="1282" t="s">
        <v>1097</v>
      </c>
      <c r="J29" s="1331" t="s">
        <v>1123</v>
      </c>
    </row>
    <row r="30" spans="1:25" ht="19.2">
      <c r="A30" s="1183">
        <v>4</v>
      </c>
      <c r="B30" s="1184" t="s">
        <v>1024</v>
      </c>
      <c r="C30" s="1185" t="s">
        <v>564</v>
      </c>
      <c r="D30" s="1185">
        <v>1</v>
      </c>
      <c r="E30" s="1165">
        <v>0</v>
      </c>
      <c r="F30" s="1187"/>
      <c r="G30" s="1195" t="s">
        <v>1025</v>
      </c>
      <c r="H30" s="1310"/>
      <c r="I30" s="1193"/>
      <c r="J30" s="253"/>
    </row>
    <row r="31" spans="1:25" ht="19.2">
      <c r="A31" s="1183">
        <v>5</v>
      </c>
      <c r="B31" s="1184" t="s">
        <v>1026</v>
      </c>
      <c r="C31" s="1185" t="s">
        <v>564</v>
      </c>
      <c r="D31" s="1185">
        <v>1</v>
      </c>
      <c r="E31" s="1165"/>
      <c r="F31" s="1187"/>
      <c r="G31" s="1195" t="s">
        <v>1025</v>
      </c>
      <c r="H31" s="1310"/>
      <c r="I31" s="1193"/>
      <c r="J31" s="253"/>
    </row>
    <row r="32" spans="1:25" ht="55.5" customHeight="1">
      <c r="A32" s="1183">
        <v>6</v>
      </c>
      <c r="B32" s="1195" t="s">
        <v>1027</v>
      </c>
      <c r="C32" s="1185" t="s">
        <v>809</v>
      </c>
      <c r="D32" s="1185">
        <v>1</v>
      </c>
      <c r="E32" s="1165">
        <f>(2.67*1.4+0.26)*10^5</f>
        <v>399799.99999999994</v>
      </c>
      <c r="F32" s="1192">
        <f t="shared" ref="F32:F36" si="1">D32*E32/10^5</f>
        <v>3.9979999999999993</v>
      </c>
      <c r="G32" s="1300" t="s">
        <v>1028</v>
      </c>
      <c r="H32" s="1311"/>
      <c r="I32" s="1321" t="s">
        <v>1113</v>
      </c>
      <c r="J32" s="1331" t="s">
        <v>1124</v>
      </c>
    </row>
    <row r="33" spans="1:10" ht="75">
      <c r="A33" s="1183">
        <v>7</v>
      </c>
      <c r="B33" s="1184" t="s">
        <v>1029</v>
      </c>
      <c r="C33" s="1194" t="s">
        <v>809</v>
      </c>
      <c r="D33" s="1194">
        <v>1</v>
      </c>
      <c r="E33" s="1191">
        <f>0.428*1.4*10^5</f>
        <v>59919.999999999993</v>
      </c>
      <c r="F33" s="1192">
        <f t="shared" si="1"/>
        <v>0.59919999999999995</v>
      </c>
      <c r="G33" s="1300" t="s">
        <v>1030</v>
      </c>
      <c r="H33" s="1311"/>
      <c r="I33" s="1197" t="s">
        <v>1114</v>
      </c>
      <c r="J33" s="1331" t="s">
        <v>1125</v>
      </c>
    </row>
    <row r="34" spans="1:10" ht="19.2">
      <c r="A34" s="1183">
        <v>8</v>
      </c>
      <c r="B34" s="1184" t="s">
        <v>1031</v>
      </c>
      <c r="C34" s="1185" t="s">
        <v>768</v>
      </c>
      <c r="D34" s="1185">
        <v>15</v>
      </c>
      <c r="E34" s="1165">
        <f>2488</f>
        <v>2488</v>
      </c>
      <c r="F34" s="1192">
        <f t="shared" si="1"/>
        <v>0.37319999999999998</v>
      </c>
      <c r="G34" s="1195" t="s">
        <v>1032</v>
      </c>
      <c r="H34" s="1310" t="s">
        <v>1033</v>
      </c>
      <c r="I34" s="1193"/>
      <c r="J34" s="253"/>
    </row>
    <row r="35" spans="1:10" ht="38.4">
      <c r="A35" s="1183">
        <v>9</v>
      </c>
      <c r="B35" s="1184" t="s">
        <v>1034</v>
      </c>
      <c r="C35" s="1185" t="s">
        <v>768</v>
      </c>
      <c r="D35" s="1185">
        <v>2</v>
      </c>
      <c r="E35" s="1165">
        <f>3.89*10^5</f>
        <v>389000</v>
      </c>
      <c r="F35" s="1192">
        <f t="shared" si="1"/>
        <v>7.78</v>
      </c>
      <c r="G35" s="1195" t="s">
        <v>1035</v>
      </c>
      <c r="H35" s="1310"/>
      <c r="I35" s="1193"/>
      <c r="J35" s="253"/>
    </row>
    <row r="36" spans="1:10" ht="31.5" customHeight="1">
      <c r="A36" s="1183">
        <v>10</v>
      </c>
      <c r="B36" s="1184" t="s">
        <v>1036</v>
      </c>
      <c r="C36" s="1185" t="s">
        <v>564</v>
      </c>
      <c r="D36" s="1196">
        <v>1</v>
      </c>
      <c r="E36" s="1165">
        <f>1*10^5</f>
        <v>100000</v>
      </c>
      <c r="F36" s="1192">
        <f t="shared" si="1"/>
        <v>1</v>
      </c>
      <c r="G36" s="1188" t="s">
        <v>1019</v>
      </c>
      <c r="H36" s="1310"/>
      <c r="I36" s="1193"/>
      <c r="J36" s="253"/>
    </row>
    <row r="37" spans="1:10" ht="19.2">
      <c r="A37" s="1177" t="s">
        <v>94</v>
      </c>
      <c r="B37" s="1178" t="s">
        <v>1037</v>
      </c>
      <c r="C37" s="1185"/>
      <c r="D37" s="1185"/>
      <c r="E37" s="1187"/>
      <c r="F37" s="1187"/>
      <c r="G37" s="1188"/>
      <c r="H37" s="1310"/>
      <c r="I37" s="1193"/>
      <c r="J37" s="253"/>
    </row>
    <row r="38" spans="1:10" ht="57.6">
      <c r="A38" s="1183">
        <v>1</v>
      </c>
      <c r="B38" s="1184" t="s">
        <v>1038</v>
      </c>
      <c r="C38" s="1185" t="s">
        <v>1039</v>
      </c>
      <c r="D38" s="1185">
        <f>2*7*25</f>
        <v>350</v>
      </c>
      <c r="E38" s="1187">
        <f>2667*0.8*1.05</f>
        <v>2240.2800000000002</v>
      </c>
      <c r="F38" s="1192">
        <f t="shared" ref="F38:F42" si="2">D38*E38/10^5</f>
        <v>7.8409800000000009</v>
      </c>
      <c r="G38" s="1197" t="s">
        <v>1100</v>
      </c>
      <c r="H38" s="1310"/>
      <c r="I38" s="1193"/>
      <c r="J38" s="253"/>
    </row>
    <row r="39" spans="1:10" ht="76.8">
      <c r="A39" s="1183">
        <v>2</v>
      </c>
      <c r="B39" s="1184" t="s">
        <v>1040</v>
      </c>
      <c r="C39" s="1185" t="s">
        <v>1039</v>
      </c>
      <c r="D39" s="1185">
        <f>2*7*(29+6*((9-4)+(14-9)))</f>
        <v>1246</v>
      </c>
      <c r="E39" s="1187">
        <f>2667*0.8*1.05</f>
        <v>2240.2800000000002</v>
      </c>
      <c r="F39" s="1192">
        <f t="shared" si="2"/>
        <v>27.913888800000002</v>
      </c>
      <c r="G39" s="1197" t="s">
        <v>1100</v>
      </c>
      <c r="H39" s="1310"/>
      <c r="I39" s="1193"/>
      <c r="J39" s="253"/>
    </row>
    <row r="40" spans="1:10" ht="38.4">
      <c r="A40" s="1183">
        <v>3</v>
      </c>
      <c r="B40" s="1184" t="s">
        <v>1041</v>
      </c>
      <c r="C40" s="1194" t="s">
        <v>1039</v>
      </c>
      <c r="D40" s="1185">
        <v>60</v>
      </c>
      <c r="E40" s="1187">
        <f>2469*0.8*1.05</f>
        <v>2073.96</v>
      </c>
      <c r="F40" s="1192">
        <f t="shared" si="2"/>
        <v>1.2443760000000001</v>
      </c>
      <c r="G40" s="1197" t="s">
        <v>1100</v>
      </c>
      <c r="H40" s="1310"/>
      <c r="I40" s="1193"/>
      <c r="J40" s="253"/>
    </row>
    <row r="41" spans="1:10" ht="19.2">
      <c r="A41" s="1183">
        <v>4</v>
      </c>
      <c r="B41" s="1198" t="s">
        <v>1042</v>
      </c>
      <c r="C41" s="1194" t="s">
        <v>1039</v>
      </c>
      <c r="D41" s="1194">
        <f>3*(25+29+95)</f>
        <v>447</v>
      </c>
      <c r="E41" s="1192">
        <f>12700/30</f>
        <v>423.33333333333331</v>
      </c>
      <c r="F41" s="1192">
        <f t="shared" si="2"/>
        <v>1.8923000000000001</v>
      </c>
      <c r="G41" s="1199" t="s">
        <v>1043</v>
      </c>
      <c r="H41" s="1310"/>
      <c r="I41" s="1193"/>
      <c r="J41" s="253"/>
    </row>
    <row r="42" spans="1:10" ht="33.75" customHeight="1">
      <c r="A42" s="1183">
        <v>5</v>
      </c>
      <c r="B42" s="1184" t="s">
        <v>1044</v>
      </c>
      <c r="C42" s="1185" t="s">
        <v>1039</v>
      </c>
      <c r="D42" s="1185">
        <f>2*(25+29)+110</f>
        <v>218</v>
      </c>
      <c r="E42" s="1166">
        <f>541*0.8*1.05</f>
        <v>454.44000000000005</v>
      </c>
      <c r="F42" s="1192">
        <f t="shared" si="2"/>
        <v>0.99067920000000009</v>
      </c>
      <c r="G42" s="1197" t="s">
        <v>1100</v>
      </c>
      <c r="H42" s="1310"/>
      <c r="I42" s="1193"/>
      <c r="J42" s="253"/>
    </row>
    <row r="43" spans="1:10" ht="18" customHeight="1">
      <c r="A43" s="1183"/>
      <c r="B43" s="2303" t="s">
        <v>1089</v>
      </c>
      <c r="C43" s="2304"/>
      <c r="D43" s="2304"/>
      <c r="E43" s="2305"/>
      <c r="F43" s="1207" t="e">
        <f>SUM(F21:F42)</f>
        <v>#REF!</v>
      </c>
      <c r="G43" s="1197"/>
      <c r="H43" s="1310"/>
      <c r="I43" s="1193"/>
      <c r="J43" s="253"/>
    </row>
    <row r="44" spans="1:10" ht="9" customHeight="1">
      <c r="A44" s="1183"/>
      <c r="B44" s="1160"/>
      <c r="C44" s="1160"/>
      <c r="D44" s="1160"/>
      <c r="E44" s="1160"/>
      <c r="F44" s="1192"/>
      <c r="G44" s="1197"/>
      <c r="H44" s="1310"/>
      <c r="I44" s="1193"/>
      <c r="J44" s="253"/>
    </row>
    <row r="45" spans="1:10" ht="20.399999999999999">
      <c r="A45" s="1274"/>
      <c r="B45" s="2306" t="s">
        <v>1090</v>
      </c>
      <c r="C45" s="2307"/>
      <c r="D45" s="2307"/>
      <c r="E45" s="2308"/>
      <c r="F45" s="1272" t="e">
        <f>F16+F43</f>
        <v>#REF!</v>
      </c>
      <c r="G45" s="1273" t="e">
        <f>F45-'Basic (old)'!$F$45</f>
        <v>#REF!</v>
      </c>
      <c r="H45" s="1310"/>
      <c r="I45" s="1193"/>
      <c r="J45" s="253"/>
    </row>
    <row r="46" spans="1:10" ht="9.75" customHeight="1">
      <c r="A46" s="1200"/>
      <c r="B46" s="1269"/>
      <c r="C46" s="1270"/>
      <c r="D46" s="1270"/>
      <c r="E46" s="1271"/>
      <c r="F46" s="1204"/>
      <c r="G46" s="1205"/>
      <c r="H46" s="1310"/>
      <c r="I46" s="1193"/>
      <c r="J46" s="253"/>
    </row>
    <row r="47" spans="1:10" ht="15.6">
      <c r="A47" s="1193"/>
      <c r="B47" s="1206" t="s">
        <v>1045</v>
      </c>
      <c r="C47" s="1194"/>
      <c r="D47" s="1194"/>
      <c r="E47" s="1192"/>
      <c r="F47" s="1207"/>
      <c r="G47" s="1197" t="s">
        <v>1046</v>
      </c>
      <c r="H47" s="1310"/>
      <c r="I47" s="1193"/>
      <c r="J47" s="253"/>
    </row>
    <row r="48" spans="1:10" ht="19.2">
      <c r="A48" s="1157" t="s">
        <v>813</v>
      </c>
      <c r="B48" s="1158" t="s">
        <v>116</v>
      </c>
      <c r="C48" s="1201"/>
      <c r="D48" s="1202"/>
      <c r="E48" s="1203"/>
      <c r="F48" s="1208"/>
      <c r="G48" s="1205"/>
      <c r="H48" s="1310"/>
      <c r="I48" s="1193"/>
      <c r="J48" s="253"/>
    </row>
    <row r="49" spans="1:11" ht="96">
      <c r="A49" s="1200">
        <v>1</v>
      </c>
      <c r="B49" s="1163" t="s">
        <v>1047</v>
      </c>
      <c r="C49" s="1164" t="s">
        <v>41</v>
      </c>
      <c r="D49" s="1164">
        <v>600</v>
      </c>
      <c r="E49" s="1284">
        <v>20000</v>
      </c>
      <c r="F49" s="1208">
        <f>D49*E49/10^5</f>
        <v>120</v>
      </c>
      <c r="G49" s="1205" t="s">
        <v>1048</v>
      </c>
      <c r="H49" s="1312" t="s">
        <v>1102</v>
      </c>
      <c r="I49" s="1193"/>
      <c r="J49" s="254" t="s">
        <v>1126</v>
      </c>
    </row>
    <row r="50" spans="1:11" ht="15.6">
      <c r="A50" s="1193"/>
      <c r="B50" s="2309" t="s">
        <v>1092</v>
      </c>
      <c r="C50" s="2310"/>
      <c r="D50" s="2310"/>
      <c r="E50" s="2311"/>
      <c r="F50" s="1207">
        <f>SUM(F49:F49)</f>
        <v>120</v>
      </c>
      <c r="G50" s="1193"/>
      <c r="H50" s="1313"/>
      <c r="I50" s="1193"/>
      <c r="J50" s="253"/>
    </row>
    <row r="51" spans="1:11" ht="33.6">
      <c r="A51" s="1209" t="s">
        <v>814</v>
      </c>
      <c r="B51" s="1210" t="s">
        <v>1049</v>
      </c>
      <c r="C51" s="1211"/>
      <c r="D51" s="1212"/>
      <c r="E51" s="1213"/>
      <c r="F51" s="1214"/>
      <c r="G51" s="1215" t="s">
        <v>1050</v>
      </c>
      <c r="H51" s="1310"/>
      <c r="I51" s="1193"/>
      <c r="J51" s="253"/>
    </row>
    <row r="52" spans="1:11" ht="19.2">
      <c r="A52" s="1216">
        <v>1</v>
      </c>
      <c r="B52" s="1167" t="s">
        <v>1051</v>
      </c>
      <c r="C52" s="1217" t="s">
        <v>1052</v>
      </c>
      <c r="D52" s="1218">
        <v>3</v>
      </c>
      <c r="E52" s="1219">
        <f>16.8*10^5</f>
        <v>1680000</v>
      </c>
      <c r="F52" s="1187">
        <f>E52*D52/10^5</f>
        <v>50.4</v>
      </c>
      <c r="G52" s="1220"/>
      <c r="H52" s="1310"/>
      <c r="I52" s="1193"/>
      <c r="J52" s="253"/>
    </row>
    <row r="53" spans="1:11" ht="19.2">
      <c r="A53" s="1216">
        <v>2</v>
      </c>
      <c r="B53" s="1163" t="s">
        <v>1053</v>
      </c>
      <c r="C53" s="1217" t="s">
        <v>564</v>
      </c>
      <c r="D53" s="1218">
        <v>1</v>
      </c>
      <c r="E53" s="1219">
        <f>10*10^5</f>
        <v>1000000</v>
      </c>
      <c r="F53" s="1221">
        <f>E53*D53/10^5</f>
        <v>10</v>
      </c>
      <c r="G53" s="1220"/>
      <c r="H53" s="620"/>
      <c r="I53" s="1193"/>
      <c r="J53" s="253"/>
    </row>
    <row r="54" spans="1:11" ht="19.5" customHeight="1">
      <c r="A54" s="1193"/>
      <c r="B54" s="2309" t="s">
        <v>1054</v>
      </c>
      <c r="C54" s="2310"/>
      <c r="D54" s="2310"/>
      <c r="E54" s="2311"/>
      <c r="F54" s="1207">
        <f>SUM(F52:F53)</f>
        <v>60.4</v>
      </c>
      <c r="G54" s="1197" t="s">
        <v>1055</v>
      </c>
      <c r="H54" s="620"/>
      <c r="I54" s="1193"/>
      <c r="J54" s="253"/>
    </row>
    <row r="55" spans="1:11" ht="15.6">
      <c r="A55" s="1193"/>
      <c r="B55" s="1206" t="s">
        <v>1045</v>
      </c>
      <c r="C55" s="1194"/>
      <c r="D55" s="1194"/>
      <c r="E55" s="1192"/>
      <c r="F55" s="1207"/>
      <c r="G55" s="1197" t="s">
        <v>1046</v>
      </c>
      <c r="H55" s="620"/>
      <c r="I55" s="1193"/>
      <c r="J55" s="253"/>
    </row>
    <row r="56" spans="1:11" ht="38.4">
      <c r="A56" s="1222"/>
      <c r="B56" s="1223" t="s">
        <v>1056</v>
      </c>
      <c r="C56" s="1275"/>
      <c r="D56" s="1275"/>
      <c r="E56" s="1222"/>
      <c r="F56" s="1222"/>
      <c r="G56" s="1276"/>
      <c r="H56" s="1226"/>
      <c r="I56" s="1315"/>
      <c r="J56" s="1227"/>
      <c r="K56" s="1227"/>
    </row>
    <row r="57" spans="1:11" ht="19.2">
      <c r="A57" s="1209" t="s">
        <v>158</v>
      </c>
      <c r="B57" s="1228" t="s">
        <v>333</v>
      </c>
      <c r="C57" s="1229"/>
      <c r="D57" s="1229"/>
      <c r="E57" s="1213"/>
      <c r="F57" s="1213"/>
      <c r="G57" s="1224"/>
      <c r="H57" s="1226"/>
      <c r="I57" s="1315"/>
      <c r="J57" s="1227"/>
      <c r="K57" s="1230"/>
    </row>
    <row r="58" spans="1:11" ht="33.6">
      <c r="A58" s="1216">
        <v>1</v>
      </c>
      <c r="B58" s="1231" t="s">
        <v>1057</v>
      </c>
      <c r="C58" s="1229" t="s">
        <v>41</v>
      </c>
      <c r="D58" s="1212">
        <v>300</v>
      </c>
      <c r="E58" s="1281">
        <v>85000</v>
      </c>
      <c r="F58" s="1213">
        <f>D58*E58/10^5</f>
        <v>255</v>
      </c>
      <c r="G58" s="1232" t="s">
        <v>1058</v>
      </c>
      <c r="H58" s="1226"/>
      <c r="I58" s="1315"/>
      <c r="J58" s="1227"/>
      <c r="K58" s="1230"/>
    </row>
    <row r="59" spans="1:11" ht="19.2">
      <c r="A59" s="1216">
        <v>2</v>
      </c>
      <c r="B59" s="1231" t="s">
        <v>1059</v>
      </c>
      <c r="C59" s="1229" t="s">
        <v>41</v>
      </c>
      <c r="D59" s="1212">
        <v>3</v>
      </c>
      <c r="E59" s="1281">
        <v>110000</v>
      </c>
      <c r="F59" s="1213">
        <f>D59*E59/10^5</f>
        <v>3.3</v>
      </c>
      <c r="G59" s="1232" t="s">
        <v>1058</v>
      </c>
      <c r="H59" s="1226"/>
      <c r="I59" s="1315"/>
      <c r="J59" s="1227"/>
      <c r="K59" s="1230"/>
    </row>
    <row r="60" spans="1:11" ht="38.4">
      <c r="A60" s="1216">
        <v>3</v>
      </c>
      <c r="B60" s="1233" t="s">
        <v>1060</v>
      </c>
      <c r="C60" s="1229" t="s">
        <v>1061</v>
      </c>
      <c r="D60" s="1212">
        <v>2500</v>
      </c>
      <c r="E60" s="1281">
        <v>1300</v>
      </c>
      <c r="F60" s="1213">
        <f>D60*E60/10^5</f>
        <v>32.5</v>
      </c>
      <c r="G60" s="1232" t="s">
        <v>1058</v>
      </c>
      <c r="H60" s="1301" t="s">
        <v>1103</v>
      </c>
      <c r="I60" s="1315"/>
      <c r="J60" s="1171" t="s">
        <v>1058</v>
      </c>
      <c r="K60" s="1230"/>
    </row>
    <row r="61" spans="1:11" ht="19.2">
      <c r="A61" s="1216"/>
      <c r="B61" s="2312" t="s">
        <v>1093</v>
      </c>
      <c r="C61" s="2313"/>
      <c r="D61" s="2313"/>
      <c r="E61" s="2314"/>
      <c r="F61" s="1214">
        <f>SUM(F58:F60)</f>
        <v>290.8</v>
      </c>
      <c r="G61" s="1224"/>
      <c r="H61" s="1226"/>
      <c r="I61" s="1315"/>
      <c r="J61" s="1227"/>
      <c r="K61" s="1230"/>
    </row>
    <row r="62" spans="1:11" ht="19.2">
      <c r="A62" s="1224" t="s">
        <v>813</v>
      </c>
      <c r="B62" s="1234" t="s">
        <v>751</v>
      </c>
      <c r="C62" s="1235"/>
      <c r="D62" s="1236"/>
      <c r="E62" s="1225"/>
      <c r="F62" s="1225"/>
      <c r="G62" s="1224"/>
      <c r="H62" s="1226"/>
      <c r="I62" s="1315"/>
      <c r="J62" s="1227"/>
      <c r="K62" s="1237"/>
    </row>
    <row r="63" spans="1:11" ht="19.2">
      <c r="A63" s="1224" t="s">
        <v>197</v>
      </c>
      <c r="B63" s="1232" t="s">
        <v>1062</v>
      </c>
      <c r="C63" s="1235"/>
      <c r="D63" s="1236"/>
      <c r="E63" s="1225"/>
      <c r="F63" s="1225"/>
      <c r="G63" s="1238" t="s">
        <v>1063</v>
      </c>
      <c r="H63" s="1226"/>
      <c r="I63" s="1315"/>
      <c r="J63" s="1227"/>
      <c r="K63" s="1237"/>
    </row>
    <row r="64" spans="1:11" ht="19.2">
      <c r="A64" s="1239">
        <v>1</v>
      </c>
      <c r="B64" s="1240" t="s">
        <v>1064</v>
      </c>
      <c r="C64" s="1241" t="s">
        <v>815</v>
      </c>
      <c r="D64" s="1241">
        <v>268</v>
      </c>
      <c r="E64" s="1187">
        <f>(286.85+0.5*253.95+0.5*271.45)/1.15</f>
        <v>477.86956521739143</v>
      </c>
      <c r="F64" s="1332">
        <f>D64*E64/10^5</f>
        <v>1.2806904347826091</v>
      </c>
      <c r="G64" s="1240" t="s">
        <v>1065</v>
      </c>
      <c r="H64" s="1226"/>
      <c r="I64" s="1315"/>
      <c r="J64" s="1227"/>
      <c r="K64" s="1237"/>
    </row>
    <row r="65" spans="1:11" ht="19.2">
      <c r="A65" s="1239">
        <f>A64+1</f>
        <v>2</v>
      </c>
      <c r="B65" s="1240" t="s">
        <v>1066</v>
      </c>
      <c r="C65" s="1241" t="s">
        <v>815</v>
      </c>
      <c r="D65" s="1279" t="s">
        <v>1127</v>
      </c>
      <c r="E65" s="1187">
        <f>2619.45/1.15</f>
        <v>2277.782608695652</v>
      </c>
      <c r="F65" s="1332">
        <f t="shared" ref="F65:F72" si="3">D65*E65/10^5</f>
        <v>0</v>
      </c>
      <c r="G65" s="1240" t="s">
        <v>1067</v>
      </c>
      <c r="H65" s="1226"/>
      <c r="I65" s="1319" t="s">
        <v>1116</v>
      </c>
      <c r="J65" s="1333" t="s">
        <v>1128</v>
      </c>
      <c r="K65" s="1237"/>
    </row>
    <row r="66" spans="1:11" ht="19.2">
      <c r="A66" s="1239">
        <v>3</v>
      </c>
      <c r="B66" s="1240" t="s">
        <v>1068</v>
      </c>
      <c r="C66" s="1241" t="s">
        <v>815</v>
      </c>
      <c r="D66" s="1241">
        <v>11</v>
      </c>
      <c r="E66" s="1187">
        <f>6833.4/1.15</f>
        <v>5942.086956521739</v>
      </c>
      <c r="F66" s="1332">
        <f t="shared" si="3"/>
        <v>0.65362956521739124</v>
      </c>
      <c r="G66" s="1240" t="s">
        <v>1069</v>
      </c>
      <c r="H66" s="1226"/>
      <c r="I66" s="1315"/>
      <c r="J66" s="1227"/>
      <c r="K66" s="1237"/>
    </row>
    <row r="67" spans="1:11" ht="19.2">
      <c r="A67" s="1239">
        <v>4</v>
      </c>
      <c r="B67" s="1240" t="s">
        <v>1070</v>
      </c>
      <c r="C67" s="1241" t="s">
        <v>815</v>
      </c>
      <c r="D67" s="1241">
        <v>144</v>
      </c>
      <c r="E67" s="1187">
        <f>(7997.3+3*307.95)/1.15</f>
        <v>7757.521739130435</v>
      </c>
      <c r="F67" s="1332">
        <f t="shared" si="3"/>
        <v>11.170831304347827</v>
      </c>
      <c r="G67" s="1240" t="s">
        <v>1071</v>
      </c>
      <c r="H67" s="1226"/>
      <c r="I67" s="1315"/>
      <c r="J67" s="1227"/>
      <c r="K67" s="1237"/>
    </row>
    <row r="68" spans="1:11" ht="38.4">
      <c r="A68" s="1239">
        <v>5</v>
      </c>
      <c r="B68" s="1240" t="s">
        <v>1072</v>
      </c>
      <c r="C68" s="1241" t="s">
        <v>815</v>
      </c>
      <c r="D68" s="1241">
        <v>2</v>
      </c>
      <c r="E68" s="1187">
        <f>8599.35/1.15*1.1</f>
        <v>8225.4652173913055</v>
      </c>
      <c r="F68" s="1332">
        <f t="shared" si="3"/>
        <v>0.1645093043478261</v>
      </c>
      <c r="G68" s="1240" t="s">
        <v>1073</v>
      </c>
      <c r="H68" s="1226"/>
      <c r="I68" s="1315"/>
      <c r="J68" s="1227"/>
      <c r="K68" s="1237"/>
    </row>
    <row r="69" spans="1:11" ht="19.2">
      <c r="A69" s="1239">
        <v>6</v>
      </c>
      <c r="B69" s="1240" t="s">
        <v>1074</v>
      </c>
      <c r="C69" s="1241" t="s">
        <v>1075</v>
      </c>
      <c r="D69" s="1241">
        <v>17215</v>
      </c>
      <c r="E69" s="1187">
        <f>89.65/1.15</f>
        <v>77.956521739130451</v>
      </c>
      <c r="F69" s="1332">
        <f t="shared" si="3"/>
        <v>13.420215217391306</v>
      </c>
      <c r="G69" s="1240" t="s">
        <v>750</v>
      </c>
      <c r="H69" s="1226"/>
      <c r="I69" s="1315"/>
      <c r="J69" s="1227"/>
      <c r="K69" s="1237"/>
    </row>
    <row r="70" spans="1:11" ht="19.2">
      <c r="A70" s="1239">
        <v>7</v>
      </c>
      <c r="B70" s="1240" t="s">
        <v>1076</v>
      </c>
      <c r="C70" s="1241" t="s">
        <v>1075</v>
      </c>
      <c r="D70" s="1241">
        <v>12960</v>
      </c>
      <c r="E70" s="1187">
        <f>89.65/1.15</f>
        <v>77.956521739130451</v>
      </c>
      <c r="F70" s="1332">
        <f t="shared" si="3"/>
        <v>10.103165217391306</v>
      </c>
      <c r="G70" s="1240" t="s">
        <v>750</v>
      </c>
      <c r="H70" s="1226"/>
      <c r="I70" s="1315"/>
      <c r="J70" s="1227"/>
      <c r="K70" s="1237"/>
    </row>
    <row r="71" spans="1:11" ht="19.2">
      <c r="A71" s="1239">
        <v>8</v>
      </c>
      <c r="B71" s="1240" t="s">
        <v>1077</v>
      </c>
      <c r="C71" s="1241" t="s">
        <v>1075</v>
      </c>
      <c r="D71" s="1241">
        <v>40</v>
      </c>
      <c r="E71" s="1187">
        <f>93.05/1.15</f>
        <v>80.913043478260875</v>
      </c>
      <c r="F71" s="1332">
        <f t="shared" si="3"/>
        <v>3.2365217391304352E-2</v>
      </c>
      <c r="G71" s="1240" t="s">
        <v>1078</v>
      </c>
      <c r="H71" s="1226"/>
      <c r="I71" s="1315"/>
      <c r="J71" s="1227"/>
      <c r="K71" s="1237"/>
    </row>
    <row r="72" spans="1:11" ht="19.2">
      <c r="A72" s="1239">
        <v>9</v>
      </c>
      <c r="B72" s="1240" t="s">
        <v>1079</v>
      </c>
      <c r="C72" s="1241" t="s">
        <v>771</v>
      </c>
      <c r="D72" s="1241">
        <v>648</v>
      </c>
      <c r="E72" s="1187">
        <f>3060.1/1.15</f>
        <v>2660.9565217391305</v>
      </c>
      <c r="F72" s="1332">
        <f t="shared" si="3"/>
        <v>17.242998260869566</v>
      </c>
      <c r="G72" s="1240" t="s">
        <v>1080</v>
      </c>
      <c r="H72" s="1226"/>
      <c r="I72" s="1315"/>
      <c r="J72" s="1227"/>
      <c r="K72" s="1237"/>
    </row>
    <row r="73" spans="1:11" ht="19.2">
      <c r="A73" s="1239"/>
      <c r="B73" s="2300" t="s">
        <v>1094</v>
      </c>
      <c r="C73" s="2301"/>
      <c r="D73" s="2301"/>
      <c r="E73" s="2302"/>
      <c r="F73" s="1334">
        <f>SUM(F64:F72)</f>
        <v>54.06840452173914</v>
      </c>
      <c r="G73" s="1240"/>
      <c r="H73" s="1226"/>
      <c r="I73" s="1315"/>
      <c r="J73" s="1227"/>
      <c r="K73" s="1237"/>
    </row>
    <row r="74" spans="1:11" ht="19.2">
      <c r="A74" s="1224" t="s">
        <v>61</v>
      </c>
      <c r="B74" s="1232" t="s">
        <v>1081</v>
      </c>
      <c r="C74" s="1235"/>
      <c r="D74" s="1236"/>
      <c r="E74" s="1187"/>
      <c r="F74" s="1225"/>
      <c r="G74" s="1224"/>
      <c r="H74" s="1226"/>
      <c r="I74" s="1315"/>
      <c r="J74" s="1227"/>
      <c r="K74" s="1237"/>
    </row>
    <row r="75" spans="1:11" ht="19.2">
      <c r="A75" s="1239">
        <v>1</v>
      </c>
      <c r="B75" s="1240" t="s">
        <v>1064</v>
      </c>
      <c r="C75" s="1241" t="s">
        <v>815</v>
      </c>
      <c r="D75" s="1241">
        <v>60</v>
      </c>
      <c r="E75" s="1187">
        <f>(286.85+0.5*253.95+0.5*271.45)/1.15</f>
        <v>477.86956521739143</v>
      </c>
      <c r="F75" s="1332">
        <f t="shared" ref="F75:F83" si="4">D75*E75/10^5</f>
        <v>0.28672173913043486</v>
      </c>
      <c r="G75" s="1240" t="s">
        <v>1065</v>
      </c>
      <c r="H75" s="1226"/>
      <c r="I75" s="1315"/>
      <c r="J75" s="1227"/>
      <c r="K75" s="1237"/>
    </row>
    <row r="76" spans="1:11" ht="15.75" customHeight="1">
      <c r="A76" s="1239">
        <f>A75+1</f>
        <v>2</v>
      </c>
      <c r="B76" s="1240" t="s">
        <v>1066</v>
      </c>
      <c r="C76" s="1241" t="s">
        <v>815</v>
      </c>
      <c r="D76" s="1241">
        <v>11</v>
      </c>
      <c r="E76" s="1187">
        <f>2619.45/1.15</f>
        <v>2277.782608695652</v>
      </c>
      <c r="F76" s="1332">
        <f t="shared" si="4"/>
        <v>0.25055608695652171</v>
      </c>
      <c r="G76" s="1240" t="s">
        <v>1067</v>
      </c>
      <c r="H76" s="1226"/>
      <c r="I76" s="1315"/>
      <c r="J76" s="1227"/>
      <c r="K76" s="1237"/>
    </row>
    <row r="77" spans="1:11" ht="19.2">
      <c r="A77" s="1239">
        <v>3</v>
      </c>
      <c r="B77" s="1240" t="s">
        <v>1068</v>
      </c>
      <c r="C77" s="1241" t="s">
        <v>815</v>
      </c>
      <c r="D77" s="1241">
        <v>6</v>
      </c>
      <c r="E77" s="1187">
        <f>6833.4/1.15</f>
        <v>5942.086956521739</v>
      </c>
      <c r="F77" s="1332">
        <f t="shared" si="4"/>
        <v>0.35652521739130433</v>
      </c>
      <c r="G77" s="1240" t="s">
        <v>1069</v>
      </c>
      <c r="H77" s="1226"/>
      <c r="I77" s="1315"/>
      <c r="J77" s="1227"/>
      <c r="K77" s="1237"/>
    </row>
    <row r="78" spans="1:11" ht="19.2">
      <c r="A78" s="1239">
        <v>4</v>
      </c>
      <c r="B78" s="1240" t="s">
        <v>1070</v>
      </c>
      <c r="C78" s="1241" t="s">
        <v>815</v>
      </c>
      <c r="D78" s="1241">
        <v>17</v>
      </c>
      <c r="E78" s="1187">
        <f>(7997.3+3*307.95)/1.15</f>
        <v>7757.521739130435</v>
      </c>
      <c r="F78" s="1332">
        <f t="shared" si="4"/>
        <v>1.3187786956521741</v>
      </c>
      <c r="G78" s="1240" t="s">
        <v>1071</v>
      </c>
      <c r="H78" s="1226"/>
      <c r="I78" s="1315"/>
      <c r="J78" s="1227"/>
      <c r="K78" s="1237"/>
    </row>
    <row r="79" spans="1:11" ht="38.4">
      <c r="A79" s="1239">
        <v>5</v>
      </c>
      <c r="B79" s="1240" t="s">
        <v>1072</v>
      </c>
      <c r="C79" s="1241" t="s">
        <v>815</v>
      </c>
      <c r="D79" s="1279" t="s">
        <v>1127</v>
      </c>
      <c r="E79" s="1187">
        <f>8599.35/1.15*1.1</f>
        <v>8225.4652173913055</v>
      </c>
      <c r="F79" s="1332">
        <f t="shared" si="4"/>
        <v>0</v>
      </c>
      <c r="G79" s="1240" t="s">
        <v>1073</v>
      </c>
      <c r="H79" s="1226"/>
      <c r="I79" s="1320" t="s">
        <v>1116</v>
      </c>
      <c r="J79" s="1333" t="s">
        <v>1128</v>
      </c>
      <c r="K79" s="1237"/>
    </row>
    <row r="80" spans="1:11" ht="19.2">
      <c r="A80" s="1239">
        <v>6</v>
      </c>
      <c r="B80" s="1240" t="s">
        <v>1074</v>
      </c>
      <c r="C80" s="1241" t="s">
        <v>1075</v>
      </c>
      <c r="D80" s="1241">
        <v>1332</v>
      </c>
      <c r="E80" s="1187">
        <f>89.65/1.15</f>
        <v>77.956521739130451</v>
      </c>
      <c r="F80" s="1332">
        <f t="shared" si="4"/>
        <v>1.0383808695652177</v>
      </c>
      <c r="G80" s="1240" t="s">
        <v>750</v>
      </c>
      <c r="H80" s="1226"/>
      <c r="I80" s="1315"/>
      <c r="J80" s="1227"/>
      <c r="K80" s="1237"/>
    </row>
    <row r="81" spans="1:11" ht="19.2">
      <c r="A81" s="1239">
        <v>7</v>
      </c>
      <c r="B81" s="1240" t="s">
        <v>1076</v>
      </c>
      <c r="C81" s="1241" t="s">
        <v>1075</v>
      </c>
      <c r="D81" s="1279" t="s">
        <v>1127</v>
      </c>
      <c r="E81" s="1187">
        <f>89.65/1.15</f>
        <v>77.956521739130451</v>
      </c>
      <c r="F81" s="1332">
        <f t="shared" si="4"/>
        <v>0</v>
      </c>
      <c r="G81" s="1240" t="s">
        <v>750</v>
      </c>
      <c r="H81" s="1226"/>
      <c r="I81" s="1319" t="s">
        <v>1116</v>
      </c>
      <c r="J81" s="1333" t="s">
        <v>1128</v>
      </c>
      <c r="K81" s="1237"/>
    </row>
    <row r="82" spans="1:11" ht="19.2">
      <c r="A82" s="1239">
        <v>8</v>
      </c>
      <c r="B82" s="1240" t="s">
        <v>1077</v>
      </c>
      <c r="C82" s="1241" t="s">
        <v>1075</v>
      </c>
      <c r="D82" s="1279" t="s">
        <v>1127</v>
      </c>
      <c r="E82" s="1187">
        <f>93.05/1.15</f>
        <v>80.913043478260875</v>
      </c>
      <c r="F82" s="1332">
        <f t="shared" si="4"/>
        <v>0</v>
      </c>
      <c r="G82" s="1240" t="s">
        <v>1078</v>
      </c>
      <c r="H82" s="1226"/>
      <c r="I82" s="1319" t="s">
        <v>1116</v>
      </c>
      <c r="J82" s="1333" t="s">
        <v>1128</v>
      </c>
      <c r="K82" s="1237"/>
    </row>
    <row r="83" spans="1:11" ht="20.25" customHeight="1">
      <c r="A83" s="1239">
        <v>9</v>
      </c>
      <c r="B83" s="1240" t="s">
        <v>1079</v>
      </c>
      <c r="C83" s="1241" t="s">
        <v>771</v>
      </c>
      <c r="D83" s="1279" t="s">
        <v>1127</v>
      </c>
      <c r="E83" s="1187">
        <f>3060.1/1.15</f>
        <v>2660.9565217391305</v>
      </c>
      <c r="F83" s="1332">
        <f t="shared" si="4"/>
        <v>0</v>
      </c>
      <c r="G83" s="1240" t="s">
        <v>1080</v>
      </c>
      <c r="H83" s="1226"/>
      <c r="I83" s="1319" t="s">
        <v>1116</v>
      </c>
      <c r="J83" s="1333" t="s">
        <v>1128</v>
      </c>
      <c r="K83" s="1237"/>
    </row>
    <row r="84" spans="1:11" ht="19.2">
      <c r="A84" s="1242"/>
      <c r="B84" s="2300" t="s">
        <v>1095</v>
      </c>
      <c r="C84" s="2301"/>
      <c r="D84" s="2301"/>
      <c r="E84" s="2302"/>
      <c r="F84" s="1225">
        <f>SUM(F75:F83)</f>
        <v>3.2509626086956529</v>
      </c>
      <c r="G84" s="1224"/>
      <c r="H84" s="1226"/>
      <c r="I84" s="1315"/>
      <c r="J84" s="1227"/>
      <c r="K84" s="1237"/>
    </row>
    <row r="85" spans="1:11" ht="19.2">
      <c r="A85" s="1224" t="s">
        <v>811</v>
      </c>
      <c r="B85" s="1234" t="s">
        <v>116</v>
      </c>
      <c r="C85" s="1235"/>
      <c r="D85" s="1236"/>
      <c r="E85" s="1187"/>
      <c r="F85" s="1225"/>
      <c r="G85" s="1224"/>
      <c r="H85"/>
      <c r="I85" s="1315"/>
      <c r="J85" s="1227"/>
      <c r="K85" s="1237"/>
    </row>
    <row r="86" spans="1:11" ht="38.4">
      <c r="A86" s="1239">
        <v>1</v>
      </c>
      <c r="B86" s="1243" t="s">
        <v>1082</v>
      </c>
      <c r="C86" s="1235" t="s">
        <v>41</v>
      </c>
      <c r="D86" s="1244">
        <v>100</v>
      </c>
      <c r="E86" s="1280">
        <v>15000</v>
      </c>
      <c r="F86" s="1245">
        <f>D86*E86/10^5</f>
        <v>15</v>
      </c>
      <c r="G86" s="1232" t="s">
        <v>1058</v>
      </c>
      <c r="H86" s="1302" t="s">
        <v>1104</v>
      </c>
      <c r="I86" s="1315"/>
      <c r="J86" s="1171" t="s">
        <v>1058</v>
      </c>
      <c r="K86" s="1237"/>
    </row>
    <row r="87" spans="1:11" ht="19.2">
      <c r="A87" s="1239">
        <v>2</v>
      </c>
      <c r="B87" s="1243" t="s">
        <v>1083</v>
      </c>
      <c r="C87" s="1229" t="s">
        <v>1061</v>
      </c>
      <c r="D87" s="1212">
        <v>1500</v>
      </c>
      <c r="E87" s="1280">
        <v>250</v>
      </c>
      <c r="F87" s="1245">
        <f>D87*E87/10^5</f>
        <v>3.75</v>
      </c>
      <c r="G87" s="1232" t="s">
        <v>1058</v>
      </c>
      <c r="H87" s="1303" t="s">
        <v>1105</v>
      </c>
      <c r="I87" s="1315"/>
      <c r="J87" s="1227"/>
      <c r="K87" s="1237"/>
    </row>
    <row r="88" spans="1:11" ht="19.5" customHeight="1">
      <c r="A88" s="1193"/>
      <c r="B88" s="2300" t="s">
        <v>1096</v>
      </c>
      <c r="C88" s="2301"/>
      <c r="D88" s="2301"/>
      <c r="E88" s="2302"/>
      <c r="F88" s="1207">
        <f>SUM(F86:F87)</f>
        <v>18.75</v>
      </c>
      <c r="G88" s="1193"/>
      <c r="H88" s="1226"/>
      <c r="I88" s="1315"/>
      <c r="J88" s="1227"/>
      <c r="K88" s="1237"/>
    </row>
    <row r="89" spans="1:11">
      <c r="A89" s="253"/>
      <c r="D89" s="1246"/>
      <c r="E89" s="1142"/>
      <c r="F89" s="1142"/>
      <c r="G89" s="253"/>
      <c r="H89" s="1227"/>
      <c r="I89" s="1227"/>
      <c r="J89" s="1227"/>
      <c r="K89" s="1237"/>
    </row>
    <row r="90" spans="1:11" ht="19.2">
      <c r="A90" s="1247"/>
      <c r="B90" s="1248"/>
      <c r="C90" s="1247"/>
      <c r="D90" s="1247"/>
      <c r="E90" s="1249"/>
      <c r="F90" s="1249"/>
      <c r="G90" s="1247"/>
      <c r="H90" s="1227"/>
      <c r="I90" s="1227"/>
      <c r="J90" s="1227"/>
      <c r="K90" s="1237"/>
    </row>
    <row r="91" spans="1:11" ht="19.2">
      <c r="A91" s="1249"/>
      <c r="B91" s="1248"/>
      <c r="C91" s="1247"/>
      <c r="D91" s="1250"/>
      <c r="E91" s="1249"/>
      <c r="F91" s="1249"/>
      <c r="G91" s="1248"/>
      <c r="H91" s="1227"/>
      <c r="I91" s="1227"/>
      <c r="J91" s="1227"/>
      <c r="K91" s="1237"/>
    </row>
    <row r="92" spans="1:11" ht="19.2">
      <c r="A92" s="1251"/>
      <c r="B92" s="1248"/>
      <c r="C92" s="1250"/>
      <c r="D92" s="1250"/>
      <c r="E92" s="1252"/>
      <c r="F92" s="1252"/>
      <c r="G92" s="1253"/>
      <c r="H92" s="1227"/>
      <c r="I92" s="1227"/>
      <c r="J92" s="1227"/>
      <c r="K92" s="1237"/>
    </row>
    <row r="93" spans="1:11" ht="19.2">
      <c r="A93" s="1251"/>
      <c r="B93" s="1254"/>
      <c r="C93" s="1255"/>
      <c r="D93" s="1256"/>
      <c r="E93" s="1257"/>
      <c r="F93" s="1257"/>
      <c r="G93" s="1254"/>
      <c r="H93" s="1227"/>
      <c r="I93" s="1227"/>
      <c r="J93" s="1227"/>
      <c r="K93" s="1230"/>
    </row>
    <row r="94" spans="1:11" ht="19.2">
      <c r="A94" s="1251"/>
      <c r="B94" s="1254"/>
      <c r="C94" s="1255"/>
      <c r="D94" s="1256"/>
      <c r="E94" s="1257"/>
      <c r="F94" s="1257"/>
      <c r="G94" s="1254"/>
      <c r="H94" s="1227"/>
      <c r="I94" s="1227"/>
      <c r="J94" s="1227"/>
      <c r="K94" s="1230"/>
    </row>
    <row r="95" spans="1:11" ht="19.2">
      <c r="A95" s="1251"/>
      <c r="B95" s="1254"/>
      <c r="C95" s="1255"/>
      <c r="D95" s="1256"/>
      <c r="E95" s="1257"/>
      <c r="F95" s="1257"/>
      <c r="G95" s="1254"/>
      <c r="H95" s="1227"/>
      <c r="I95" s="1227"/>
      <c r="J95" s="1227"/>
      <c r="K95" s="1230"/>
    </row>
    <row r="96" spans="1:11" ht="19.2">
      <c r="A96" s="1251"/>
      <c r="B96" s="1254"/>
      <c r="C96" s="1255"/>
      <c r="D96" s="1256"/>
      <c r="E96" s="1257"/>
      <c r="F96" s="1257"/>
      <c r="G96" s="1254"/>
      <c r="H96" s="1227"/>
      <c r="I96" s="1227"/>
      <c r="J96" s="1227"/>
      <c r="K96" s="1230"/>
    </row>
    <row r="97" spans="1:11" ht="19.2">
      <c r="A97" s="1251"/>
      <c r="B97" s="1254"/>
      <c r="C97" s="1255"/>
      <c r="D97" s="1256"/>
      <c r="E97" s="1257"/>
      <c r="F97" s="1257"/>
      <c r="G97" s="1254"/>
      <c r="H97" s="1227"/>
      <c r="I97" s="1227"/>
      <c r="J97" s="1227"/>
      <c r="K97" s="1230"/>
    </row>
    <row r="98" spans="1:11" ht="19.2">
      <c r="A98" s="1251"/>
      <c r="B98" s="1254"/>
      <c r="C98" s="1255"/>
      <c r="D98" s="1256"/>
      <c r="E98" s="1257"/>
      <c r="F98" s="1257"/>
      <c r="G98" s="1254"/>
      <c r="H98" s="1227"/>
      <c r="I98" s="1227"/>
      <c r="J98" s="1227"/>
      <c r="K98" s="1230"/>
    </row>
    <row r="99" spans="1:11" ht="19.2">
      <c r="A99" s="1251"/>
      <c r="B99" s="1254"/>
      <c r="C99" s="1255"/>
      <c r="D99" s="1256"/>
      <c r="E99" s="1257"/>
      <c r="F99" s="1257"/>
      <c r="G99" s="1254"/>
      <c r="H99" s="1227"/>
      <c r="I99" s="1227"/>
      <c r="J99" s="1227"/>
      <c r="K99" s="1230"/>
    </row>
    <row r="100" spans="1:11" ht="19.2">
      <c r="A100" s="1251"/>
      <c r="B100" s="1254"/>
      <c r="C100" s="1255"/>
      <c r="D100" s="1256"/>
      <c r="E100" s="1257"/>
      <c r="F100" s="1257"/>
      <c r="G100" s="1254"/>
      <c r="H100" s="1227"/>
      <c r="I100" s="1227"/>
      <c r="J100" s="1227"/>
      <c r="K100" s="1230"/>
    </row>
    <row r="101" spans="1:11" ht="19.2">
      <c r="A101" s="1251"/>
      <c r="B101" s="1254"/>
      <c r="C101" s="1255"/>
      <c r="D101" s="1256"/>
      <c r="E101" s="1257"/>
      <c r="F101" s="1257"/>
      <c r="G101" s="1254"/>
      <c r="H101" s="1227"/>
      <c r="I101" s="1227"/>
      <c r="J101" s="1227"/>
      <c r="K101" s="1230"/>
    </row>
    <row r="102" spans="1:11" ht="19.2">
      <c r="A102" s="1251"/>
      <c r="B102" s="1254"/>
      <c r="C102" s="1255"/>
      <c r="D102" s="1256"/>
      <c r="E102" s="1257"/>
      <c r="F102" s="1257"/>
      <c r="G102" s="1254"/>
      <c r="H102" s="1227"/>
      <c r="I102" s="1227"/>
      <c r="J102" s="1227"/>
      <c r="K102" s="1230"/>
    </row>
    <row r="103" spans="1:11" ht="19.2">
      <c r="A103" s="1251"/>
      <c r="B103" s="1254"/>
      <c r="C103" s="1255"/>
      <c r="D103" s="1256"/>
      <c r="E103" s="1257"/>
      <c r="F103" s="1257"/>
      <c r="G103" s="1254"/>
      <c r="H103" s="1227"/>
      <c r="I103" s="1227"/>
      <c r="J103" s="1227"/>
      <c r="K103" s="1230"/>
    </row>
    <row r="104" spans="1:11" ht="19.2">
      <c r="A104" s="1251"/>
      <c r="B104" s="1254"/>
      <c r="C104" s="1255"/>
      <c r="D104" s="1256"/>
      <c r="E104" s="1257"/>
      <c r="F104" s="1257"/>
      <c r="G104" s="1254"/>
      <c r="H104" s="1227"/>
      <c r="I104" s="1227"/>
      <c r="J104" s="1227"/>
      <c r="K104" s="1230"/>
    </row>
    <row r="105" spans="1:11" ht="19.2">
      <c r="A105" s="1251"/>
      <c r="B105" s="1254"/>
      <c r="C105" s="1255"/>
      <c r="D105" s="1256"/>
      <c r="E105" s="1257"/>
      <c r="F105" s="1257"/>
      <c r="G105" s="1258"/>
      <c r="H105" s="1227"/>
      <c r="I105" s="1227"/>
      <c r="J105" s="1227"/>
      <c r="K105" s="1230"/>
    </row>
    <row r="106" spans="1:11" ht="19.2">
      <c r="A106" s="1251"/>
      <c r="B106" s="1254"/>
      <c r="C106" s="1255"/>
      <c r="D106" s="1256"/>
      <c r="E106" s="1257"/>
      <c r="F106" s="1257"/>
      <c r="G106" s="1258"/>
      <c r="H106" s="1227"/>
      <c r="I106" s="1227"/>
      <c r="J106" s="1227"/>
      <c r="K106" s="1230"/>
    </row>
    <row r="107" spans="1:11" ht="19.2">
      <c r="A107" s="1251"/>
      <c r="B107" s="1254"/>
      <c r="C107" s="1255"/>
      <c r="D107" s="1256"/>
      <c r="E107" s="1257"/>
      <c r="F107" s="1257"/>
      <c r="G107" s="1254"/>
      <c r="H107" s="1227"/>
      <c r="I107" s="1227"/>
      <c r="J107" s="1227"/>
      <c r="K107" s="1230"/>
    </row>
    <row r="108" spans="1:11" ht="63.75" customHeight="1">
      <c r="A108" s="1251"/>
      <c r="B108" s="1254"/>
      <c r="C108" s="1255"/>
      <c r="D108" s="1256"/>
      <c r="E108" s="1257"/>
      <c r="F108" s="1257"/>
      <c r="G108" s="1254"/>
      <c r="H108" s="1227"/>
      <c r="I108" s="1227"/>
      <c r="J108" s="1227"/>
      <c r="K108" s="1230"/>
    </row>
    <row r="109" spans="1:11" ht="117.75" customHeight="1">
      <c r="A109" s="1251"/>
      <c r="B109" s="1254"/>
      <c r="C109" s="1255"/>
      <c r="D109" s="1256"/>
      <c r="E109" s="1257"/>
      <c r="F109" s="1257"/>
      <c r="G109" s="1254"/>
      <c r="H109" s="1227"/>
      <c r="I109" s="1227"/>
      <c r="J109" s="1227"/>
      <c r="K109" s="1230"/>
    </row>
    <row r="110" spans="1:11" ht="34.5" customHeight="1">
      <c r="A110" s="1251"/>
      <c r="B110" s="1254"/>
      <c r="C110" s="1255"/>
      <c r="D110" s="1256"/>
      <c r="E110" s="1257"/>
      <c r="F110" s="1257"/>
      <c r="G110" s="1259"/>
      <c r="H110" s="1227"/>
      <c r="I110" s="1227"/>
      <c r="J110" s="1227"/>
      <c r="K110" s="1230"/>
    </row>
    <row r="111" spans="1:11" ht="33" customHeight="1">
      <c r="A111" s="1251"/>
      <c r="B111" s="1254"/>
      <c r="C111" s="1255"/>
      <c r="D111" s="1256"/>
      <c r="E111" s="1257"/>
      <c r="F111" s="1257"/>
      <c r="G111" s="1258"/>
      <c r="H111" s="1227"/>
      <c r="I111" s="1227"/>
      <c r="J111" s="1227"/>
      <c r="K111" s="1230"/>
    </row>
    <row r="112" spans="1:11" ht="33" customHeight="1">
      <c r="A112" s="1251"/>
      <c r="B112" s="1254"/>
      <c r="C112" s="1255"/>
      <c r="D112" s="1256"/>
      <c r="E112" s="1257"/>
      <c r="F112" s="1257"/>
      <c r="G112" s="1254"/>
      <c r="H112" s="1227"/>
      <c r="I112" s="1227"/>
      <c r="J112" s="1227"/>
      <c r="K112" s="1230"/>
    </row>
    <row r="113" spans="1:11" ht="33" customHeight="1">
      <c r="A113" s="1251"/>
      <c r="B113" s="1254"/>
      <c r="C113" s="1255"/>
      <c r="D113" s="1256"/>
      <c r="E113" s="1257"/>
      <c r="F113" s="1257"/>
      <c r="G113" s="1254"/>
      <c r="H113" s="1227"/>
      <c r="I113" s="1227"/>
      <c r="J113" s="1227"/>
      <c r="K113" s="1230"/>
    </row>
    <row r="114" spans="1:11" ht="33" customHeight="1">
      <c r="A114" s="1251"/>
      <c r="B114" s="1254"/>
      <c r="C114" s="1255"/>
      <c r="D114" s="1256"/>
      <c r="E114" s="1257"/>
      <c r="F114" s="1257"/>
      <c r="G114" s="1254"/>
      <c r="H114" s="1227"/>
      <c r="I114" s="1227"/>
      <c r="J114" s="1227"/>
      <c r="K114" s="1230"/>
    </row>
    <row r="115" spans="1:11" ht="33" customHeight="1">
      <c r="A115" s="1251"/>
      <c r="B115" s="1254"/>
      <c r="C115" s="1255"/>
      <c r="D115" s="1256"/>
      <c r="E115" s="1257"/>
      <c r="F115" s="1257"/>
      <c r="G115" s="1254"/>
      <c r="H115" s="1227"/>
      <c r="I115" s="1227"/>
      <c r="J115" s="1227"/>
      <c r="K115" s="1230"/>
    </row>
    <row r="116" spans="1:11" ht="33" customHeight="1">
      <c r="A116" s="1251"/>
      <c r="B116" s="1254"/>
      <c r="C116" s="1255"/>
      <c r="D116" s="1256"/>
      <c r="E116" s="1257"/>
      <c r="F116" s="1257"/>
      <c r="G116" s="1254"/>
      <c r="H116" s="1227"/>
      <c r="I116" s="1227"/>
      <c r="J116" s="1227"/>
      <c r="K116" s="1230"/>
    </row>
    <row r="117" spans="1:11" ht="33" customHeight="1">
      <c r="A117" s="1251"/>
      <c r="B117" s="1254"/>
      <c r="C117" s="1255"/>
      <c r="D117" s="1256"/>
      <c r="E117" s="1257"/>
      <c r="F117" s="1257"/>
      <c r="G117" s="1254"/>
      <c r="H117" s="1227"/>
      <c r="I117" s="1227"/>
      <c r="J117" s="1227"/>
      <c r="K117" s="1230"/>
    </row>
    <row r="118" spans="1:11" ht="33" customHeight="1">
      <c r="A118" s="1251"/>
      <c r="B118" s="1254"/>
      <c r="C118" s="1255"/>
      <c r="D118" s="1256"/>
      <c r="E118" s="1257"/>
      <c r="F118" s="1257"/>
      <c r="G118" s="1254"/>
      <c r="H118" s="1227"/>
      <c r="I118" s="1227"/>
      <c r="J118" s="1227"/>
      <c r="K118" s="1230"/>
    </row>
    <row r="119" spans="1:11" ht="33" customHeight="1">
      <c r="A119" s="1251"/>
      <c r="B119" s="1254"/>
      <c r="C119" s="1255"/>
      <c r="D119" s="1256"/>
      <c r="E119" s="1257"/>
      <c r="F119" s="1257"/>
      <c r="G119" s="1254"/>
      <c r="H119" s="1227"/>
      <c r="I119" s="1227"/>
      <c r="J119" s="1227"/>
      <c r="K119" s="1230"/>
    </row>
    <row r="120" spans="1:11" ht="33" customHeight="1">
      <c r="A120" s="1251"/>
      <c r="B120" s="1254"/>
      <c r="C120" s="1255"/>
      <c r="D120" s="1256"/>
      <c r="E120" s="1257"/>
      <c r="F120" s="1257"/>
      <c r="G120" s="1254"/>
      <c r="H120" s="1227"/>
      <c r="I120" s="1227"/>
      <c r="J120" s="1227"/>
      <c r="K120" s="1230"/>
    </row>
    <row r="121" spans="1:11" ht="33" customHeight="1">
      <c r="A121" s="1260"/>
      <c r="B121" s="1248"/>
      <c r="C121" s="1247"/>
      <c r="D121" s="1247"/>
      <c r="E121" s="1249"/>
      <c r="F121" s="1261"/>
      <c r="G121" s="1248"/>
      <c r="H121" s="1227"/>
      <c r="I121" s="1227"/>
      <c r="J121" s="1227"/>
      <c r="K121" s="1230"/>
    </row>
    <row r="122" spans="1:11" ht="33" customHeight="1">
      <c r="A122" s="1251"/>
      <c r="B122" s="1253"/>
      <c r="C122" s="1250"/>
      <c r="D122" s="1262"/>
      <c r="E122" s="1263"/>
      <c r="F122" s="1252"/>
      <c r="G122" s="1264"/>
      <c r="H122" s="1227"/>
      <c r="I122" s="1227"/>
      <c r="J122" s="1227"/>
      <c r="K122" s="1230"/>
    </row>
    <row r="123" spans="1:11" ht="33" customHeight="1">
      <c r="A123" s="1251"/>
      <c r="B123" s="1248"/>
      <c r="C123" s="1250"/>
      <c r="D123" s="1250"/>
      <c r="E123" s="1252"/>
      <c r="F123" s="1252"/>
      <c r="G123" s="1264"/>
      <c r="H123" s="1227"/>
      <c r="I123" s="1227"/>
      <c r="J123" s="1227"/>
      <c r="K123" s="1230"/>
    </row>
    <row r="124" spans="1:11" ht="33" customHeight="1">
      <c r="A124" s="1251"/>
      <c r="B124" s="1248"/>
      <c r="C124" s="1250"/>
      <c r="D124" s="1250"/>
      <c r="E124" s="1252"/>
      <c r="F124" s="1252"/>
      <c r="G124" s="1264"/>
      <c r="H124" s="1227"/>
      <c r="I124" s="1227"/>
      <c r="J124" s="1227"/>
      <c r="K124" s="1227"/>
    </row>
    <row r="125" spans="1:11" ht="33" customHeight="1">
      <c r="A125" s="1251"/>
      <c r="B125" s="1254"/>
      <c r="C125" s="1255"/>
      <c r="D125" s="1256"/>
      <c r="E125" s="1257"/>
      <c r="F125" s="1257"/>
      <c r="G125" s="1254"/>
      <c r="H125" s="1227"/>
      <c r="I125" s="1227"/>
      <c r="J125" s="1227"/>
      <c r="K125" s="1227"/>
    </row>
    <row r="126" spans="1:11" ht="33" customHeight="1">
      <c r="A126" s="1251"/>
      <c r="B126" s="1254"/>
      <c r="C126" s="1255"/>
      <c r="D126" s="1256"/>
      <c r="E126" s="1257"/>
      <c r="F126" s="1257"/>
      <c r="G126" s="1254"/>
      <c r="H126" s="1227"/>
      <c r="I126" s="1227"/>
      <c r="J126" s="1227"/>
      <c r="K126" s="1227"/>
    </row>
    <row r="127" spans="1:11" ht="33" customHeight="1">
      <c r="A127" s="1251"/>
      <c r="B127" s="1254"/>
      <c r="C127" s="1255"/>
      <c r="D127" s="1256"/>
      <c r="E127" s="1257"/>
      <c r="F127" s="1257"/>
      <c r="G127" s="1254"/>
      <c r="H127" s="1227"/>
      <c r="I127" s="1227"/>
      <c r="J127" s="1227"/>
      <c r="K127" s="1227"/>
    </row>
    <row r="128" spans="1:11" ht="33" customHeight="1">
      <c r="A128" s="1251"/>
      <c r="B128" s="1254"/>
      <c r="C128" s="1255"/>
      <c r="D128" s="1256"/>
      <c r="E128" s="1257"/>
      <c r="F128" s="1257"/>
      <c r="G128" s="1254"/>
      <c r="H128" s="1227"/>
      <c r="I128" s="1227"/>
      <c r="J128" s="1227"/>
      <c r="K128" s="1227"/>
    </row>
    <row r="129" spans="1:11" ht="33" customHeight="1">
      <c r="A129" s="1251"/>
      <c r="B129" s="1254"/>
      <c r="C129" s="1255"/>
      <c r="D129" s="1256"/>
      <c r="E129" s="1257"/>
      <c r="F129" s="1257"/>
      <c r="G129" s="1254"/>
      <c r="H129" s="1227"/>
      <c r="I129" s="1227"/>
      <c r="J129" s="1227"/>
      <c r="K129" s="1227"/>
    </row>
    <row r="130" spans="1:11" ht="33" customHeight="1">
      <c r="A130" s="1251"/>
      <c r="B130" s="1254"/>
      <c r="C130" s="1255"/>
      <c r="D130" s="1256"/>
      <c r="E130" s="1257"/>
      <c r="F130" s="1257"/>
      <c r="G130" s="1254"/>
      <c r="H130" s="1227"/>
      <c r="I130" s="1227"/>
      <c r="J130" s="1227"/>
      <c r="K130" s="1227"/>
    </row>
    <row r="131" spans="1:11" ht="33" customHeight="1">
      <c r="A131" s="1251"/>
      <c r="B131" s="1254"/>
      <c r="C131" s="1255"/>
      <c r="D131" s="1256"/>
      <c r="E131" s="1257"/>
      <c r="F131" s="1257"/>
      <c r="G131" s="1254"/>
      <c r="H131" s="1227"/>
      <c r="I131" s="1227"/>
      <c r="J131" s="1227"/>
      <c r="K131" s="1227"/>
    </row>
    <row r="132" spans="1:11" ht="33" customHeight="1">
      <c r="A132" s="1251"/>
      <c r="B132" s="1254"/>
      <c r="C132" s="1255"/>
      <c r="D132" s="1256"/>
      <c r="E132" s="1257"/>
      <c r="F132" s="1257"/>
      <c r="G132" s="1254"/>
      <c r="H132" s="1227"/>
      <c r="I132" s="1227"/>
      <c r="J132" s="1227"/>
      <c r="K132" s="1227"/>
    </row>
    <row r="133" spans="1:11" ht="33" customHeight="1">
      <c r="A133" s="1251"/>
      <c r="B133" s="1254"/>
      <c r="C133" s="1255"/>
      <c r="D133" s="1256"/>
      <c r="E133" s="1257"/>
      <c r="F133" s="1257"/>
      <c r="G133" s="1254"/>
      <c r="H133" s="1227"/>
      <c r="I133" s="1227"/>
      <c r="J133" s="1227"/>
      <c r="K133" s="1227"/>
    </row>
    <row r="134" spans="1:11" ht="33" customHeight="1">
      <c r="A134" s="1251"/>
      <c r="B134" s="1254"/>
      <c r="C134" s="1255"/>
      <c r="D134" s="1256"/>
      <c r="E134" s="1257"/>
      <c r="F134" s="1257"/>
      <c r="G134" s="1254"/>
      <c r="H134" s="1227"/>
      <c r="I134" s="1227"/>
      <c r="J134" s="1227"/>
      <c r="K134" s="1227"/>
    </row>
    <row r="135" spans="1:11" ht="33" customHeight="1">
      <c r="A135" s="1251"/>
      <c r="B135" s="1254"/>
      <c r="C135" s="1255"/>
      <c r="D135" s="1256"/>
      <c r="E135" s="1257"/>
      <c r="F135" s="1257"/>
      <c r="G135" s="1254"/>
      <c r="H135" s="1227"/>
      <c r="I135" s="1227"/>
      <c r="J135" s="1227"/>
      <c r="K135" s="1227"/>
    </row>
    <row r="136" spans="1:11" ht="33" customHeight="1">
      <c r="A136" s="1251"/>
      <c r="B136" s="1254"/>
      <c r="C136" s="1255"/>
      <c r="D136" s="1256"/>
      <c r="E136" s="1257"/>
      <c r="F136" s="1257"/>
      <c r="G136" s="1254"/>
      <c r="H136" s="1227"/>
      <c r="I136" s="1227"/>
      <c r="J136" s="1227"/>
      <c r="K136" s="1227"/>
    </row>
    <row r="137" spans="1:11" ht="33" customHeight="1">
      <c r="A137" s="1251"/>
      <c r="B137" s="1254"/>
      <c r="C137" s="1255"/>
      <c r="D137" s="1256"/>
      <c r="E137" s="1257"/>
      <c r="F137" s="1257"/>
      <c r="G137" s="1258"/>
      <c r="H137" s="1227"/>
      <c r="I137" s="1227"/>
      <c r="J137" s="1227"/>
      <c r="K137" s="1227"/>
    </row>
    <row r="138" spans="1:11" ht="33" customHeight="1">
      <c r="A138" s="1251"/>
      <c r="B138" s="1254"/>
      <c r="C138" s="1255"/>
      <c r="D138" s="1256"/>
      <c r="E138" s="1257"/>
      <c r="F138" s="1257"/>
      <c r="G138" s="1258"/>
      <c r="H138" s="1227"/>
      <c r="I138" s="1227"/>
      <c r="J138" s="1227"/>
      <c r="K138" s="1227"/>
    </row>
    <row r="139" spans="1:11" ht="33" customHeight="1">
      <c r="A139" s="1251"/>
      <c r="B139" s="1254"/>
      <c r="C139" s="1255"/>
      <c r="D139" s="1256"/>
      <c r="E139" s="1257"/>
      <c r="F139" s="1257"/>
      <c r="G139" s="1254"/>
      <c r="H139" s="1227"/>
      <c r="I139" s="1227"/>
      <c r="J139" s="1227"/>
      <c r="K139" s="1227"/>
    </row>
    <row r="140" spans="1:11" ht="33" customHeight="1">
      <c r="A140" s="1251"/>
      <c r="B140" s="1254"/>
      <c r="C140" s="1255"/>
      <c r="D140" s="1256"/>
      <c r="E140" s="1257"/>
      <c r="F140" s="1257"/>
      <c r="G140" s="1254"/>
      <c r="H140" s="1227"/>
      <c r="I140" s="1227"/>
      <c r="J140" s="1227"/>
      <c r="K140" s="1227"/>
    </row>
    <row r="141" spans="1:11" ht="33" customHeight="1">
      <c r="A141" s="1251"/>
      <c r="B141" s="1254"/>
      <c r="C141" s="1255"/>
      <c r="D141" s="1256"/>
      <c r="E141" s="1257"/>
      <c r="F141" s="1257"/>
      <c r="G141" s="1254"/>
      <c r="H141" s="1227"/>
      <c r="I141" s="1227"/>
      <c r="J141" s="1227"/>
      <c r="K141" s="1227"/>
    </row>
    <row r="142" spans="1:11" ht="33" customHeight="1">
      <c r="A142" s="1251"/>
      <c r="B142" s="1254"/>
      <c r="C142" s="1255"/>
      <c r="D142" s="1256"/>
      <c r="E142" s="1257"/>
      <c r="F142" s="1257"/>
      <c r="G142" s="1259"/>
      <c r="H142" s="1227"/>
      <c r="I142" s="1227"/>
      <c r="J142" s="1227"/>
      <c r="K142" s="1227"/>
    </row>
    <row r="143" spans="1:11" ht="33" customHeight="1">
      <c r="A143" s="1251"/>
      <c r="B143" s="1254"/>
      <c r="C143" s="1255"/>
      <c r="D143" s="1256"/>
      <c r="E143" s="1257"/>
      <c r="F143" s="1257"/>
      <c r="G143" s="1258"/>
      <c r="H143" s="1227"/>
      <c r="I143" s="1227"/>
      <c r="J143" s="1227"/>
      <c r="K143" s="1227"/>
    </row>
    <row r="144" spans="1:11" ht="33" customHeight="1">
      <c r="A144" s="1251"/>
      <c r="B144" s="1254"/>
      <c r="C144" s="1255"/>
      <c r="D144" s="1256"/>
      <c r="E144" s="1257"/>
      <c r="F144" s="1257"/>
      <c r="G144" s="1254"/>
      <c r="H144" s="1227"/>
      <c r="I144" s="1227"/>
      <c r="J144" s="1227"/>
      <c r="K144" s="1227"/>
    </row>
    <row r="145" spans="1:11" ht="33" customHeight="1">
      <c r="A145" s="1251"/>
      <c r="B145" s="1254"/>
      <c r="C145" s="1255"/>
      <c r="D145" s="1256"/>
      <c r="E145" s="1257"/>
      <c r="F145" s="1257"/>
      <c r="G145" s="1254"/>
      <c r="H145" s="1227"/>
      <c r="I145" s="1227"/>
      <c r="J145" s="1227"/>
      <c r="K145" s="1227"/>
    </row>
    <row r="146" spans="1:11" ht="33" customHeight="1">
      <c r="A146" s="1251"/>
      <c r="B146" s="1254"/>
      <c r="C146" s="1255"/>
      <c r="D146" s="1256"/>
      <c r="E146" s="1257"/>
      <c r="F146" s="1257"/>
      <c r="G146" s="1254"/>
      <c r="H146" s="1227"/>
      <c r="I146" s="1227"/>
      <c r="J146" s="1227"/>
      <c r="K146" s="1227"/>
    </row>
    <row r="147" spans="1:11" ht="33" customHeight="1">
      <c r="A147" s="1251"/>
      <c r="B147" s="1254"/>
      <c r="C147" s="1255"/>
      <c r="D147" s="1256"/>
      <c r="E147" s="1257"/>
      <c r="F147" s="1257"/>
      <c r="G147" s="1254"/>
      <c r="H147" s="1227"/>
      <c r="I147" s="1227"/>
      <c r="J147" s="1227"/>
      <c r="K147" s="1227"/>
    </row>
    <row r="148" spans="1:11" ht="33" customHeight="1">
      <c r="A148" s="1251"/>
      <c r="B148" s="1254"/>
      <c r="C148" s="1255"/>
      <c r="D148" s="1256"/>
      <c r="E148" s="1257"/>
      <c r="F148" s="1257"/>
      <c r="G148" s="1254"/>
      <c r="H148" s="1227"/>
      <c r="I148" s="1227"/>
      <c r="J148" s="1227"/>
      <c r="K148" s="1227"/>
    </row>
    <row r="149" spans="1:11" ht="33" customHeight="1">
      <c r="A149" s="1251"/>
      <c r="B149" s="1254"/>
      <c r="C149" s="1255"/>
      <c r="D149" s="1256"/>
      <c r="E149" s="1257"/>
      <c r="F149" s="1257"/>
      <c r="G149" s="1254"/>
      <c r="H149" s="1227"/>
      <c r="I149" s="1227"/>
      <c r="J149" s="1227"/>
      <c r="K149" s="1227"/>
    </row>
    <row r="150" spans="1:11" ht="33" customHeight="1">
      <c r="A150" s="1251"/>
      <c r="B150" s="1254"/>
      <c r="C150" s="1255"/>
      <c r="D150" s="1256"/>
      <c r="E150" s="1257"/>
      <c r="F150" s="1257"/>
      <c r="G150" s="1254"/>
      <c r="H150" s="1227"/>
      <c r="I150" s="1227"/>
      <c r="J150" s="1227"/>
      <c r="K150" s="1227"/>
    </row>
    <row r="151" spans="1:11" ht="33" customHeight="1">
      <c r="A151" s="1251"/>
      <c r="B151" s="1254"/>
      <c r="C151" s="1255"/>
      <c r="D151" s="1256"/>
      <c r="E151" s="1257"/>
      <c r="F151" s="1257"/>
      <c r="G151" s="1254"/>
      <c r="H151" s="1227"/>
      <c r="I151" s="1227"/>
      <c r="J151" s="1227"/>
      <c r="K151" s="1227"/>
    </row>
    <row r="152" spans="1:11" ht="33" customHeight="1">
      <c r="A152" s="1251"/>
      <c r="B152" s="1254"/>
      <c r="C152" s="1255"/>
      <c r="D152" s="1256"/>
      <c r="E152" s="1257"/>
      <c r="F152" s="1257"/>
      <c r="G152" s="1254"/>
      <c r="H152" s="1227"/>
      <c r="I152" s="1227"/>
      <c r="J152" s="1227"/>
      <c r="K152" s="1227"/>
    </row>
    <row r="153" spans="1:11" ht="33" customHeight="1">
      <c r="A153" s="1260"/>
      <c r="B153" s="1248"/>
      <c r="C153" s="1247"/>
      <c r="D153" s="1247"/>
      <c r="E153" s="1249"/>
      <c r="F153" s="1261"/>
      <c r="G153" s="1248"/>
      <c r="H153" s="1227"/>
      <c r="I153" s="1227"/>
      <c r="J153" s="1227"/>
      <c r="K153" s="1237"/>
    </row>
    <row r="154" spans="1:11" ht="33" customHeight="1">
      <c r="D154" s="1246"/>
      <c r="E154" s="1142"/>
      <c r="F154" s="1142"/>
      <c r="G154" s="578"/>
      <c r="H154" s="253"/>
      <c r="I154" s="253"/>
      <c r="J154" s="253"/>
    </row>
    <row r="155" spans="1:11" ht="33" customHeight="1">
      <c r="D155" s="1246"/>
      <c r="E155" s="1142"/>
      <c r="F155" s="1142"/>
      <c r="G155" s="578"/>
      <c r="H155" s="253"/>
      <c r="I155" s="253"/>
      <c r="J155" s="253"/>
    </row>
    <row r="156" spans="1:11" ht="33" customHeight="1">
      <c r="D156" s="1335"/>
      <c r="E156" s="1336"/>
      <c r="F156" s="1336"/>
    </row>
    <row r="157" spans="1:11" ht="33" customHeight="1">
      <c r="D157" s="1335"/>
      <c r="E157" s="1336"/>
      <c r="F157" s="1336"/>
    </row>
    <row r="158" spans="1:11" ht="33" customHeight="1">
      <c r="D158" s="1335"/>
      <c r="E158" s="1336"/>
      <c r="F158" s="1336"/>
    </row>
    <row r="159" spans="1:11" ht="33" customHeight="1"/>
    <row r="160" spans="1:11" ht="33" customHeight="1"/>
    <row r="161" spans="1:14" ht="33" customHeight="1"/>
    <row r="162" spans="1:14" ht="33" customHeight="1"/>
    <row r="163" spans="1:14" ht="33" customHeight="1"/>
    <row r="164" spans="1:14" ht="33" customHeight="1"/>
    <row r="165" spans="1:14" ht="33" customHeight="1"/>
    <row r="166" spans="1:14" ht="33" customHeight="1"/>
    <row r="167" spans="1:14" ht="33" customHeight="1">
      <c r="A167" s="253"/>
      <c r="C167" s="253"/>
      <c r="D167" s="253"/>
      <c r="E167" s="253"/>
      <c r="F167" s="253"/>
      <c r="G167" s="253"/>
      <c r="H167" s="253"/>
      <c r="I167" s="253"/>
      <c r="J167" s="253"/>
      <c r="K167" s="253"/>
      <c r="N167" s="253"/>
    </row>
    <row r="168" spans="1:14" ht="33" customHeight="1">
      <c r="A168" s="253"/>
      <c r="C168" s="253"/>
      <c r="D168" s="253"/>
      <c r="E168" s="253"/>
      <c r="F168" s="253"/>
      <c r="G168" s="253"/>
      <c r="H168" s="253"/>
      <c r="I168" s="253"/>
      <c r="J168" s="253"/>
      <c r="K168" s="253"/>
      <c r="N168" s="253"/>
    </row>
    <row r="169" spans="1:14" ht="33" customHeight="1">
      <c r="A169" s="253"/>
      <c r="C169" s="253"/>
      <c r="D169" s="253"/>
      <c r="E169" s="253"/>
      <c r="F169" s="253"/>
      <c r="G169" s="253"/>
      <c r="H169" s="253"/>
      <c r="I169" s="253"/>
      <c r="J169" s="253"/>
      <c r="K169" s="253"/>
      <c r="N169" s="253"/>
    </row>
    <row r="170" spans="1:14" ht="33" customHeight="1">
      <c r="A170" s="253"/>
      <c r="C170" s="253"/>
      <c r="D170" s="253"/>
      <c r="E170" s="253"/>
      <c r="F170" s="253"/>
      <c r="G170" s="253"/>
      <c r="H170" s="253"/>
      <c r="I170" s="253"/>
      <c r="J170" s="253"/>
      <c r="K170" s="253"/>
      <c r="N170" s="253"/>
    </row>
    <row r="171" spans="1:14" ht="33" customHeight="1">
      <c r="A171" s="253"/>
      <c r="C171" s="253"/>
      <c r="D171" s="253"/>
      <c r="E171" s="253"/>
      <c r="F171" s="253"/>
      <c r="G171" s="253"/>
      <c r="H171" s="253"/>
      <c r="I171" s="253"/>
      <c r="J171" s="253"/>
      <c r="K171" s="253"/>
      <c r="N171" s="253"/>
    </row>
    <row r="172" spans="1:14" ht="33" customHeight="1">
      <c r="A172" s="253"/>
      <c r="C172" s="253"/>
      <c r="D172" s="253"/>
      <c r="E172" s="253"/>
      <c r="F172" s="253"/>
      <c r="G172" s="253"/>
      <c r="H172" s="253"/>
      <c r="I172" s="253"/>
      <c r="J172" s="253"/>
      <c r="K172" s="253"/>
      <c r="N172" s="253"/>
    </row>
    <row r="173" spans="1:14" ht="33" customHeight="1">
      <c r="A173" s="253"/>
      <c r="C173" s="253"/>
      <c r="D173" s="253"/>
      <c r="E173" s="253"/>
      <c r="F173" s="253"/>
      <c r="G173" s="253"/>
      <c r="H173" s="253"/>
      <c r="I173" s="253"/>
      <c r="J173" s="253"/>
      <c r="K173" s="253"/>
      <c r="N173" s="253"/>
    </row>
    <row r="174" spans="1:14" ht="33" customHeight="1">
      <c r="A174" s="253"/>
      <c r="C174" s="253"/>
      <c r="D174" s="253"/>
      <c r="E174" s="253"/>
      <c r="F174" s="253"/>
      <c r="G174" s="253"/>
      <c r="H174" s="253"/>
      <c r="I174" s="253"/>
      <c r="J174" s="253"/>
      <c r="K174" s="253"/>
      <c r="N174" s="253"/>
    </row>
    <row r="175" spans="1:14" ht="33" customHeight="1">
      <c r="A175" s="253"/>
      <c r="C175" s="253"/>
      <c r="D175" s="253"/>
      <c r="E175" s="253"/>
      <c r="F175" s="253"/>
      <c r="G175" s="253"/>
      <c r="H175" s="253"/>
      <c r="I175" s="253"/>
      <c r="J175" s="253"/>
      <c r="K175" s="253"/>
      <c r="N175" s="253"/>
    </row>
    <row r="176" spans="1:14" ht="33" customHeight="1">
      <c r="A176" s="253"/>
      <c r="C176" s="253"/>
      <c r="D176" s="253"/>
      <c r="E176" s="253"/>
      <c r="F176" s="253"/>
      <c r="G176" s="253"/>
      <c r="H176" s="253"/>
      <c r="I176" s="253"/>
      <c r="J176" s="253"/>
      <c r="K176" s="253"/>
      <c r="N176" s="253"/>
    </row>
    <row r="177" s="253" customFormat="1" ht="33" customHeight="1"/>
    <row r="178" s="253" customFormat="1" ht="33" customHeight="1"/>
    <row r="179" s="253" customFormat="1" ht="33" customHeight="1"/>
    <row r="180" s="253" customFormat="1" ht="33" customHeight="1"/>
    <row r="188" s="253" customFormat="1" ht="33" customHeight="1"/>
    <row r="189" s="253" customFormat="1" ht="33" customHeight="1"/>
    <row r="190" s="253" customFormat="1" ht="33" customHeight="1"/>
    <row r="191" s="253" customFormat="1" ht="33" customHeight="1"/>
    <row r="192" s="253" customFormat="1" ht="33" customHeight="1"/>
    <row r="193" s="253" customFormat="1" ht="33" customHeight="1"/>
    <row r="194" s="253" customFormat="1" ht="33" customHeight="1"/>
    <row r="195" s="253" customFormat="1" ht="33" customHeight="1"/>
    <row r="196" s="253" customFormat="1" ht="33" customHeight="1"/>
    <row r="197" s="253" customFormat="1" ht="33" customHeight="1"/>
    <row r="198" s="253" customFormat="1" ht="33" customHeight="1"/>
    <row r="199" s="253" customFormat="1" ht="33" customHeight="1"/>
    <row r="200" s="253" customFormat="1" ht="33" customHeight="1"/>
    <row r="201" s="253" customFormat="1" ht="33" customHeight="1"/>
    <row r="202" s="253" customFormat="1" ht="33" customHeight="1"/>
    <row r="203" s="253" customFormat="1" ht="33" customHeight="1"/>
    <row r="204" s="253" customFormat="1" ht="33" customHeight="1"/>
    <row r="205" s="253" customFormat="1" ht="33" customHeight="1"/>
    <row r="206" s="253" customFormat="1" ht="33" customHeight="1"/>
    <row r="207" s="253" customFormat="1" ht="33" customHeight="1"/>
    <row r="208" s="253" customFormat="1" ht="33" customHeight="1"/>
    <row r="209" s="253" customFormat="1" ht="33" customHeight="1"/>
    <row r="210" s="253" customFormat="1" ht="33" customHeight="1"/>
    <row r="211" s="253" customFormat="1" ht="33" customHeight="1"/>
    <row r="212" s="253" customFormat="1" ht="33" customHeight="1"/>
    <row r="213" s="253" customFormat="1" ht="33" customHeight="1"/>
    <row r="214" s="253" customFormat="1" ht="33" customHeight="1"/>
    <row r="215" s="253" customFormat="1" ht="33" customHeight="1"/>
    <row r="216" s="253" customFormat="1" ht="33" customHeight="1"/>
    <row r="217" s="253" customFormat="1" ht="33" customHeight="1"/>
    <row r="218" s="253" customFormat="1" ht="33" customHeight="1"/>
    <row r="219" s="253" customFormat="1" ht="33" customHeight="1"/>
    <row r="220" s="253" customFormat="1" ht="33" customHeight="1"/>
    <row r="221" s="253" customFormat="1" ht="33" customHeight="1"/>
    <row r="222" s="253" customFormat="1" ht="33" customHeight="1"/>
    <row r="223" s="253" customFormat="1" ht="33" customHeight="1"/>
    <row r="224" s="253" customFormat="1" ht="33" customHeight="1"/>
    <row r="225" s="253" customFormat="1" ht="33" customHeight="1"/>
    <row r="226" s="253" customFormat="1" ht="33" customHeight="1"/>
    <row r="227" s="253" customFormat="1" ht="33" customHeight="1"/>
    <row r="228" s="253" customFormat="1" ht="33" customHeight="1"/>
    <row r="229" s="253" customFormat="1" ht="33" customHeight="1"/>
    <row r="230" s="253" customFormat="1" ht="33" customHeight="1"/>
    <row r="231" s="253" customFormat="1" ht="33" customHeight="1"/>
    <row r="232" s="253" customFormat="1" ht="33" customHeight="1"/>
    <row r="233" s="253" customFormat="1" ht="33" customHeight="1"/>
    <row r="234" s="253" customFormat="1" ht="33" customHeight="1"/>
    <row r="235" s="253" customFormat="1" ht="33" customHeight="1"/>
    <row r="236" s="253" customFormat="1" ht="33" customHeight="1"/>
    <row r="237" s="253" customFormat="1" ht="33" customHeight="1"/>
    <row r="238" s="253" customFormat="1" ht="33" customHeight="1"/>
    <row r="239" s="253" customFormat="1" ht="33" customHeight="1"/>
    <row r="240" s="253" customFormat="1" ht="33" customHeight="1"/>
    <row r="241" s="253" customFormat="1" ht="33" customHeight="1"/>
    <row r="242" s="253" customFormat="1" ht="33" customHeight="1"/>
    <row r="243" s="253" customFormat="1" ht="33" customHeight="1"/>
    <row r="244" s="253" customFormat="1" ht="33" customHeight="1"/>
    <row r="245" s="253" customFormat="1" ht="33" customHeight="1"/>
    <row r="246" s="253" customFormat="1" ht="33" customHeight="1"/>
    <row r="247" s="253" customFormat="1" ht="33" customHeight="1"/>
    <row r="248" s="253" customFormat="1" ht="33" customHeight="1"/>
    <row r="249" s="253" customFormat="1" ht="33" customHeight="1"/>
    <row r="250" s="253" customFormat="1" ht="33" customHeight="1"/>
    <row r="251" s="253" customFormat="1" ht="33" customHeight="1"/>
    <row r="252" s="253" customFormat="1" ht="33" customHeight="1"/>
    <row r="253" s="253" customFormat="1" ht="33" customHeight="1"/>
    <row r="254" s="253" customFormat="1" ht="33" customHeight="1"/>
    <row r="255" s="253" customFormat="1" ht="33" customHeight="1"/>
    <row r="256" s="253" customFormat="1" ht="33" customHeight="1"/>
    <row r="257" s="253" customFormat="1" ht="33" customHeight="1"/>
    <row r="258" s="253" customFormat="1" ht="33" customHeight="1"/>
    <row r="259" s="253" customFormat="1" ht="33" customHeight="1"/>
    <row r="260" s="253" customFormat="1" ht="33" customHeight="1"/>
    <row r="261" s="253" customFormat="1" ht="33" customHeight="1"/>
    <row r="262" s="253" customFormat="1" ht="33" customHeight="1"/>
    <row r="263" s="253" customFormat="1" ht="33" customHeight="1"/>
    <row r="264" s="253" customFormat="1" ht="33" customHeight="1"/>
    <row r="265" s="253" customFormat="1" ht="33" customHeight="1"/>
    <row r="266" s="253" customFormat="1" ht="33" customHeight="1"/>
    <row r="267" s="253" customFormat="1" ht="33" customHeight="1"/>
    <row r="268" s="253" customFormat="1" ht="33" customHeight="1"/>
    <row r="269" s="253" customFormat="1" ht="33" customHeight="1"/>
    <row r="270" s="253" customFormat="1" ht="33" customHeight="1"/>
    <row r="271" s="253" customFormat="1" ht="33" customHeight="1"/>
    <row r="272" s="253" customFormat="1" ht="33" customHeight="1"/>
    <row r="273" s="253" customFormat="1" ht="33" customHeight="1"/>
    <row r="274" s="253" customFormat="1" ht="33" customHeight="1"/>
    <row r="275" s="253" customFormat="1" ht="33" customHeight="1"/>
    <row r="276" s="253" customFormat="1" ht="33" customHeight="1"/>
    <row r="277" s="253" customFormat="1" ht="33" customHeight="1"/>
    <row r="278" s="253" customFormat="1" ht="33" customHeight="1"/>
    <row r="279" s="253" customFormat="1" ht="33" customHeight="1"/>
    <row r="280" s="253" customFormat="1" ht="33" customHeight="1"/>
    <row r="281" s="253" customFormat="1" ht="33" customHeight="1"/>
    <row r="282" s="253" customFormat="1" ht="33" customHeight="1"/>
    <row r="283" s="253" customFormat="1" ht="33" customHeight="1"/>
    <row r="284" s="253" customFormat="1" ht="33" customHeight="1"/>
    <row r="285" s="253" customFormat="1" ht="33" customHeight="1"/>
    <row r="286" s="253" customFormat="1" ht="33" customHeight="1"/>
    <row r="287" s="253" customFormat="1" ht="33" customHeight="1"/>
    <row r="288" s="253" customFormat="1" ht="33" customHeight="1"/>
    <row r="289" s="253" customFormat="1" ht="33" customHeight="1"/>
    <row r="290" s="253" customFormat="1" ht="33" customHeight="1"/>
    <row r="291" s="253" customFormat="1" ht="33" customHeight="1"/>
    <row r="292" s="253" customFormat="1" ht="33" customHeight="1"/>
    <row r="293" s="253" customFormat="1" ht="33" customHeight="1"/>
    <row r="294" s="253" customFormat="1" ht="33" customHeight="1"/>
    <row r="295" s="253" customFormat="1" ht="33" customHeight="1"/>
    <row r="296" s="253" customFormat="1" ht="33" customHeight="1"/>
    <row r="297" s="253" customFormat="1" ht="33" customHeight="1"/>
    <row r="298" s="253" customFormat="1" ht="33" customHeight="1"/>
    <row r="299" s="253" customFormat="1" ht="33" customHeight="1"/>
    <row r="300" s="253" customFormat="1" ht="33" customHeight="1"/>
    <row r="301" s="253" customFormat="1" ht="33" customHeight="1"/>
    <row r="302" s="253" customFormat="1" ht="33" customHeight="1"/>
    <row r="303" s="253" customFormat="1" ht="33" customHeight="1"/>
    <row r="304" s="253" customFormat="1" ht="33" customHeight="1"/>
    <row r="305" s="253" customFormat="1" ht="33" customHeight="1"/>
    <row r="306" s="253" customFormat="1" ht="33" customHeight="1"/>
    <row r="307" s="253" customFormat="1" ht="33" customHeight="1"/>
    <row r="308" s="253" customFormat="1" ht="33" customHeight="1"/>
    <row r="309" s="253" customFormat="1" ht="33" customHeight="1"/>
    <row r="310" s="253" customFormat="1" ht="33" customHeight="1"/>
    <row r="311" s="253" customFormat="1" ht="33" customHeight="1"/>
    <row r="312" s="253" customFormat="1" ht="33" customHeight="1"/>
    <row r="313" s="253" customFormat="1" ht="33" customHeight="1"/>
    <row r="314" s="253" customFormat="1" ht="33" customHeight="1"/>
    <row r="315" s="253" customFormat="1" ht="33" customHeight="1"/>
    <row r="316" s="253" customFormat="1" ht="33" customHeight="1"/>
    <row r="317" s="253" customFormat="1" ht="33" customHeight="1"/>
  </sheetData>
  <mergeCells count="14">
    <mergeCell ref="B84:E84"/>
    <mergeCell ref="B88:E88"/>
    <mergeCell ref="B43:E43"/>
    <mergeCell ref="B45:E45"/>
    <mergeCell ref="B50:E50"/>
    <mergeCell ref="B54:E54"/>
    <mergeCell ref="B61:E61"/>
    <mergeCell ref="B73:E73"/>
    <mergeCell ref="B16:E16"/>
    <mergeCell ref="A1:H1"/>
    <mergeCell ref="A2:H2"/>
    <mergeCell ref="A3:H3"/>
    <mergeCell ref="A4:H4"/>
    <mergeCell ref="B7:F7"/>
  </mergeCells>
  <pageMargins left="0.70866141732283472" right="0.70866141732283472" top="0.74803149606299213" bottom="0.74803149606299213" header="0.31496062992125984" footer="0.31496062992125984"/>
  <pageSetup paperSize="9" scale="11" fitToHeight="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S83"/>
  <sheetViews>
    <sheetView showZeros="0" zoomScale="59" zoomScaleNormal="59" workbookViewId="0">
      <selection activeCell="F6" sqref="F6"/>
    </sheetView>
  </sheetViews>
  <sheetFormatPr defaultRowHeight="21"/>
  <cols>
    <col min="1" max="1" width="10.1796875" style="275" customWidth="1"/>
    <col min="2" max="2" width="24.36328125" style="275" customWidth="1"/>
    <col min="3" max="3" width="38.36328125" style="275" customWidth="1"/>
    <col min="4" max="4" width="17.36328125" style="275" customWidth="1"/>
    <col min="5" max="5" width="10.08984375" style="275" customWidth="1"/>
    <col min="6" max="6" width="12.90625" style="275" customWidth="1"/>
    <col min="7" max="7" width="9.81640625" style="275" customWidth="1"/>
    <col min="8" max="8" width="8.1796875" style="275" customWidth="1"/>
    <col min="9" max="9" width="9.453125" style="275" customWidth="1"/>
    <col min="10" max="10" width="13.81640625" style="275" customWidth="1"/>
    <col min="11" max="11" width="9.1796875" style="275" customWidth="1"/>
    <col min="12" max="12" width="11.6328125" style="275" customWidth="1"/>
    <col min="13" max="13" width="9.90625" style="275" customWidth="1"/>
    <col min="14" max="14" width="8.36328125" style="275" customWidth="1"/>
    <col min="15" max="15" width="7" style="275" customWidth="1"/>
    <col min="16" max="16" width="9.81640625" style="275" customWidth="1"/>
    <col min="17" max="17" width="10.08984375" style="275" customWidth="1"/>
    <col min="18" max="256" width="8.90625" style="275"/>
    <col min="257" max="257" width="10.1796875" style="275" customWidth="1"/>
    <col min="258" max="258" width="20.08984375" style="275" customWidth="1"/>
    <col min="259" max="259" width="26" style="275" customWidth="1"/>
    <col min="260" max="260" width="14.08984375" style="275" customWidth="1"/>
    <col min="261" max="261" width="10.08984375" style="275" customWidth="1"/>
    <col min="262" max="262" width="12.90625" style="275" customWidth="1"/>
    <col min="263" max="263" width="9.81640625" style="275" customWidth="1"/>
    <col min="264" max="264" width="7.453125" style="275" customWidth="1"/>
    <col min="265" max="265" width="9.453125" style="275" customWidth="1"/>
    <col min="266" max="266" width="13.81640625" style="275" customWidth="1"/>
    <col min="267" max="267" width="7.453125" style="275" customWidth="1"/>
    <col min="268" max="268" width="9.6328125" style="275" customWidth="1"/>
    <col min="269" max="269" width="9.90625" style="275" customWidth="1"/>
    <col min="270" max="270" width="8.36328125" style="275" customWidth="1"/>
    <col min="271" max="271" width="7.1796875" style="275" customWidth="1"/>
    <col min="272" max="272" width="8.453125" style="275" customWidth="1"/>
    <col min="273" max="273" width="10.08984375" style="275" customWidth="1"/>
    <col min="274" max="512" width="8.90625" style="275"/>
    <col min="513" max="513" width="10.1796875" style="275" customWidth="1"/>
    <col min="514" max="514" width="20.08984375" style="275" customWidth="1"/>
    <col min="515" max="515" width="26" style="275" customWidth="1"/>
    <col min="516" max="516" width="14.08984375" style="275" customWidth="1"/>
    <col min="517" max="517" width="10.08984375" style="275" customWidth="1"/>
    <col min="518" max="518" width="12.90625" style="275" customWidth="1"/>
    <col min="519" max="519" width="9.81640625" style="275" customWidth="1"/>
    <col min="520" max="520" width="7.453125" style="275" customWidth="1"/>
    <col min="521" max="521" width="9.453125" style="275" customWidth="1"/>
    <col min="522" max="522" width="13.81640625" style="275" customWidth="1"/>
    <col min="523" max="523" width="7.453125" style="275" customWidth="1"/>
    <col min="524" max="524" width="9.6328125" style="275" customWidth="1"/>
    <col min="525" max="525" width="9.90625" style="275" customWidth="1"/>
    <col min="526" max="526" width="8.36328125" style="275" customWidth="1"/>
    <col min="527" max="527" width="7.1796875" style="275" customWidth="1"/>
    <col min="528" max="528" width="8.453125" style="275" customWidth="1"/>
    <col min="529" max="529" width="10.08984375" style="275" customWidth="1"/>
    <col min="530" max="768" width="8.90625" style="275"/>
    <col min="769" max="769" width="10.1796875" style="275" customWidth="1"/>
    <col min="770" max="770" width="20.08984375" style="275" customWidth="1"/>
    <col min="771" max="771" width="26" style="275" customWidth="1"/>
    <col min="772" max="772" width="14.08984375" style="275" customWidth="1"/>
    <col min="773" max="773" width="10.08984375" style="275" customWidth="1"/>
    <col min="774" max="774" width="12.90625" style="275" customWidth="1"/>
    <col min="775" max="775" width="9.81640625" style="275" customWidth="1"/>
    <col min="776" max="776" width="7.453125" style="275" customWidth="1"/>
    <col min="777" max="777" width="9.453125" style="275" customWidth="1"/>
    <col min="778" max="778" width="13.81640625" style="275" customWidth="1"/>
    <col min="779" max="779" width="7.453125" style="275" customWidth="1"/>
    <col min="780" max="780" width="9.6328125" style="275" customWidth="1"/>
    <col min="781" max="781" width="9.90625" style="275" customWidth="1"/>
    <col min="782" max="782" width="8.36328125" style="275" customWidth="1"/>
    <col min="783" max="783" width="7.1796875" style="275" customWidth="1"/>
    <col min="784" max="784" width="8.453125" style="275" customWidth="1"/>
    <col min="785" max="785" width="10.08984375" style="275" customWidth="1"/>
    <col min="786" max="1024" width="8.90625" style="275"/>
    <col min="1025" max="1025" width="10.1796875" style="275" customWidth="1"/>
    <col min="1026" max="1026" width="20.08984375" style="275" customWidth="1"/>
    <col min="1027" max="1027" width="26" style="275" customWidth="1"/>
    <col min="1028" max="1028" width="14.08984375" style="275" customWidth="1"/>
    <col min="1029" max="1029" width="10.08984375" style="275" customWidth="1"/>
    <col min="1030" max="1030" width="12.90625" style="275" customWidth="1"/>
    <col min="1031" max="1031" width="9.81640625" style="275" customWidth="1"/>
    <col min="1032" max="1032" width="7.453125" style="275" customWidth="1"/>
    <col min="1033" max="1033" width="9.453125" style="275" customWidth="1"/>
    <col min="1034" max="1034" width="13.81640625" style="275" customWidth="1"/>
    <col min="1035" max="1035" width="7.453125" style="275" customWidth="1"/>
    <col min="1036" max="1036" width="9.6328125" style="275" customWidth="1"/>
    <col min="1037" max="1037" width="9.90625" style="275" customWidth="1"/>
    <col min="1038" max="1038" width="8.36328125" style="275" customWidth="1"/>
    <col min="1039" max="1039" width="7.1796875" style="275" customWidth="1"/>
    <col min="1040" max="1040" width="8.453125" style="275" customWidth="1"/>
    <col min="1041" max="1041" width="10.08984375" style="275" customWidth="1"/>
    <col min="1042" max="1280" width="8.90625" style="275"/>
    <col min="1281" max="1281" width="10.1796875" style="275" customWidth="1"/>
    <col min="1282" max="1282" width="20.08984375" style="275" customWidth="1"/>
    <col min="1283" max="1283" width="26" style="275" customWidth="1"/>
    <col min="1284" max="1284" width="14.08984375" style="275" customWidth="1"/>
    <col min="1285" max="1285" width="10.08984375" style="275" customWidth="1"/>
    <col min="1286" max="1286" width="12.90625" style="275" customWidth="1"/>
    <col min="1287" max="1287" width="9.81640625" style="275" customWidth="1"/>
    <col min="1288" max="1288" width="7.453125" style="275" customWidth="1"/>
    <col min="1289" max="1289" width="9.453125" style="275" customWidth="1"/>
    <col min="1290" max="1290" width="13.81640625" style="275" customWidth="1"/>
    <col min="1291" max="1291" width="7.453125" style="275" customWidth="1"/>
    <col min="1292" max="1292" width="9.6328125" style="275" customWidth="1"/>
    <col min="1293" max="1293" width="9.90625" style="275" customWidth="1"/>
    <col min="1294" max="1294" width="8.36328125" style="275" customWidth="1"/>
    <col min="1295" max="1295" width="7.1796875" style="275" customWidth="1"/>
    <col min="1296" max="1296" width="8.453125" style="275" customWidth="1"/>
    <col min="1297" max="1297" width="10.08984375" style="275" customWidth="1"/>
    <col min="1298" max="1536" width="8.90625" style="275"/>
    <col min="1537" max="1537" width="10.1796875" style="275" customWidth="1"/>
    <col min="1538" max="1538" width="20.08984375" style="275" customWidth="1"/>
    <col min="1539" max="1539" width="26" style="275" customWidth="1"/>
    <col min="1540" max="1540" width="14.08984375" style="275" customWidth="1"/>
    <col min="1541" max="1541" width="10.08984375" style="275" customWidth="1"/>
    <col min="1542" max="1542" width="12.90625" style="275" customWidth="1"/>
    <col min="1543" max="1543" width="9.81640625" style="275" customWidth="1"/>
    <col min="1544" max="1544" width="7.453125" style="275" customWidth="1"/>
    <col min="1545" max="1545" width="9.453125" style="275" customWidth="1"/>
    <col min="1546" max="1546" width="13.81640625" style="275" customWidth="1"/>
    <col min="1547" max="1547" width="7.453125" style="275" customWidth="1"/>
    <col min="1548" max="1548" width="9.6328125" style="275" customWidth="1"/>
    <col min="1549" max="1549" width="9.90625" style="275" customWidth="1"/>
    <col min="1550" max="1550" width="8.36328125" style="275" customWidth="1"/>
    <col min="1551" max="1551" width="7.1796875" style="275" customWidth="1"/>
    <col min="1552" max="1552" width="8.453125" style="275" customWidth="1"/>
    <col min="1553" max="1553" width="10.08984375" style="275" customWidth="1"/>
    <col min="1554" max="1792" width="8.90625" style="275"/>
    <col min="1793" max="1793" width="10.1796875" style="275" customWidth="1"/>
    <col min="1794" max="1794" width="20.08984375" style="275" customWidth="1"/>
    <col min="1795" max="1795" width="26" style="275" customWidth="1"/>
    <col min="1796" max="1796" width="14.08984375" style="275" customWidth="1"/>
    <col min="1797" max="1797" width="10.08984375" style="275" customWidth="1"/>
    <col min="1798" max="1798" width="12.90625" style="275" customWidth="1"/>
    <col min="1799" max="1799" width="9.81640625" style="275" customWidth="1"/>
    <col min="1800" max="1800" width="7.453125" style="275" customWidth="1"/>
    <col min="1801" max="1801" width="9.453125" style="275" customWidth="1"/>
    <col min="1802" max="1802" width="13.81640625" style="275" customWidth="1"/>
    <col min="1803" max="1803" width="7.453125" style="275" customWidth="1"/>
    <col min="1804" max="1804" width="9.6328125" style="275" customWidth="1"/>
    <col min="1805" max="1805" width="9.90625" style="275" customWidth="1"/>
    <col min="1806" max="1806" width="8.36328125" style="275" customWidth="1"/>
    <col min="1807" max="1807" width="7.1796875" style="275" customWidth="1"/>
    <col min="1808" max="1808" width="8.453125" style="275" customWidth="1"/>
    <col min="1809" max="1809" width="10.08984375" style="275" customWidth="1"/>
    <col min="1810" max="2048" width="8.90625" style="275"/>
    <col min="2049" max="2049" width="10.1796875" style="275" customWidth="1"/>
    <col min="2050" max="2050" width="20.08984375" style="275" customWidth="1"/>
    <col min="2051" max="2051" width="26" style="275" customWidth="1"/>
    <col min="2052" max="2052" width="14.08984375" style="275" customWidth="1"/>
    <col min="2053" max="2053" width="10.08984375" style="275" customWidth="1"/>
    <col min="2054" max="2054" width="12.90625" style="275" customWidth="1"/>
    <col min="2055" max="2055" width="9.81640625" style="275" customWidth="1"/>
    <col min="2056" max="2056" width="7.453125" style="275" customWidth="1"/>
    <col min="2057" max="2057" width="9.453125" style="275" customWidth="1"/>
    <col min="2058" max="2058" width="13.81640625" style="275" customWidth="1"/>
    <col min="2059" max="2059" width="7.453125" style="275" customWidth="1"/>
    <col min="2060" max="2060" width="9.6328125" style="275" customWidth="1"/>
    <col min="2061" max="2061" width="9.90625" style="275" customWidth="1"/>
    <col min="2062" max="2062" width="8.36328125" style="275" customWidth="1"/>
    <col min="2063" max="2063" width="7.1796875" style="275" customWidth="1"/>
    <col min="2064" max="2064" width="8.453125" style="275" customWidth="1"/>
    <col min="2065" max="2065" width="10.08984375" style="275" customWidth="1"/>
    <col min="2066" max="2304" width="8.90625" style="275"/>
    <col min="2305" max="2305" width="10.1796875" style="275" customWidth="1"/>
    <col min="2306" max="2306" width="20.08984375" style="275" customWidth="1"/>
    <col min="2307" max="2307" width="26" style="275" customWidth="1"/>
    <col min="2308" max="2308" width="14.08984375" style="275" customWidth="1"/>
    <col min="2309" max="2309" width="10.08984375" style="275" customWidth="1"/>
    <col min="2310" max="2310" width="12.90625" style="275" customWidth="1"/>
    <col min="2311" max="2311" width="9.81640625" style="275" customWidth="1"/>
    <col min="2312" max="2312" width="7.453125" style="275" customWidth="1"/>
    <col min="2313" max="2313" width="9.453125" style="275" customWidth="1"/>
    <col min="2314" max="2314" width="13.81640625" style="275" customWidth="1"/>
    <col min="2315" max="2315" width="7.453125" style="275" customWidth="1"/>
    <col min="2316" max="2316" width="9.6328125" style="275" customWidth="1"/>
    <col min="2317" max="2317" width="9.90625" style="275" customWidth="1"/>
    <col min="2318" max="2318" width="8.36328125" style="275" customWidth="1"/>
    <col min="2319" max="2319" width="7.1796875" style="275" customWidth="1"/>
    <col min="2320" max="2320" width="8.453125" style="275" customWidth="1"/>
    <col min="2321" max="2321" width="10.08984375" style="275" customWidth="1"/>
    <col min="2322" max="2560" width="8.90625" style="275"/>
    <col min="2561" max="2561" width="10.1796875" style="275" customWidth="1"/>
    <col min="2562" max="2562" width="20.08984375" style="275" customWidth="1"/>
    <col min="2563" max="2563" width="26" style="275" customWidth="1"/>
    <col min="2564" max="2564" width="14.08984375" style="275" customWidth="1"/>
    <col min="2565" max="2565" width="10.08984375" style="275" customWidth="1"/>
    <col min="2566" max="2566" width="12.90625" style="275" customWidth="1"/>
    <col min="2567" max="2567" width="9.81640625" style="275" customWidth="1"/>
    <col min="2568" max="2568" width="7.453125" style="275" customWidth="1"/>
    <col min="2569" max="2569" width="9.453125" style="275" customWidth="1"/>
    <col min="2570" max="2570" width="13.81640625" style="275" customWidth="1"/>
    <col min="2571" max="2571" width="7.453125" style="275" customWidth="1"/>
    <col min="2572" max="2572" width="9.6328125" style="275" customWidth="1"/>
    <col min="2573" max="2573" width="9.90625" style="275" customWidth="1"/>
    <col min="2574" max="2574" width="8.36328125" style="275" customWidth="1"/>
    <col min="2575" max="2575" width="7.1796875" style="275" customWidth="1"/>
    <col min="2576" max="2576" width="8.453125" style="275" customWidth="1"/>
    <col min="2577" max="2577" width="10.08984375" style="275" customWidth="1"/>
    <col min="2578" max="2816" width="8.90625" style="275"/>
    <col min="2817" max="2817" width="10.1796875" style="275" customWidth="1"/>
    <col min="2818" max="2818" width="20.08984375" style="275" customWidth="1"/>
    <col min="2819" max="2819" width="26" style="275" customWidth="1"/>
    <col min="2820" max="2820" width="14.08984375" style="275" customWidth="1"/>
    <col min="2821" max="2821" width="10.08984375" style="275" customWidth="1"/>
    <col min="2822" max="2822" width="12.90625" style="275" customWidth="1"/>
    <col min="2823" max="2823" width="9.81640625" style="275" customWidth="1"/>
    <col min="2824" max="2824" width="7.453125" style="275" customWidth="1"/>
    <col min="2825" max="2825" width="9.453125" style="275" customWidth="1"/>
    <col min="2826" max="2826" width="13.81640625" style="275" customWidth="1"/>
    <col min="2827" max="2827" width="7.453125" style="275" customWidth="1"/>
    <col min="2828" max="2828" width="9.6328125" style="275" customWidth="1"/>
    <col min="2829" max="2829" width="9.90625" style="275" customWidth="1"/>
    <col min="2830" max="2830" width="8.36328125" style="275" customWidth="1"/>
    <col min="2831" max="2831" width="7.1796875" style="275" customWidth="1"/>
    <col min="2832" max="2832" width="8.453125" style="275" customWidth="1"/>
    <col min="2833" max="2833" width="10.08984375" style="275" customWidth="1"/>
    <col min="2834" max="3072" width="8.90625" style="275"/>
    <col min="3073" max="3073" width="10.1796875" style="275" customWidth="1"/>
    <col min="3074" max="3074" width="20.08984375" style="275" customWidth="1"/>
    <col min="3075" max="3075" width="26" style="275" customWidth="1"/>
    <col min="3076" max="3076" width="14.08984375" style="275" customWidth="1"/>
    <col min="3077" max="3077" width="10.08984375" style="275" customWidth="1"/>
    <col min="3078" max="3078" width="12.90625" style="275" customWidth="1"/>
    <col min="3079" max="3079" width="9.81640625" style="275" customWidth="1"/>
    <col min="3080" max="3080" width="7.453125" style="275" customWidth="1"/>
    <col min="3081" max="3081" width="9.453125" style="275" customWidth="1"/>
    <col min="3082" max="3082" width="13.81640625" style="275" customWidth="1"/>
    <col min="3083" max="3083" width="7.453125" style="275" customWidth="1"/>
    <col min="3084" max="3084" width="9.6328125" style="275" customWidth="1"/>
    <col min="3085" max="3085" width="9.90625" style="275" customWidth="1"/>
    <col min="3086" max="3086" width="8.36328125" style="275" customWidth="1"/>
    <col min="3087" max="3087" width="7.1796875" style="275" customWidth="1"/>
    <col min="3088" max="3088" width="8.453125" style="275" customWidth="1"/>
    <col min="3089" max="3089" width="10.08984375" style="275" customWidth="1"/>
    <col min="3090" max="3328" width="8.90625" style="275"/>
    <col min="3329" max="3329" width="10.1796875" style="275" customWidth="1"/>
    <col min="3330" max="3330" width="20.08984375" style="275" customWidth="1"/>
    <col min="3331" max="3331" width="26" style="275" customWidth="1"/>
    <col min="3332" max="3332" width="14.08984375" style="275" customWidth="1"/>
    <col min="3333" max="3333" width="10.08984375" style="275" customWidth="1"/>
    <col min="3334" max="3334" width="12.90625" style="275" customWidth="1"/>
    <col min="3335" max="3335" width="9.81640625" style="275" customWidth="1"/>
    <col min="3336" max="3336" width="7.453125" style="275" customWidth="1"/>
    <col min="3337" max="3337" width="9.453125" style="275" customWidth="1"/>
    <col min="3338" max="3338" width="13.81640625" style="275" customWidth="1"/>
    <col min="3339" max="3339" width="7.453125" style="275" customWidth="1"/>
    <col min="3340" max="3340" width="9.6328125" style="275" customWidth="1"/>
    <col min="3341" max="3341" width="9.90625" style="275" customWidth="1"/>
    <col min="3342" max="3342" width="8.36328125" style="275" customWidth="1"/>
    <col min="3343" max="3343" width="7.1796875" style="275" customWidth="1"/>
    <col min="3344" max="3344" width="8.453125" style="275" customWidth="1"/>
    <col min="3345" max="3345" width="10.08984375" style="275" customWidth="1"/>
    <col min="3346" max="3584" width="8.90625" style="275"/>
    <col min="3585" max="3585" width="10.1796875" style="275" customWidth="1"/>
    <col min="3586" max="3586" width="20.08984375" style="275" customWidth="1"/>
    <col min="3587" max="3587" width="26" style="275" customWidth="1"/>
    <col min="3588" max="3588" width="14.08984375" style="275" customWidth="1"/>
    <col min="3589" max="3589" width="10.08984375" style="275" customWidth="1"/>
    <col min="3590" max="3590" width="12.90625" style="275" customWidth="1"/>
    <col min="3591" max="3591" width="9.81640625" style="275" customWidth="1"/>
    <col min="3592" max="3592" width="7.453125" style="275" customWidth="1"/>
    <col min="3593" max="3593" width="9.453125" style="275" customWidth="1"/>
    <col min="3594" max="3594" width="13.81640625" style="275" customWidth="1"/>
    <col min="3595" max="3595" width="7.453125" style="275" customWidth="1"/>
    <col min="3596" max="3596" width="9.6328125" style="275" customWidth="1"/>
    <col min="3597" max="3597" width="9.90625" style="275" customWidth="1"/>
    <col min="3598" max="3598" width="8.36328125" style="275" customWidth="1"/>
    <col min="3599" max="3599" width="7.1796875" style="275" customWidth="1"/>
    <col min="3600" max="3600" width="8.453125" style="275" customWidth="1"/>
    <col min="3601" max="3601" width="10.08984375" style="275" customWidth="1"/>
    <col min="3602" max="3840" width="8.90625" style="275"/>
    <col min="3841" max="3841" width="10.1796875" style="275" customWidth="1"/>
    <col min="3842" max="3842" width="20.08984375" style="275" customWidth="1"/>
    <col min="3843" max="3843" width="26" style="275" customWidth="1"/>
    <col min="3844" max="3844" width="14.08984375" style="275" customWidth="1"/>
    <col min="3845" max="3845" width="10.08984375" style="275" customWidth="1"/>
    <col min="3846" max="3846" width="12.90625" style="275" customWidth="1"/>
    <col min="3847" max="3847" width="9.81640625" style="275" customWidth="1"/>
    <col min="3848" max="3848" width="7.453125" style="275" customWidth="1"/>
    <col min="3849" max="3849" width="9.453125" style="275" customWidth="1"/>
    <col min="3850" max="3850" width="13.81640625" style="275" customWidth="1"/>
    <col min="3851" max="3851" width="7.453125" style="275" customWidth="1"/>
    <col min="3852" max="3852" width="9.6328125" style="275" customWidth="1"/>
    <col min="3853" max="3853" width="9.90625" style="275" customWidth="1"/>
    <col min="3854" max="3854" width="8.36328125" style="275" customWidth="1"/>
    <col min="3855" max="3855" width="7.1796875" style="275" customWidth="1"/>
    <col min="3856" max="3856" width="8.453125" style="275" customWidth="1"/>
    <col min="3857" max="3857" width="10.08984375" style="275" customWidth="1"/>
    <col min="3858" max="4096" width="8.90625" style="275"/>
    <col min="4097" max="4097" width="10.1796875" style="275" customWidth="1"/>
    <col min="4098" max="4098" width="20.08984375" style="275" customWidth="1"/>
    <col min="4099" max="4099" width="26" style="275" customWidth="1"/>
    <col min="4100" max="4100" width="14.08984375" style="275" customWidth="1"/>
    <col min="4101" max="4101" width="10.08984375" style="275" customWidth="1"/>
    <col min="4102" max="4102" width="12.90625" style="275" customWidth="1"/>
    <col min="4103" max="4103" width="9.81640625" style="275" customWidth="1"/>
    <col min="4104" max="4104" width="7.453125" style="275" customWidth="1"/>
    <col min="4105" max="4105" width="9.453125" style="275" customWidth="1"/>
    <col min="4106" max="4106" width="13.81640625" style="275" customWidth="1"/>
    <col min="4107" max="4107" width="7.453125" style="275" customWidth="1"/>
    <col min="4108" max="4108" width="9.6328125" style="275" customWidth="1"/>
    <col min="4109" max="4109" width="9.90625" style="275" customWidth="1"/>
    <col min="4110" max="4110" width="8.36328125" style="275" customWidth="1"/>
    <col min="4111" max="4111" width="7.1796875" style="275" customWidth="1"/>
    <col min="4112" max="4112" width="8.453125" style="275" customWidth="1"/>
    <col min="4113" max="4113" width="10.08984375" style="275" customWidth="1"/>
    <col min="4114" max="4352" width="8.90625" style="275"/>
    <col min="4353" max="4353" width="10.1796875" style="275" customWidth="1"/>
    <col min="4354" max="4354" width="20.08984375" style="275" customWidth="1"/>
    <col min="4355" max="4355" width="26" style="275" customWidth="1"/>
    <col min="4356" max="4356" width="14.08984375" style="275" customWidth="1"/>
    <col min="4357" max="4357" width="10.08984375" style="275" customWidth="1"/>
    <col min="4358" max="4358" width="12.90625" style="275" customWidth="1"/>
    <col min="4359" max="4359" width="9.81640625" style="275" customWidth="1"/>
    <col min="4360" max="4360" width="7.453125" style="275" customWidth="1"/>
    <col min="4361" max="4361" width="9.453125" style="275" customWidth="1"/>
    <col min="4362" max="4362" width="13.81640625" style="275" customWidth="1"/>
    <col min="4363" max="4363" width="7.453125" style="275" customWidth="1"/>
    <col min="4364" max="4364" width="9.6328125" style="275" customWidth="1"/>
    <col min="4365" max="4365" width="9.90625" style="275" customWidth="1"/>
    <col min="4366" max="4366" width="8.36328125" style="275" customWidth="1"/>
    <col min="4367" max="4367" width="7.1796875" style="275" customWidth="1"/>
    <col min="4368" max="4368" width="8.453125" style="275" customWidth="1"/>
    <col min="4369" max="4369" width="10.08984375" style="275" customWidth="1"/>
    <col min="4370" max="4608" width="8.90625" style="275"/>
    <col min="4609" max="4609" width="10.1796875" style="275" customWidth="1"/>
    <col min="4610" max="4610" width="20.08984375" style="275" customWidth="1"/>
    <col min="4611" max="4611" width="26" style="275" customWidth="1"/>
    <col min="4612" max="4612" width="14.08984375" style="275" customWidth="1"/>
    <col min="4613" max="4613" width="10.08984375" style="275" customWidth="1"/>
    <col min="4614" max="4614" width="12.90625" style="275" customWidth="1"/>
    <col min="4615" max="4615" width="9.81640625" style="275" customWidth="1"/>
    <col min="4616" max="4616" width="7.453125" style="275" customWidth="1"/>
    <col min="4617" max="4617" width="9.453125" style="275" customWidth="1"/>
    <col min="4618" max="4618" width="13.81640625" style="275" customWidth="1"/>
    <col min="4619" max="4619" width="7.453125" style="275" customWidth="1"/>
    <col min="4620" max="4620" width="9.6328125" style="275" customWidth="1"/>
    <col min="4621" max="4621" width="9.90625" style="275" customWidth="1"/>
    <col min="4622" max="4622" width="8.36328125" style="275" customWidth="1"/>
    <col min="4623" max="4623" width="7.1796875" style="275" customWidth="1"/>
    <col min="4624" max="4624" width="8.453125" style="275" customWidth="1"/>
    <col min="4625" max="4625" width="10.08984375" style="275" customWidth="1"/>
    <col min="4626" max="4864" width="8.90625" style="275"/>
    <col min="4865" max="4865" width="10.1796875" style="275" customWidth="1"/>
    <col min="4866" max="4866" width="20.08984375" style="275" customWidth="1"/>
    <col min="4867" max="4867" width="26" style="275" customWidth="1"/>
    <col min="4868" max="4868" width="14.08984375" style="275" customWidth="1"/>
    <col min="4869" max="4869" width="10.08984375" style="275" customWidth="1"/>
    <col min="4870" max="4870" width="12.90625" style="275" customWidth="1"/>
    <col min="4871" max="4871" width="9.81640625" style="275" customWidth="1"/>
    <col min="4872" max="4872" width="7.453125" style="275" customWidth="1"/>
    <col min="4873" max="4873" width="9.453125" style="275" customWidth="1"/>
    <col min="4874" max="4874" width="13.81640625" style="275" customWidth="1"/>
    <col min="4875" max="4875" width="7.453125" style="275" customWidth="1"/>
    <col min="4876" max="4876" width="9.6328125" style="275" customWidth="1"/>
    <col min="4877" max="4877" width="9.90625" style="275" customWidth="1"/>
    <col min="4878" max="4878" width="8.36328125" style="275" customWidth="1"/>
    <col min="4879" max="4879" width="7.1796875" style="275" customWidth="1"/>
    <col min="4880" max="4880" width="8.453125" style="275" customWidth="1"/>
    <col min="4881" max="4881" width="10.08984375" style="275" customWidth="1"/>
    <col min="4882" max="5120" width="8.90625" style="275"/>
    <col min="5121" max="5121" width="10.1796875" style="275" customWidth="1"/>
    <col min="5122" max="5122" width="20.08984375" style="275" customWidth="1"/>
    <col min="5123" max="5123" width="26" style="275" customWidth="1"/>
    <col min="5124" max="5124" width="14.08984375" style="275" customWidth="1"/>
    <col min="5125" max="5125" width="10.08984375" style="275" customWidth="1"/>
    <col min="5126" max="5126" width="12.90625" style="275" customWidth="1"/>
    <col min="5127" max="5127" width="9.81640625" style="275" customWidth="1"/>
    <col min="5128" max="5128" width="7.453125" style="275" customWidth="1"/>
    <col min="5129" max="5129" width="9.453125" style="275" customWidth="1"/>
    <col min="5130" max="5130" width="13.81640625" style="275" customWidth="1"/>
    <col min="5131" max="5131" width="7.453125" style="275" customWidth="1"/>
    <col min="5132" max="5132" width="9.6328125" style="275" customWidth="1"/>
    <col min="5133" max="5133" width="9.90625" style="275" customWidth="1"/>
    <col min="5134" max="5134" width="8.36328125" style="275" customWidth="1"/>
    <col min="5135" max="5135" width="7.1796875" style="275" customWidth="1"/>
    <col min="5136" max="5136" width="8.453125" style="275" customWidth="1"/>
    <col min="5137" max="5137" width="10.08984375" style="275" customWidth="1"/>
    <col min="5138" max="5376" width="8.90625" style="275"/>
    <col min="5377" max="5377" width="10.1796875" style="275" customWidth="1"/>
    <col min="5378" max="5378" width="20.08984375" style="275" customWidth="1"/>
    <col min="5379" max="5379" width="26" style="275" customWidth="1"/>
    <col min="5380" max="5380" width="14.08984375" style="275" customWidth="1"/>
    <col min="5381" max="5381" width="10.08984375" style="275" customWidth="1"/>
    <col min="5382" max="5382" width="12.90625" style="275" customWidth="1"/>
    <col min="5383" max="5383" width="9.81640625" style="275" customWidth="1"/>
    <col min="5384" max="5384" width="7.453125" style="275" customWidth="1"/>
    <col min="5385" max="5385" width="9.453125" style="275" customWidth="1"/>
    <col min="5386" max="5386" width="13.81640625" style="275" customWidth="1"/>
    <col min="5387" max="5387" width="7.453125" style="275" customWidth="1"/>
    <col min="5388" max="5388" width="9.6328125" style="275" customWidth="1"/>
    <col min="5389" max="5389" width="9.90625" style="275" customWidth="1"/>
    <col min="5390" max="5390" width="8.36328125" style="275" customWidth="1"/>
    <col min="5391" max="5391" width="7.1796875" style="275" customWidth="1"/>
    <col min="5392" max="5392" width="8.453125" style="275" customWidth="1"/>
    <col min="5393" max="5393" width="10.08984375" style="275" customWidth="1"/>
    <col min="5394" max="5632" width="8.90625" style="275"/>
    <col min="5633" max="5633" width="10.1796875" style="275" customWidth="1"/>
    <col min="5634" max="5634" width="20.08984375" style="275" customWidth="1"/>
    <col min="5635" max="5635" width="26" style="275" customWidth="1"/>
    <col min="5636" max="5636" width="14.08984375" style="275" customWidth="1"/>
    <col min="5637" max="5637" width="10.08984375" style="275" customWidth="1"/>
    <col min="5638" max="5638" width="12.90625" style="275" customWidth="1"/>
    <col min="5639" max="5639" width="9.81640625" style="275" customWidth="1"/>
    <col min="5640" max="5640" width="7.453125" style="275" customWidth="1"/>
    <col min="5641" max="5641" width="9.453125" style="275" customWidth="1"/>
    <col min="5642" max="5642" width="13.81640625" style="275" customWidth="1"/>
    <col min="5643" max="5643" width="7.453125" style="275" customWidth="1"/>
    <col min="5644" max="5644" width="9.6328125" style="275" customWidth="1"/>
    <col min="5645" max="5645" width="9.90625" style="275" customWidth="1"/>
    <col min="5646" max="5646" width="8.36328125" style="275" customWidth="1"/>
    <col min="5647" max="5647" width="7.1796875" style="275" customWidth="1"/>
    <col min="5648" max="5648" width="8.453125" style="275" customWidth="1"/>
    <col min="5649" max="5649" width="10.08984375" style="275" customWidth="1"/>
    <col min="5650" max="5888" width="8.90625" style="275"/>
    <col min="5889" max="5889" width="10.1796875" style="275" customWidth="1"/>
    <col min="5890" max="5890" width="20.08984375" style="275" customWidth="1"/>
    <col min="5891" max="5891" width="26" style="275" customWidth="1"/>
    <col min="5892" max="5892" width="14.08984375" style="275" customWidth="1"/>
    <col min="5893" max="5893" width="10.08984375" style="275" customWidth="1"/>
    <col min="5894" max="5894" width="12.90625" style="275" customWidth="1"/>
    <col min="5895" max="5895" width="9.81640625" style="275" customWidth="1"/>
    <col min="5896" max="5896" width="7.453125" style="275" customWidth="1"/>
    <col min="5897" max="5897" width="9.453125" style="275" customWidth="1"/>
    <col min="5898" max="5898" width="13.81640625" style="275" customWidth="1"/>
    <col min="5899" max="5899" width="7.453125" style="275" customWidth="1"/>
    <col min="5900" max="5900" width="9.6328125" style="275" customWidth="1"/>
    <col min="5901" max="5901" width="9.90625" style="275" customWidth="1"/>
    <col min="5902" max="5902" width="8.36328125" style="275" customWidth="1"/>
    <col min="5903" max="5903" width="7.1796875" style="275" customWidth="1"/>
    <col min="5904" max="5904" width="8.453125" style="275" customWidth="1"/>
    <col min="5905" max="5905" width="10.08984375" style="275" customWidth="1"/>
    <col min="5906" max="6144" width="8.90625" style="275"/>
    <col min="6145" max="6145" width="10.1796875" style="275" customWidth="1"/>
    <col min="6146" max="6146" width="20.08984375" style="275" customWidth="1"/>
    <col min="6147" max="6147" width="26" style="275" customWidth="1"/>
    <col min="6148" max="6148" width="14.08984375" style="275" customWidth="1"/>
    <col min="6149" max="6149" width="10.08984375" style="275" customWidth="1"/>
    <col min="6150" max="6150" width="12.90625" style="275" customWidth="1"/>
    <col min="6151" max="6151" width="9.81640625" style="275" customWidth="1"/>
    <col min="6152" max="6152" width="7.453125" style="275" customWidth="1"/>
    <col min="6153" max="6153" width="9.453125" style="275" customWidth="1"/>
    <col min="6154" max="6154" width="13.81640625" style="275" customWidth="1"/>
    <col min="6155" max="6155" width="7.453125" style="275" customWidth="1"/>
    <col min="6156" max="6156" width="9.6328125" style="275" customWidth="1"/>
    <col min="6157" max="6157" width="9.90625" style="275" customWidth="1"/>
    <col min="6158" max="6158" width="8.36328125" style="275" customWidth="1"/>
    <col min="6159" max="6159" width="7.1796875" style="275" customWidth="1"/>
    <col min="6160" max="6160" width="8.453125" style="275" customWidth="1"/>
    <col min="6161" max="6161" width="10.08984375" style="275" customWidth="1"/>
    <col min="6162" max="6400" width="8.90625" style="275"/>
    <col min="6401" max="6401" width="10.1796875" style="275" customWidth="1"/>
    <col min="6402" max="6402" width="20.08984375" style="275" customWidth="1"/>
    <col min="6403" max="6403" width="26" style="275" customWidth="1"/>
    <col min="6404" max="6404" width="14.08984375" style="275" customWidth="1"/>
    <col min="6405" max="6405" width="10.08984375" style="275" customWidth="1"/>
    <col min="6406" max="6406" width="12.90625" style="275" customWidth="1"/>
    <col min="6407" max="6407" width="9.81640625" style="275" customWidth="1"/>
    <col min="6408" max="6408" width="7.453125" style="275" customWidth="1"/>
    <col min="6409" max="6409" width="9.453125" style="275" customWidth="1"/>
    <col min="6410" max="6410" width="13.81640625" style="275" customWidth="1"/>
    <col min="6411" max="6411" width="7.453125" style="275" customWidth="1"/>
    <col min="6412" max="6412" width="9.6328125" style="275" customWidth="1"/>
    <col min="6413" max="6413" width="9.90625" style="275" customWidth="1"/>
    <col min="6414" max="6414" width="8.36328125" style="275" customWidth="1"/>
    <col min="6415" max="6415" width="7.1796875" style="275" customWidth="1"/>
    <col min="6416" max="6416" width="8.453125" style="275" customWidth="1"/>
    <col min="6417" max="6417" width="10.08984375" style="275" customWidth="1"/>
    <col min="6418" max="6656" width="8.90625" style="275"/>
    <col min="6657" max="6657" width="10.1796875" style="275" customWidth="1"/>
    <col min="6658" max="6658" width="20.08984375" style="275" customWidth="1"/>
    <col min="6659" max="6659" width="26" style="275" customWidth="1"/>
    <col min="6660" max="6660" width="14.08984375" style="275" customWidth="1"/>
    <col min="6661" max="6661" width="10.08984375" style="275" customWidth="1"/>
    <col min="6662" max="6662" width="12.90625" style="275" customWidth="1"/>
    <col min="6663" max="6663" width="9.81640625" style="275" customWidth="1"/>
    <col min="6664" max="6664" width="7.453125" style="275" customWidth="1"/>
    <col min="6665" max="6665" width="9.453125" style="275" customWidth="1"/>
    <col min="6666" max="6666" width="13.81640625" style="275" customWidth="1"/>
    <col min="6667" max="6667" width="7.453125" style="275" customWidth="1"/>
    <col min="6668" max="6668" width="9.6328125" style="275" customWidth="1"/>
    <col min="6669" max="6669" width="9.90625" style="275" customWidth="1"/>
    <col min="6670" max="6670" width="8.36328125" style="275" customWidth="1"/>
    <col min="6671" max="6671" width="7.1796875" style="275" customWidth="1"/>
    <col min="6672" max="6672" width="8.453125" style="275" customWidth="1"/>
    <col min="6673" max="6673" width="10.08984375" style="275" customWidth="1"/>
    <col min="6674" max="6912" width="8.90625" style="275"/>
    <col min="6913" max="6913" width="10.1796875" style="275" customWidth="1"/>
    <col min="6914" max="6914" width="20.08984375" style="275" customWidth="1"/>
    <col min="6915" max="6915" width="26" style="275" customWidth="1"/>
    <col min="6916" max="6916" width="14.08984375" style="275" customWidth="1"/>
    <col min="6917" max="6917" width="10.08984375" style="275" customWidth="1"/>
    <col min="6918" max="6918" width="12.90625" style="275" customWidth="1"/>
    <col min="6919" max="6919" width="9.81640625" style="275" customWidth="1"/>
    <col min="6920" max="6920" width="7.453125" style="275" customWidth="1"/>
    <col min="6921" max="6921" width="9.453125" style="275" customWidth="1"/>
    <col min="6922" max="6922" width="13.81640625" style="275" customWidth="1"/>
    <col min="6923" max="6923" width="7.453125" style="275" customWidth="1"/>
    <col min="6924" max="6924" width="9.6328125" style="275" customWidth="1"/>
    <col min="6925" max="6925" width="9.90625" style="275" customWidth="1"/>
    <col min="6926" max="6926" width="8.36328125" style="275" customWidth="1"/>
    <col min="6927" max="6927" width="7.1796875" style="275" customWidth="1"/>
    <col min="6928" max="6928" width="8.453125" style="275" customWidth="1"/>
    <col min="6929" max="6929" width="10.08984375" style="275" customWidth="1"/>
    <col min="6930" max="7168" width="8.90625" style="275"/>
    <col min="7169" max="7169" width="10.1796875" style="275" customWidth="1"/>
    <col min="7170" max="7170" width="20.08984375" style="275" customWidth="1"/>
    <col min="7171" max="7171" width="26" style="275" customWidth="1"/>
    <col min="7172" max="7172" width="14.08984375" style="275" customWidth="1"/>
    <col min="7173" max="7173" width="10.08984375" style="275" customWidth="1"/>
    <col min="7174" max="7174" width="12.90625" style="275" customWidth="1"/>
    <col min="7175" max="7175" width="9.81640625" style="275" customWidth="1"/>
    <col min="7176" max="7176" width="7.453125" style="275" customWidth="1"/>
    <col min="7177" max="7177" width="9.453125" style="275" customWidth="1"/>
    <col min="7178" max="7178" width="13.81640625" style="275" customWidth="1"/>
    <col min="7179" max="7179" width="7.453125" style="275" customWidth="1"/>
    <col min="7180" max="7180" width="9.6328125" style="275" customWidth="1"/>
    <col min="7181" max="7181" width="9.90625" style="275" customWidth="1"/>
    <col min="7182" max="7182" width="8.36328125" style="275" customWidth="1"/>
    <col min="7183" max="7183" width="7.1796875" style="275" customWidth="1"/>
    <col min="7184" max="7184" width="8.453125" style="275" customWidth="1"/>
    <col min="7185" max="7185" width="10.08984375" style="275" customWidth="1"/>
    <col min="7186" max="7424" width="8.90625" style="275"/>
    <col min="7425" max="7425" width="10.1796875" style="275" customWidth="1"/>
    <col min="7426" max="7426" width="20.08984375" style="275" customWidth="1"/>
    <col min="7427" max="7427" width="26" style="275" customWidth="1"/>
    <col min="7428" max="7428" width="14.08984375" style="275" customWidth="1"/>
    <col min="7429" max="7429" width="10.08984375" style="275" customWidth="1"/>
    <col min="7430" max="7430" width="12.90625" style="275" customWidth="1"/>
    <col min="7431" max="7431" width="9.81640625" style="275" customWidth="1"/>
    <col min="7432" max="7432" width="7.453125" style="275" customWidth="1"/>
    <col min="7433" max="7433" width="9.453125" style="275" customWidth="1"/>
    <col min="7434" max="7434" width="13.81640625" style="275" customWidth="1"/>
    <col min="7435" max="7435" width="7.453125" style="275" customWidth="1"/>
    <col min="7436" max="7436" width="9.6328125" style="275" customWidth="1"/>
    <col min="7437" max="7437" width="9.90625" style="275" customWidth="1"/>
    <col min="7438" max="7438" width="8.36328125" style="275" customWidth="1"/>
    <col min="7439" max="7439" width="7.1796875" style="275" customWidth="1"/>
    <col min="7440" max="7440" width="8.453125" style="275" customWidth="1"/>
    <col min="7441" max="7441" width="10.08984375" style="275" customWidth="1"/>
    <col min="7442" max="7680" width="8.90625" style="275"/>
    <col min="7681" max="7681" width="10.1796875" style="275" customWidth="1"/>
    <col min="7682" max="7682" width="20.08984375" style="275" customWidth="1"/>
    <col min="7683" max="7683" width="26" style="275" customWidth="1"/>
    <col min="7684" max="7684" width="14.08984375" style="275" customWidth="1"/>
    <col min="7685" max="7685" width="10.08984375" style="275" customWidth="1"/>
    <col min="7686" max="7686" width="12.90625" style="275" customWidth="1"/>
    <col min="7687" max="7687" width="9.81640625" style="275" customWidth="1"/>
    <col min="7688" max="7688" width="7.453125" style="275" customWidth="1"/>
    <col min="7689" max="7689" width="9.453125" style="275" customWidth="1"/>
    <col min="7690" max="7690" width="13.81640625" style="275" customWidth="1"/>
    <col min="7691" max="7691" width="7.453125" style="275" customWidth="1"/>
    <col min="7692" max="7692" width="9.6328125" style="275" customWidth="1"/>
    <col min="7693" max="7693" width="9.90625" style="275" customWidth="1"/>
    <col min="7694" max="7694" width="8.36328125" style="275" customWidth="1"/>
    <col min="7695" max="7695" width="7.1796875" style="275" customWidth="1"/>
    <col min="7696" max="7696" width="8.453125" style="275" customWidth="1"/>
    <col min="7697" max="7697" width="10.08984375" style="275" customWidth="1"/>
    <col min="7698" max="7936" width="8.90625" style="275"/>
    <col min="7937" max="7937" width="10.1796875" style="275" customWidth="1"/>
    <col min="7938" max="7938" width="20.08984375" style="275" customWidth="1"/>
    <col min="7939" max="7939" width="26" style="275" customWidth="1"/>
    <col min="7940" max="7940" width="14.08984375" style="275" customWidth="1"/>
    <col min="7941" max="7941" width="10.08984375" style="275" customWidth="1"/>
    <col min="7942" max="7942" width="12.90625" style="275" customWidth="1"/>
    <col min="7943" max="7943" width="9.81640625" style="275" customWidth="1"/>
    <col min="7944" max="7944" width="7.453125" style="275" customWidth="1"/>
    <col min="7945" max="7945" width="9.453125" style="275" customWidth="1"/>
    <col min="7946" max="7946" width="13.81640625" style="275" customWidth="1"/>
    <col min="7947" max="7947" width="7.453125" style="275" customWidth="1"/>
    <col min="7948" max="7948" width="9.6328125" style="275" customWidth="1"/>
    <col min="7949" max="7949" width="9.90625" style="275" customWidth="1"/>
    <col min="7950" max="7950" width="8.36328125" style="275" customWidth="1"/>
    <col min="7951" max="7951" width="7.1796875" style="275" customWidth="1"/>
    <col min="7952" max="7952" width="8.453125" style="275" customWidth="1"/>
    <col min="7953" max="7953" width="10.08984375" style="275" customWidth="1"/>
    <col min="7954" max="8192" width="8.90625" style="275"/>
    <col min="8193" max="8193" width="10.1796875" style="275" customWidth="1"/>
    <col min="8194" max="8194" width="20.08984375" style="275" customWidth="1"/>
    <col min="8195" max="8195" width="26" style="275" customWidth="1"/>
    <col min="8196" max="8196" width="14.08984375" style="275" customWidth="1"/>
    <col min="8197" max="8197" width="10.08984375" style="275" customWidth="1"/>
    <col min="8198" max="8198" width="12.90625" style="275" customWidth="1"/>
    <col min="8199" max="8199" width="9.81640625" style="275" customWidth="1"/>
    <col min="8200" max="8200" width="7.453125" style="275" customWidth="1"/>
    <col min="8201" max="8201" width="9.453125" style="275" customWidth="1"/>
    <col min="8202" max="8202" width="13.81640625" style="275" customWidth="1"/>
    <col min="8203" max="8203" width="7.453125" style="275" customWidth="1"/>
    <col min="8204" max="8204" width="9.6328125" style="275" customWidth="1"/>
    <col min="8205" max="8205" width="9.90625" style="275" customWidth="1"/>
    <col min="8206" max="8206" width="8.36328125" style="275" customWidth="1"/>
    <col min="8207" max="8207" width="7.1796875" style="275" customWidth="1"/>
    <col min="8208" max="8208" width="8.453125" style="275" customWidth="1"/>
    <col min="8209" max="8209" width="10.08984375" style="275" customWidth="1"/>
    <col min="8210" max="8448" width="8.90625" style="275"/>
    <col min="8449" max="8449" width="10.1796875" style="275" customWidth="1"/>
    <col min="8450" max="8450" width="20.08984375" style="275" customWidth="1"/>
    <col min="8451" max="8451" width="26" style="275" customWidth="1"/>
    <col min="8452" max="8452" width="14.08984375" style="275" customWidth="1"/>
    <col min="8453" max="8453" width="10.08984375" style="275" customWidth="1"/>
    <col min="8454" max="8454" width="12.90625" style="275" customWidth="1"/>
    <col min="8455" max="8455" width="9.81640625" style="275" customWidth="1"/>
    <col min="8456" max="8456" width="7.453125" style="275" customWidth="1"/>
    <col min="8457" max="8457" width="9.453125" style="275" customWidth="1"/>
    <col min="8458" max="8458" width="13.81640625" style="275" customWidth="1"/>
    <col min="8459" max="8459" width="7.453125" style="275" customWidth="1"/>
    <col min="8460" max="8460" width="9.6328125" style="275" customWidth="1"/>
    <col min="8461" max="8461" width="9.90625" style="275" customWidth="1"/>
    <col min="8462" max="8462" width="8.36328125" style="275" customWidth="1"/>
    <col min="8463" max="8463" width="7.1796875" style="275" customWidth="1"/>
    <col min="8464" max="8464" width="8.453125" style="275" customWidth="1"/>
    <col min="8465" max="8465" width="10.08984375" style="275" customWidth="1"/>
    <col min="8466" max="8704" width="8.90625" style="275"/>
    <col min="8705" max="8705" width="10.1796875" style="275" customWidth="1"/>
    <col min="8706" max="8706" width="20.08984375" style="275" customWidth="1"/>
    <col min="8707" max="8707" width="26" style="275" customWidth="1"/>
    <col min="8708" max="8708" width="14.08984375" style="275" customWidth="1"/>
    <col min="8709" max="8709" width="10.08984375" style="275" customWidth="1"/>
    <col min="8710" max="8710" width="12.90625" style="275" customWidth="1"/>
    <col min="8711" max="8711" width="9.81640625" style="275" customWidth="1"/>
    <col min="8712" max="8712" width="7.453125" style="275" customWidth="1"/>
    <col min="8713" max="8713" width="9.453125" style="275" customWidth="1"/>
    <col min="8714" max="8714" width="13.81640625" style="275" customWidth="1"/>
    <col min="8715" max="8715" width="7.453125" style="275" customWidth="1"/>
    <col min="8716" max="8716" width="9.6328125" style="275" customWidth="1"/>
    <col min="8717" max="8717" width="9.90625" style="275" customWidth="1"/>
    <col min="8718" max="8718" width="8.36328125" style="275" customWidth="1"/>
    <col min="8719" max="8719" width="7.1796875" style="275" customWidth="1"/>
    <col min="8720" max="8720" width="8.453125" style="275" customWidth="1"/>
    <col min="8721" max="8721" width="10.08984375" style="275" customWidth="1"/>
    <col min="8722" max="8960" width="8.90625" style="275"/>
    <col min="8961" max="8961" width="10.1796875" style="275" customWidth="1"/>
    <col min="8962" max="8962" width="20.08984375" style="275" customWidth="1"/>
    <col min="8963" max="8963" width="26" style="275" customWidth="1"/>
    <col min="8964" max="8964" width="14.08984375" style="275" customWidth="1"/>
    <col min="8965" max="8965" width="10.08984375" style="275" customWidth="1"/>
    <col min="8966" max="8966" width="12.90625" style="275" customWidth="1"/>
    <col min="8967" max="8967" width="9.81640625" style="275" customWidth="1"/>
    <col min="8968" max="8968" width="7.453125" style="275" customWidth="1"/>
    <col min="8969" max="8969" width="9.453125" style="275" customWidth="1"/>
    <col min="8970" max="8970" width="13.81640625" style="275" customWidth="1"/>
    <col min="8971" max="8971" width="7.453125" style="275" customWidth="1"/>
    <col min="8972" max="8972" width="9.6328125" style="275" customWidth="1"/>
    <col min="8973" max="8973" width="9.90625" style="275" customWidth="1"/>
    <col min="8974" max="8974" width="8.36328125" style="275" customWidth="1"/>
    <col min="8975" max="8975" width="7.1796875" style="275" customWidth="1"/>
    <col min="8976" max="8976" width="8.453125" style="275" customWidth="1"/>
    <col min="8977" max="8977" width="10.08984375" style="275" customWidth="1"/>
    <col min="8978" max="9216" width="8.90625" style="275"/>
    <col min="9217" max="9217" width="10.1796875" style="275" customWidth="1"/>
    <col min="9218" max="9218" width="20.08984375" style="275" customWidth="1"/>
    <col min="9219" max="9219" width="26" style="275" customWidth="1"/>
    <col min="9220" max="9220" width="14.08984375" style="275" customWidth="1"/>
    <col min="9221" max="9221" width="10.08984375" style="275" customWidth="1"/>
    <col min="9222" max="9222" width="12.90625" style="275" customWidth="1"/>
    <col min="9223" max="9223" width="9.81640625" style="275" customWidth="1"/>
    <col min="9224" max="9224" width="7.453125" style="275" customWidth="1"/>
    <col min="9225" max="9225" width="9.453125" style="275" customWidth="1"/>
    <col min="9226" max="9226" width="13.81640625" style="275" customWidth="1"/>
    <col min="9227" max="9227" width="7.453125" style="275" customWidth="1"/>
    <col min="9228" max="9228" width="9.6328125" style="275" customWidth="1"/>
    <col min="9229" max="9229" width="9.90625" style="275" customWidth="1"/>
    <col min="9230" max="9230" width="8.36328125" style="275" customWidth="1"/>
    <col min="9231" max="9231" width="7.1796875" style="275" customWidth="1"/>
    <col min="9232" max="9232" width="8.453125" style="275" customWidth="1"/>
    <col min="9233" max="9233" width="10.08984375" style="275" customWidth="1"/>
    <col min="9234" max="9472" width="8.90625" style="275"/>
    <col min="9473" max="9473" width="10.1796875" style="275" customWidth="1"/>
    <col min="9474" max="9474" width="20.08984375" style="275" customWidth="1"/>
    <col min="9475" max="9475" width="26" style="275" customWidth="1"/>
    <col min="9476" max="9476" width="14.08984375" style="275" customWidth="1"/>
    <col min="9477" max="9477" width="10.08984375" style="275" customWidth="1"/>
    <col min="9478" max="9478" width="12.90625" style="275" customWidth="1"/>
    <col min="9479" max="9479" width="9.81640625" style="275" customWidth="1"/>
    <col min="9480" max="9480" width="7.453125" style="275" customWidth="1"/>
    <col min="9481" max="9481" width="9.453125" style="275" customWidth="1"/>
    <col min="9482" max="9482" width="13.81640625" style="275" customWidth="1"/>
    <col min="9483" max="9483" width="7.453125" style="275" customWidth="1"/>
    <col min="9484" max="9484" width="9.6328125" style="275" customWidth="1"/>
    <col min="9485" max="9485" width="9.90625" style="275" customWidth="1"/>
    <col min="9486" max="9486" width="8.36328125" style="275" customWidth="1"/>
    <col min="9487" max="9487" width="7.1796875" style="275" customWidth="1"/>
    <col min="9488" max="9488" width="8.453125" style="275" customWidth="1"/>
    <col min="9489" max="9489" width="10.08984375" style="275" customWidth="1"/>
    <col min="9490" max="9728" width="8.90625" style="275"/>
    <col min="9729" max="9729" width="10.1796875" style="275" customWidth="1"/>
    <col min="9730" max="9730" width="20.08984375" style="275" customWidth="1"/>
    <col min="9731" max="9731" width="26" style="275" customWidth="1"/>
    <col min="9732" max="9732" width="14.08984375" style="275" customWidth="1"/>
    <col min="9733" max="9733" width="10.08984375" style="275" customWidth="1"/>
    <col min="9734" max="9734" width="12.90625" style="275" customWidth="1"/>
    <col min="9735" max="9735" width="9.81640625" style="275" customWidth="1"/>
    <col min="9736" max="9736" width="7.453125" style="275" customWidth="1"/>
    <col min="9737" max="9737" width="9.453125" style="275" customWidth="1"/>
    <col min="9738" max="9738" width="13.81640625" style="275" customWidth="1"/>
    <col min="9739" max="9739" width="7.453125" style="275" customWidth="1"/>
    <col min="9740" max="9740" width="9.6328125" style="275" customWidth="1"/>
    <col min="9741" max="9741" width="9.90625" style="275" customWidth="1"/>
    <col min="9742" max="9742" width="8.36328125" style="275" customWidth="1"/>
    <col min="9743" max="9743" width="7.1796875" style="275" customWidth="1"/>
    <col min="9744" max="9744" width="8.453125" style="275" customWidth="1"/>
    <col min="9745" max="9745" width="10.08984375" style="275" customWidth="1"/>
    <col min="9746" max="9984" width="8.90625" style="275"/>
    <col min="9985" max="9985" width="10.1796875" style="275" customWidth="1"/>
    <col min="9986" max="9986" width="20.08984375" style="275" customWidth="1"/>
    <col min="9987" max="9987" width="26" style="275" customWidth="1"/>
    <col min="9988" max="9988" width="14.08984375" style="275" customWidth="1"/>
    <col min="9989" max="9989" width="10.08984375" style="275" customWidth="1"/>
    <col min="9990" max="9990" width="12.90625" style="275" customWidth="1"/>
    <col min="9991" max="9991" width="9.81640625" style="275" customWidth="1"/>
    <col min="9992" max="9992" width="7.453125" style="275" customWidth="1"/>
    <col min="9993" max="9993" width="9.453125" style="275" customWidth="1"/>
    <col min="9994" max="9994" width="13.81640625" style="275" customWidth="1"/>
    <col min="9995" max="9995" width="7.453125" style="275" customWidth="1"/>
    <col min="9996" max="9996" width="9.6328125" style="275" customWidth="1"/>
    <col min="9997" max="9997" width="9.90625" style="275" customWidth="1"/>
    <col min="9998" max="9998" width="8.36328125" style="275" customWidth="1"/>
    <col min="9999" max="9999" width="7.1796875" style="275" customWidth="1"/>
    <col min="10000" max="10000" width="8.453125" style="275" customWidth="1"/>
    <col min="10001" max="10001" width="10.08984375" style="275" customWidth="1"/>
    <col min="10002" max="10240" width="8.90625" style="275"/>
    <col min="10241" max="10241" width="10.1796875" style="275" customWidth="1"/>
    <col min="10242" max="10242" width="20.08984375" style="275" customWidth="1"/>
    <col min="10243" max="10243" width="26" style="275" customWidth="1"/>
    <col min="10244" max="10244" width="14.08984375" style="275" customWidth="1"/>
    <col min="10245" max="10245" width="10.08984375" style="275" customWidth="1"/>
    <col min="10246" max="10246" width="12.90625" style="275" customWidth="1"/>
    <col min="10247" max="10247" width="9.81640625" style="275" customWidth="1"/>
    <col min="10248" max="10248" width="7.453125" style="275" customWidth="1"/>
    <col min="10249" max="10249" width="9.453125" style="275" customWidth="1"/>
    <col min="10250" max="10250" width="13.81640625" style="275" customWidth="1"/>
    <col min="10251" max="10251" width="7.453125" style="275" customWidth="1"/>
    <col min="10252" max="10252" width="9.6328125" style="275" customWidth="1"/>
    <col min="10253" max="10253" width="9.90625" style="275" customWidth="1"/>
    <col min="10254" max="10254" width="8.36328125" style="275" customWidth="1"/>
    <col min="10255" max="10255" width="7.1796875" style="275" customWidth="1"/>
    <col min="10256" max="10256" width="8.453125" style="275" customWidth="1"/>
    <col min="10257" max="10257" width="10.08984375" style="275" customWidth="1"/>
    <col min="10258" max="10496" width="8.90625" style="275"/>
    <col min="10497" max="10497" width="10.1796875" style="275" customWidth="1"/>
    <col min="10498" max="10498" width="20.08984375" style="275" customWidth="1"/>
    <col min="10499" max="10499" width="26" style="275" customWidth="1"/>
    <col min="10500" max="10500" width="14.08984375" style="275" customWidth="1"/>
    <col min="10501" max="10501" width="10.08984375" style="275" customWidth="1"/>
    <col min="10502" max="10502" width="12.90625" style="275" customWidth="1"/>
    <col min="10503" max="10503" width="9.81640625" style="275" customWidth="1"/>
    <col min="10504" max="10504" width="7.453125" style="275" customWidth="1"/>
    <col min="10505" max="10505" width="9.453125" style="275" customWidth="1"/>
    <col min="10506" max="10506" width="13.81640625" style="275" customWidth="1"/>
    <col min="10507" max="10507" width="7.453125" style="275" customWidth="1"/>
    <col min="10508" max="10508" width="9.6328125" style="275" customWidth="1"/>
    <col min="10509" max="10509" width="9.90625" style="275" customWidth="1"/>
    <col min="10510" max="10510" width="8.36328125" style="275" customWidth="1"/>
    <col min="10511" max="10511" width="7.1796875" style="275" customWidth="1"/>
    <col min="10512" max="10512" width="8.453125" style="275" customWidth="1"/>
    <col min="10513" max="10513" width="10.08984375" style="275" customWidth="1"/>
    <col min="10514" max="10752" width="8.90625" style="275"/>
    <col min="10753" max="10753" width="10.1796875" style="275" customWidth="1"/>
    <col min="10754" max="10754" width="20.08984375" style="275" customWidth="1"/>
    <col min="10755" max="10755" width="26" style="275" customWidth="1"/>
    <col min="10756" max="10756" width="14.08984375" style="275" customWidth="1"/>
    <col min="10757" max="10757" width="10.08984375" style="275" customWidth="1"/>
    <col min="10758" max="10758" width="12.90625" style="275" customWidth="1"/>
    <col min="10759" max="10759" width="9.81640625" style="275" customWidth="1"/>
    <col min="10760" max="10760" width="7.453125" style="275" customWidth="1"/>
    <col min="10761" max="10761" width="9.453125" style="275" customWidth="1"/>
    <col min="10762" max="10762" width="13.81640625" style="275" customWidth="1"/>
    <col min="10763" max="10763" width="7.453125" style="275" customWidth="1"/>
    <col min="10764" max="10764" width="9.6328125" style="275" customWidth="1"/>
    <col min="10765" max="10765" width="9.90625" style="275" customWidth="1"/>
    <col min="10766" max="10766" width="8.36328125" style="275" customWidth="1"/>
    <col min="10767" max="10767" width="7.1796875" style="275" customWidth="1"/>
    <col min="10768" max="10768" width="8.453125" style="275" customWidth="1"/>
    <col min="10769" max="10769" width="10.08984375" style="275" customWidth="1"/>
    <col min="10770" max="11008" width="8.90625" style="275"/>
    <col min="11009" max="11009" width="10.1796875" style="275" customWidth="1"/>
    <col min="11010" max="11010" width="20.08984375" style="275" customWidth="1"/>
    <col min="11011" max="11011" width="26" style="275" customWidth="1"/>
    <col min="11012" max="11012" width="14.08984375" style="275" customWidth="1"/>
    <col min="11013" max="11013" width="10.08984375" style="275" customWidth="1"/>
    <col min="11014" max="11014" width="12.90625" style="275" customWidth="1"/>
    <col min="11015" max="11015" width="9.81640625" style="275" customWidth="1"/>
    <col min="11016" max="11016" width="7.453125" style="275" customWidth="1"/>
    <col min="11017" max="11017" width="9.453125" style="275" customWidth="1"/>
    <col min="11018" max="11018" width="13.81640625" style="275" customWidth="1"/>
    <col min="11019" max="11019" width="7.453125" style="275" customWidth="1"/>
    <col min="11020" max="11020" width="9.6328125" style="275" customWidth="1"/>
    <col min="11021" max="11021" width="9.90625" style="275" customWidth="1"/>
    <col min="11022" max="11022" width="8.36328125" style="275" customWidth="1"/>
    <col min="11023" max="11023" width="7.1796875" style="275" customWidth="1"/>
    <col min="11024" max="11024" width="8.453125" style="275" customWidth="1"/>
    <col min="11025" max="11025" width="10.08984375" style="275" customWidth="1"/>
    <col min="11026" max="11264" width="8.90625" style="275"/>
    <col min="11265" max="11265" width="10.1796875" style="275" customWidth="1"/>
    <col min="11266" max="11266" width="20.08984375" style="275" customWidth="1"/>
    <col min="11267" max="11267" width="26" style="275" customWidth="1"/>
    <col min="11268" max="11268" width="14.08984375" style="275" customWidth="1"/>
    <col min="11269" max="11269" width="10.08984375" style="275" customWidth="1"/>
    <col min="11270" max="11270" width="12.90625" style="275" customWidth="1"/>
    <col min="11271" max="11271" width="9.81640625" style="275" customWidth="1"/>
    <col min="11272" max="11272" width="7.453125" style="275" customWidth="1"/>
    <col min="11273" max="11273" width="9.453125" style="275" customWidth="1"/>
    <col min="11274" max="11274" width="13.81640625" style="275" customWidth="1"/>
    <col min="11275" max="11275" width="7.453125" style="275" customWidth="1"/>
    <col min="11276" max="11276" width="9.6328125" style="275" customWidth="1"/>
    <col min="11277" max="11277" width="9.90625" style="275" customWidth="1"/>
    <col min="11278" max="11278" width="8.36328125" style="275" customWidth="1"/>
    <col min="11279" max="11279" width="7.1796875" style="275" customWidth="1"/>
    <col min="11280" max="11280" width="8.453125" style="275" customWidth="1"/>
    <col min="11281" max="11281" width="10.08984375" style="275" customWidth="1"/>
    <col min="11282" max="11520" width="8.90625" style="275"/>
    <col min="11521" max="11521" width="10.1796875" style="275" customWidth="1"/>
    <col min="11522" max="11522" width="20.08984375" style="275" customWidth="1"/>
    <col min="11523" max="11523" width="26" style="275" customWidth="1"/>
    <col min="11524" max="11524" width="14.08984375" style="275" customWidth="1"/>
    <col min="11525" max="11525" width="10.08984375" style="275" customWidth="1"/>
    <col min="11526" max="11526" width="12.90625" style="275" customWidth="1"/>
    <col min="11527" max="11527" width="9.81640625" style="275" customWidth="1"/>
    <col min="11528" max="11528" width="7.453125" style="275" customWidth="1"/>
    <col min="11529" max="11529" width="9.453125" style="275" customWidth="1"/>
    <col min="11530" max="11530" width="13.81640625" style="275" customWidth="1"/>
    <col min="11531" max="11531" width="7.453125" style="275" customWidth="1"/>
    <col min="11532" max="11532" width="9.6328125" style="275" customWidth="1"/>
    <col min="11533" max="11533" width="9.90625" style="275" customWidth="1"/>
    <col min="11534" max="11534" width="8.36328125" style="275" customWidth="1"/>
    <col min="11535" max="11535" width="7.1796875" style="275" customWidth="1"/>
    <col min="11536" max="11536" width="8.453125" style="275" customWidth="1"/>
    <col min="11537" max="11537" width="10.08984375" style="275" customWidth="1"/>
    <col min="11538" max="11776" width="8.90625" style="275"/>
    <col min="11777" max="11777" width="10.1796875" style="275" customWidth="1"/>
    <col min="11778" max="11778" width="20.08984375" style="275" customWidth="1"/>
    <col min="11779" max="11779" width="26" style="275" customWidth="1"/>
    <col min="11780" max="11780" width="14.08984375" style="275" customWidth="1"/>
    <col min="11781" max="11781" width="10.08984375" style="275" customWidth="1"/>
    <col min="11782" max="11782" width="12.90625" style="275" customWidth="1"/>
    <col min="11783" max="11783" width="9.81640625" style="275" customWidth="1"/>
    <col min="11784" max="11784" width="7.453125" style="275" customWidth="1"/>
    <col min="11785" max="11785" width="9.453125" style="275" customWidth="1"/>
    <col min="11786" max="11786" width="13.81640625" style="275" customWidth="1"/>
    <col min="11787" max="11787" width="7.453125" style="275" customWidth="1"/>
    <col min="11788" max="11788" width="9.6328125" style="275" customWidth="1"/>
    <col min="11789" max="11789" width="9.90625" style="275" customWidth="1"/>
    <col min="11790" max="11790" width="8.36328125" style="275" customWidth="1"/>
    <col min="11791" max="11791" width="7.1796875" style="275" customWidth="1"/>
    <col min="11792" max="11792" width="8.453125" style="275" customWidth="1"/>
    <col min="11793" max="11793" width="10.08984375" style="275" customWidth="1"/>
    <col min="11794" max="12032" width="8.90625" style="275"/>
    <col min="12033" max="12033" width="10.1796875" style="275" customWidth="1"/>
    <col min="12034" max="12034" width="20.08984375" style="275" customWidth="1"/>
    <col min="12035" max="12035" width="26" style="275" customWidth="1"/>
    <col min="12036" max="12036" width="14.08984375" style="275" customWidth="1"/>
    <col min="12037" max="12037" width="10.08984375" style="275" customWidth="1"/>
    <col min="12038" max="12038" width="12.90625" style="275" customWidth="1"/>
    <col min="12039" max="12039" width="9.81640625" style="275" customWidth="1"/>
    <col min="12040" max="12040" width="7.453125" style="275" customWidth="1"/>
    <col min="12041" max="12041" width="9.453125" style="275" customWidth="1"/>
    <col min="12042" max="12042" width="13.81640625" style="275" customWidth="1"/>
    <col min="12043" max="12043" width="7.453125" style="275" customWidth="1"/>
    <col min="12044" max="12044" width="9.6328125" style="275" customWidth="1"/>
    <col min="12045" max="12045" width="9.90625" style="275" customWidth="1"/>
    <col min="12046" max="12046" width="8.36328125" style="275" customWidth="1"/>
    <col min="12047" max="12047" width="7.1796875" style="275" customWidth="1"/>
    <col min="12048" max="12048" width="8.453125" style="275" customWidth="1"/>
    <col min="12049" max="12049" width="10.08984375" style="275" customWidth="1"/>
    <col min="12050" max="12288" width="8.90625" style="275"/>
    <col min="12289" max="12289" width="10.1796875" style="275" customWidth="1"/>
    <col min="12290" max="12290" width="20.08984375" style="275" customWidth="1"/>
    <col min="12291" max="12291" width="26" style="275" customWidth="1"/>
    <col min="12292" max="12292" width="14.08984375" style="275" customWidth="1"/>
    <col min="12293" max="12293" width="10.08984375" style="275" customWidth="1"/>
    <col min="12294" max="12294" width="12.90625" style="275" customWidth="1"/>
    <col min="12295" max="12295" width="9.81640625" style="275" customWidth="1"/>
    <col min="12296" max="12296" width="7.453125" style="275" customWidth="1"/>
    <col min="12297" max="12297" width="9.453125" style="275" customWidth="1"/>
    <col min="12298" max="12298" width="13.81640625" style="275" customWidth="1"/>
    <col min="12299" max="12299" width="7.453125" style="275" customWidth="1"/>
    <col min="12300" max="12300" width="9.6328125" style="275" customWidth="1"/>
    <col min="12301" max="12301" width="9.90625" style="275" customWidth="1"/>
    <col min="12302" max="12302" width="8.36328125" style="275" customWidth="1"/>
    <col min="12303" max="12303" width="7.1796875" style="275" customWidth="1"/>
    <col min="12304" max="12304" width="8.453125" style="275" customWidth="1"/>
    <col min="12305" max="12305" width="10.08984375" style="275" customWidth="1"/>
    <col min="12306" max="12544" width="8.90625" style="275"/>
    <col min="12545" max="12545" width="10.1796875" style="275" customWidth="1"/>
    <col min="12546" max="12546" width="20.08984375" style="275" customWidth="1"/>
    <col min="12547" max="12547" width="26" style="275" customWidth="1"/>
    <col min="12548" max="12548" width="14.08984375" style="275" customWidth="1"/>
    <col min="12549" max="12549" width="10.08984375" style="275" customWidth="1"/>
    <col min="12550" max="12550" width="12.90625" style="275" customWidth="1"/>
    <col min="12551" max="12551" width="9.81640625" style="275" customWidth="1"/>
    <col min="12552" max="12552" width="7.453125" style="275" customWidth="1"/>
    <col min="12553" max="12553" width="9.453125" style="275" customWidth="1"/>
    <col min="12554" max="12554" width="13.81640625" style="275" customWidth="1"/>
    <col min="12555" max="12555" width="7.453125" style="275" customWidth="1"/>
    <col min="12556" max="12556" width="9.6328125" style="275" customWidth="1"/>
    <col min="12557" max="12557" width="9.90625" style="275" customWidth="1"/>
    <col min="12558" max="12558" width="8.36328125" style="275" customWidth="1"/>
    <col min="12559" max="12559" width="7.1796875" style="275" customWidth="1"/>
    <col min="12560" max="12560" width="8.453125" style="275" customWidth="1"/>
    <col min="12561" max="12561" width="10.08984375" style="275" customWidth="1"/>
    <col min="12562" max="12800" width="8.90625" style="275"/>
    <col min="12801" max="12801" width="10.1796875" style="275" customWidth="1"/>
    <col min="12802" max="12802" width="20.08984375" style="275" customWidth="1"/>
    <col min="12803" max="12803" width="26" style="275" customWidth="1"/>
    <col min="12804" max="12804" width="14.08984375" style="275" customWidth="1"/>
    <col min="12805" max="12805" width="10.08984375" style="275" customWidth="1"/>
    <col min="12806" max="12806" width="12.90625" style="275" customWidth="1"/>
    <col min="12807" max="12807" width="9.81640625" style="275" customWidth="1"/>
    <col min="12808" max="12808" width="7.453125" style="275" customWidth="1"/>
    <col min="12809" max="12809" width="9.453125" style="275" customWidth="1"/>
    <col min="12810" max="12810" width="13.81640625" style="275" customWidth="1"/>
    <col min="12811" max="12811" width="7.453125" style="275" customWidth="1"/>
    <col min="12812" max="12812" width="9.6328125" style="275" customWidth="1"/>
    <col min="12813" max="12813" width="9.90625" style="275" customWidth="1"/>
    <col min="12814" max="12814" width="8.36328125" style="275" customWidth="1"/>
    <col min="12815" max="12815" width="7.1796875" style="275" customWidth="1"/>
    <col min="12816" max="12816" width="8.453125" style="275" customWidth="1"/>
    <col min="12817" max="12817" width="10.08984375" style="275" customWidth="1"/>
    <col min="12818" max="13056" width="8.90625" style="275"/>
    <col min="13057" max="13057" width="10.1796875" style="275" customWidth="1"/>
    <col min="13058" max="13058" width="20.08984375" style="275" customWidth="1"/>
    <col min="13059" max="13059" width="26" style="275" customWidth="1"/>
    <col min="13060" max="13060" width="14.08984375" style="275" customWidth="1"/>
    <col min="13061" max="13061" width="10.08984375" style="275" customWidth="1"/>
    <col min="13062" max="13062" width="12.90625" style="275" customWidth="1"/>
    <col min="13063" max="13063" width="9.81640625" style="275" customWidth="1"/>
    <col min="13064" max="13064" width="7.453125" style="275" customWidth="1"/>
    <col min="13065" max="13065" width="9.453125" style="275" customWidth="1"/>
    <col min="13066" max="13066" width="13.81640625" style="275" customWidth="1"/>
    <col min="13067" max="13067" width="7.453125" style="275" customWidth="1"/>
    <col min="13068" max="13068" width="9.6328125" style="275" customWidth="1"/>
    <col min="13069" max="13069" width="9.90625" style="275" customWidth="1"/>
    <col min="13070" max="13070" width="8.36328125" style="275" customWidth="1"/>
    <col min="13071" max="13071" width="7.1796875" style="275" customWidth="1"/>
    <col min="13072" max="13072" width="8.453125" style="275" customWidth="1"/>
    <col min="13073" max="13073" width="10.08984375" style="275" customWidth="1"/>
    <col min="13074" max="13312" width="8.90625" style="275"/>
    <col min="13313" max="13313" width="10.1796875" style="275" customWidth="1"/>
    <col min="13314" max="13314" width="20.08984375" style="275" customWidth="1"/>
    <col min="13315" max="13315" width="26" style="275" customWidth="1"/>
    <col min="13316" max="13316" width="14.08984375" style="275" customWidth="1"/>
    <col min="13317" max="13317" width="10.08984375" style="275" customWidth="1"/>
    <col min="13318" max="13318" width="12.90625" style="275" customWidth="1"/>
    <col min="13319" max="13319" width="9.81640625" style="275" customWidth="1"/>
    <col min="13320" max="13320" width="7.453125" style="275" customWidth="1"/>
    <col min="13321" max="13321" width="9.453125" style="275" customWidth="1"/>
    <col min="13322" max="13322" width="13.81640625" style="275" customWidth="1"/>
    <col min="13323" max="13323" width="7.453125" style="275" customWidth="1"/>
    <col min="13324" max="13324" width="9.6328125" style="275" customWidth="1"/>
    <col min="13325" max="13325" width="9.90625" style="275" customWidth="1"/>
    <col min="13326" max="13326" width="8.36328125" style="275" customWidth="1"/>
    <col min="13327" max="13327" width="7.1796875" style="275" customWidth="1"/>
    <col min="13328" max="13328" width="8.453125" style="275" customWidth="1"/>
    <col min="13329" max="13329" width="10.08984375" style="275" customWidth="1"/>
    <col min="13330" max="13568" width="8.90625" style="275"/>
    <col min="13569" max="13569" width="10.1796875" style="275" customWidth="1"/>
    <col min="13570" max="13570" width="20.08984375" style="275" customWidth="1"/>
    <col min="13571" max="13571" width="26" style="275" customWidth="1"/>
    <col min="13572" max="13572" width="14.08984375" style="275" customWidth="1"/>
    <col min="13573" max="13573" width="10.08984375" style="275" customWidth="1"/>
    <col min="13574" max="13574" width="12.90625" style="275" customWidth="1"/>
    <col min="13575" max="13575" width="9.81640625" style="275" customWidth="1"/>
    <col min="13576" max="13576" width="7.453125" style="275" customWidth="1"/>
    <col min="13577" max="13577" width="9.453125" style="275" customWidth="1"/>
    <col min="13578" max="13578" width="13.81640625" style="275" customWidth="1"/>
    <col min="13579" max="13579" width="7.453125" style="275" customWidth="1"/>
    <col min="13580" max="13580" width="9.6328125" style="275" customWidth="1"/>
    <col min="13581" max="13581" width="9.90625" style="275" customWidth="1"/>
    <col min="13582" max="13582" width="8.36328125" style="275" customWidth="1"/>
    <col min="13583" max="13583" width="7.1796875" style="275" customWidth="1"/>
    <col min="13584" max="13584" width="8.453125" style="275" customWidth="1"/>
    <col min="13585" max="13585" width="10.08984375" style="275" customWidth="1"/>
    <col min="13586" max="13824" width="8.90625" style="275"/>
    <col min="13825" max="13825" width="10.1796875" style="275" customWidth="1"/>
    <col min="13826" max="13826" width="20.08984375" style="275" customWidth="1"/>
    <col min="13827" max="13827" width="26" style="275" customWidth="1"/>
    <col min="13828" max="13828" width="14.08984375" style="275" customWidth="1"/>
    <col min="13829" max="13829" width="10.08984375" style="275" customWidth="1"/>
    <col min="13830" max="13830" width="12.90625" style="275" customWidth="1"/>
    <col min="13831" max="13831" width="9.81640625" style="275" customWidth="1"/>
    <col min="13832" max="13832" width="7.453125" style="275" customWidth="1"/>
    <col min="13833" max="13833" width="9.453125" style="275" customWidth="1"/>
    <col min="13834" max="13834" width="13.81640625" style="275" customWidth="1"/>
    <col min="13835" max="13835" width="7.453125" style="275" customWidth="1"/>
    <col min="13836" max="13836" width="9.6328125" style="275" customWidth="1"/>
    <col min="13837" max="13837" width="9.90625" style="275" customWidth="1"/>
    <col min="13838" max="13838" width="8.36328125" style="275" customWidth="1"/>
    <col min="13839" max="13839" width="7.1796875" style="275" customWidth="1"/>
    <col min="13840" max="13840" width="8.453125" style="275" customWidth="1"/>
    <col min="13841" max="13841" width="10.08984375" style="275" customWidth="1"/>
    <col min="13842" max="14080" width="8.90625" style="275"/>
    <col min="14081" max="14081" width="10.1796875" style="275" customWidth="1"/>
    <col min="14082" max="14082" width="20.08984375" style="275" customWidth="1"/>
    <col min="14083" max="14083" width="26" style="275" customWidth="1"/>
    <col min="14084" max="14084" width="14.08984375" style="275" customWidth="1"/>
    <col min="14085" max="14085" width="10.08984375" style="275" customWidth="1"/>
    <col min="14086" max="14086" width="12.90625" style="275" customWidth="1"/>
    <col min="14087" max="14087" width="9.81640625" style="275" customWidth="1"/>
    <col min="14088" max="14088" width="7.453125" style="275" customWidth="1"/>
    <col min="14089" max="14089" width="9.453125" style="275" customWidth="1"/>
    <col min="14090" max="14090" width="13.81640625" style="275" customWidth="1"/>
    <col min="14091" max="14091" width="7.453125" style="275" customWidth="1"/>
    <col min="14092" max="14092" width="9.6328125" style="275" customWidth="1"/>
    <col min="14093" max="14093" width="9.90625" style="275" customWidth="1"/>
    <col min="14094" max="14094" width="8.36328125" style="275" customWidth="1"/>
    <col min="14095" max="14095" width="7.1796875" style="275" customWidth="1"/>
    <col min="14096" max="14096" width="8.453125" style="275" customWidth="1"/>
    <col min="14097" max="14097" width="10.08984375" style="275" customWidth="1"/>
    <col min="14098" max="14336" width="8.90625" style="275"/>
    <col min="14337" max="14337" width="10.1796875" style="275" customWidth="1"/>
    <col min="14338" max="14338" width="20.08984375" style="275" customWidth="1"/>
    <col min="14339" max="14339" width="26" style="275" customWidth="1"/>
    <col min="14340" max="14340" width="14.08984375" style="275" customWidth="1"/>
    <col min="14341" max="14341" width="10.08984375" style="275" customWidth="1"/>
    <col min="14342" max="14342" width="12.90625" style="275" customWidth="1"/>
    <col min="14343" max="14343" width="9.81640625" style="275" customWidth="1"/>
    <col min="14344" max="14344" width="7.453125" style="275" customWidth="1"/>
    <col min="14345" max="14345" width="9.453125" style="275" customWidth="1"/>
    <col min="14346" max="14346" width="13.81640625" style="275" customWidth="1"/>
    <col min="14347" max="14347" width="7.453125" style="275" customWidth="1"/>
    <col min="14348" max="14348" width="9.6328125" style="275" customWidth="1"/>
    <col min="14349" max="14349" width="9.90625" style="275" customWidth="1"/>
    <col min="14350" max="14350" width="8.36328125" style="275" customWidth="1"/>
    <col min="14351" max="14351" width="7.1796875" style="275" customWidth="1"/>
    <col min="14352" max="14352" width="8.453125" style="275" customWidth="1"/>
    <col min="14353" max="14353" width="10.08984375" style="275" customWidth="1"/>
    <col min="14354" max="14592" width="8.90625" style="275"/>
    <col min="14593" max="14593" width="10.1796875" style="275" customWidth="1"/>
    <col min="14594" max="14594" width="20.08984375" style="275" customWidth="1"/>
    <col min="14595" max="14595" width="26" style="275" customWidth="1"/>
    <col min="14596" max="14596" width="14.08984375" style="275" customWidth="1"/>
    <col min="14597" max="14597" width="10.08984375" style="275" customWidth="1"/>
    <col min="14598" max="14598" width="12.90625" style="275" customWidth="1"/>
    <col min="14599" max="14599" width="9.81640625" style="275" customWidth="1"/>
    <col min="14600" max="14600" width="7.453125" style="275" customWidth="1"/>
    <col min="14601" max="14601" width="9.453125" style="275" customWidth="1"/>
    <col min="14602" max="14602" width="13.81640625" style="275" customWidth="1"/>
    <col min="14603" max="14603" width="7.453125" style="275" customWidth="1"/>
    <col min="14604" max="14604" width="9.6328125" style="275" customWidth="1"/>
    <col min="14605" max="14605" width="9.90625" style="275" customWidth="1"/>
    <col min="14606" max="14606" width="8.36328125" style="275" customWidth="1"/>
    <col min="14607" max="14607" width="7.1796875" style="275" customWidth="1"/>
    <col min="14608" max="14608" width="8.453125" style="275" customWidth="1"/>
    <col min="14609" max="14609" width="10.08984375" style="275" customWidth="1"/>
    <col min="14610" max="14848" width="8.90625" style="275"/>
    <col min="14849" max="14849" width="10.1796875" style="275" customWidth="1"/>
    <col min="14850" max="14850" width="20.08984375" style="275" customWidth="1"/>
    <col min="14851" max="14851" width="26" style="275" customWidth="1"/>
    <col min="14852" max="14852" width="14.08984375" style="275" customWidth="1"/>
    <col min="14853" max="14853" width="10.08984375" style="275" customWidth="1"/>
    <col min="14854" max="14854" width="12.90625" style="275" customWidth="1"/>
    <col min="14855" max="14855" width="9.81640625" style="275" customWidth="1"/>
    <col min="14856" max="14856" width="7.453125" style="275" customWidth="1"/>
    <col min="14857" max="14857" width="9.453125" style="275" customWidth="1"/>
    <col min="14858" max="14858" width="13.81640625" style="275" customWidth="1"/>
    <col min="14859" max="14859" width="7.453125" style="275" customWidth="1"/>
    <col min="14860" max="14860" width="9.6328125" style="275" customWidth="1"/>
    <col min="14861" max="14861" width="9.90625" style="275" customWidth="1"/>
    <col min="14862" max="14862" width="8.36328125" style="275" customWidth="1"/>
    <col min="14863" max="14863" width="7.1796875" style="275" customWidth="1"/>
    <col min="14864" max="14864" width="8.453125" style="275" customWidth="1"/>
    <col min="14865" max="14865" width="10.08984375" style="275" customWidth="1"/>
    <col min="14866" max="15104" width="8.90625" style="275"/>
    <col min="15105" max="15105" width="10.1796875" style="275" customWidth="1"/>
    <col min="15106" max="15106" width="20.08984375" style="275" customWidth="1"/>
    <col min="15107" max="15107" width="26" style="275" customWidth="1"/>
    <col min="15108" max="15108" width="14.08984375" style="275" customWidth="1"/>
    <col min="15109" max="15109" width="10.08984375" style="275" customWidth="1"/>
    <col min="15110" max="15110" width="12.90625" style="275" customWidth="1"/>
    <col min="15111" max="15111" width="9.81640625" style="275" customWidth="1"/>
    <col min="15112" max="15112" width="7.453125" style="275" customWidth="1"/>
    <col min="15113" max="15113" width="9.453125" style="275" customWidth="1"/>
    <col min="15114" max="15114" width="13.81640625" style="275" customWidth="1"/>
    <col min="15115" max="15115" width="7.453125" style="275" customWidth="1"/>
    <col min="15116" max="15116" width="9.6328125" style="275" customWidth="1"/>
    <col min="15117" max="15117" width="9.90625" style="275" customWidth="1"/>
    <col min="15118" max="15118" width="8.36328125" style="275" customWidth="1"/>
    <col min="15119" max="15119" width="7.1796875" style="275" customWidth="1"/>
    <col min="15120" max="15120" width="8.453125" style="275" customWidth="1"/>
    <col min="15121" max="15121" width="10.08984375" style="275" customWidth="1"/>
    <col min="15122" max="15360" width="8.90625" style="275"/>
    <col min="15361" max="15361" width="10.1796875" style="275" customWidth="1"/>
    <col min="15362" max="15362" width="20.08984375" style="275" customWidth="1"/>
    <col min="15363" max="15363" width="26" style="275" customWidth="1"/>
    <col min="15364" max="15364" width="14.08984375" style="275" customWidth="1"/>
    <col min="15365" max="15365" width="10.08984375" style="275" customWidth="1"/>
    <col min="15366" max="15366" width="12.90625" style="275" customWidth="1"/>
    <col min="15367" max="15367" width="9.81640625" style="275" customWidth="1"/>
    <col min="15368" max="15368" width="7.453125" style="275" customWidth="1"/>
    <col min="15369" max="15369" width="9.453125" style="275" customWidth="1"/>
    <col min="15370" max="15370" width="13.81640625" style="275" customWidth="1"/>
    <col min="15371" max="15371" width="7.453125" style="275" customWidth="1"/>
    <col min="15372" max="15372" width="9.6328125" style="275" customWidth="1"/>
    <col min="15373" max="15373" width="9.90625" style="275" customWidth="1"/>
    <col min="15374" max="15374" width="8.36328125" style="275" customWidth="1"/>
    <col min="15375" max="15375" width="7.1796875" style="275" customWidth="1"/>
    <col min="15376" max="15376" width="8.453125" style="275" customWidth="1"/>
    <col min="15377" max="15377" width="10.08984375" style="275" customWidth="1"/>
    <col min="15378" max="15616" width="8.90625" style="275"/>
    <col min="15617" max="15617" width="10.1796875" style="275" customWidth="1"/>
    <col min="15618" max="15618" width="20.08984375" style="275" customWidth="1"/>
    <col min="15619" max="15619" width="26" style="275" customWidth="1"/>
    <col min="15620" max="15620" width="14.08984375" style="275" customWidth="1"/>
    <col min="15621" max="15621" width="10.08984375" style="275" customWidth="1"/>
    <col min="15622" max="15622" width="12.90625" style="275" customWidth="1"/>
    <col min="15623" max="15623" width="9.81640625" style="275" customWidth="1"/>
    <col min="15624" max="15624" width="7.453125" style="275" customWidth="1"/>
    <col min="15625" max="15625" width="9.453125" style="275" customWidth="1"/>
    <col min="15626" max="15626" width="13.81640625" style="275" customWidth="1"/>
    <col min="15627" max="15627" width="7.453125" style="275" customWidth="1"/>
    <col min="15628" max="15628" width="9.6328125" style="275" customWidth="1"/>
    <col min="15629" max="15629" width="9.90625" style="275" customWidth="1"/>
    <col min="15630" max="15630" width="8.36328125" style="275" customWidth="1"/>
    <col min="15631" max="15631" width="7.1796875" style="275" customWidth="1"/>
    <col min="15632" max="15632" width="8.453125" style="275" customWidth="1"/>
    <col min="15633" max="15633" width="10.08984375" style="275" customWidth="1"/>
    <col min="15634" max="15872" width="8.90625" style="275"/>
    <col min="15873" max="15873" width="10.1796875" style="275" customWidth="1"/>
    <col min="15874" max="15874" width="20.08984375" style="275" customWidth="1"/>
    <col min="15875" max="15875" width="26" style="275" customWidth="1"/>
    <col min="15876" max="15876" width="14.08984375" style="275" customWidth="1"/>
    <col min="15877" max="15877" width="10.08984375" style="275" customWidth="1"/>
    <col min="15878" max="15878" width="12.90625" style="275" customWidth="1"/>
    <col min="15879" max="15879" width="9.81640625" style="275" customWidth="1"/>
    <col min="15880" max="15880" width="7.453125" style="275" customWidth="1"/>
    <col min="15881" max="15881" width="9.453125" style="275" customWidth="1"/>
    <col min="15882" max="15882" width="13.81640625" style="275" customWidth="1"/>
    <col min="15883" max="15883" width="7.453125" style="275" customWidth="1"/>
    <col min="15884" max="15884" width="9.6328125" style="275" customWidth="1"/>
    <col min="15885" max="15885" width="9.90625" style="275" customWidth="1"/>
    <col min="15886" max="15886" width="8.36328125" style="275" customWidth="1"/>
    <col min="15887" max="15887" width="7.1796875" style="275" customWidth="1"/>
    <col min="15888" max="15888" width="8.453125" style="275" customWidth="1"/>
    <col min="15889" max="15889" width="10.08984375" style="275" customWidth="1"/>
    <col min="15890" max="16128" width="8.90625" style="275"/>
    <col min="16129" max="16129" width="10.1796875" style="275" customWidth="1"/>
    <col min="16130" max="16130" width="20.08984375" style="275" customWidth="1"/>
    <col min="16131" max="16131" width="26" style="275" customWidth="1"/>
    <col min="16132" max="16132" width="14.08984375" style="275" customWidth="1"/>
    <col min="16133" max="16133" width="10.08984375" style="275" customWidth="1"/>
    <col min="16134" max="16134" width="12.90625" style="275" customWidth="1"/>
    <col min="16135" max="16135" width="9.81640625" style="275" customWidth="1"/>
    <col min="16136" max="16136" width="7.453125" style="275" customWidth="1"/>
    <col min="16137" max="16137" width="9.453125" style="275" customWidth="1"/>
    <col min="16138" max="16138" width="13.81640625" style="275" customWidth="1"/>
    <col min="16139" max="16139" width="7.453125" style="275" customWidth="1"/>
    <col min="16140" max="16140" width="9.6328125" style="275" customWidth="1"/>
    <col min="16141" max="16141" width="9.90625" style="275" customWidth="1"/>
    <col min="16142" max="16142" width="8.36328125" style="275" customWidth="1"/>
    <col min="16143" max="16143" width="7.1796875" style="275" customWidth="1"/>
    <col min="16144" max="16144" width="8.453125" style="275" customWidth="1"/>
    <col min="16145" max="16145" width="10.08984375" style="275" customWidth="1"/>
    <col min="16146" max="16384" width="8.90625" style="275"/>
  </cols>
  <sheetData>
    <row r="1" spans="1:18" ht="24" customHeight="1">
      <c r="A1" s="274" t="s">
        <v>338</v>
      </c>
    </row>
    <row r="2" spans="1:18" ht="24" customHeight="1">
      <c r="A2" s="276" t="s">
        <v>339</v>
      </c>
      <c r="C2" s="588" t="str">
        <f>CC!C3</f>
        <v>Extension of mixer bay and replacement of 02 nos mixer cranes 125+30t, span 28 m in SMS-2</v>
      </c>
      <c r="D2" s="588"/>
      <c r="E2" s="588"/>
      <c r="F2" s="588"/>
      <c r="G2" s="588"/>
    </row>
    <row r="3" spans="1:18" ht="24" customHeight="1">
      <c r="A3" s="276" t="s">
        <v>340</v>
      </c>
      <c r="C3" s="1122" t="s">
        <v>920</v>
      </c>
    </row>
    <row r="4" spans="1:18" ht="24" customHeight="1">
      <c r="A4" s="276" t="s">
        <v>341</v>
      </c>
      <c r="C4" s="1122" t="s">
        <v>921</v>
      </c>
    </row>
    <row r="5" spans="1:18" ht="24" customHeight="1">
      <c r="A5" s="276" t="s">
        <v>342</v>
      </c>
      <c r="C5" s="1122" t="s">
        <v>919</v>
      </c>
    </row>
    <row r="6" spans="1:18" ht="9.75" customHeight="1">
      <c r="A6" s="278"/>
    </row>
    <row r="7" spans="1:18" ht="17.25" customHeight="1">
      <c r="A7" s="2424" t="s">
        <v>440</v>
      </c>
      <c r="B7" s="2425"/>
      <c r="C7" s="2425"/>
    </row>
    <row r="8" spans="1:18" ht="23.25" customHeight="1">
      <c r="A8" s="279" t="s">
        <v>384</v>
      </c>
      <c r="D8" s="613" t="s">
        <v>441</v>
      </c>
      <c r="E8" s="614">
        <f>CC!C10</f>
        <v>0</v>
      </c>
      <c r="F8" s="613" t="s">
        <v>574</v>
      </c>
      <c r="G8" s="615">
        <f>CC!C9</f>
        <v>0</v>
      </c>
      <c r="I8" s="615"/>
      <c r="J8" s="275" t="s">
        <v>442</v>
      </c>
    </row>
    <row r="9" spans="1:18" s="241" customFormat="1" ht="23.25" customHeight="1">
      <c r="A9" s="2426" t="s">
        <v>318</v>
      </c>
      <c r="B9" s="2426" t="s">
        <v>351</v>
      </c>
      <c r="C9" s="2426" t="s">
        <v>352</v>
      </c>
      <c r="D9" s="2427" t="s">
        <v>353</v>
      </c>
      <c r="E9" s="2428"/>
      <c r="F9" s="2429"/>
      <c r="G9" s="2429"/>
      <c r="H9" s="2430"/>
      <c r="I9" s="2403" t="s">
        <v>354</v>
      </c>
      <c r="J9" s="2404"/>
      <c r="K9" s="2404"/>
      <c r="L9" s="2405"/>
      <c r="M9" s="2399" t="s">
        <v>385</v>
      </c>
      <c r="N9" s="2400"/>
      <c r="O9" s="2399" t="s">
        <v>355</v>
      </c>
      <c r="P9" s="2400"/>
      <c r="Q9" s="2394" t="s">
        <v>443</v>
      </c>
    </row>
    <row r="10" spans="1:18" s="283" customFormat="1" ht="114" customHeight="1">
      <c r="A10" s="2426"/>
      <c r="B10" s="2426"/>
      <c r="C10" s="2426"/>
      <c r="D10" s="2399" t="s">
        <v>356</v>
      </c>
      <c r="E10" s="2400"/>
      <c r="F10" s="280" t="s">
        <v>357</v>
      </c>
      <c r="G10" s="280" t="s">
        <v>358</v>
      </c>
      <c r="H10" s="281" t="s">
        <v>359</v>
      </c>
      <c r="I10" s="282" t="s">
        <v>356</v>
      </c>
      <c r="J10" s="282" t="s">
        <v>360</v>
      </c>
      <c r="K10" s="280" t="s">
        <v>358</v>
      </c>
      <c r="L10" s="281" t="s">
        <v>569</v>
      </c>
      <c r="M10" s="2401"/>
      <c r="N10" s="2402"/>
      <c r="O10" s="2401"/>
      <c r="P10" s="2402"/>
      <c r="Q10" s="2395"/>
    </row>
    <row r="11" spans="1:18" s="283" customFormat="1" ht="64.5" customHeight="1">
      <c r="A11" s="2426"/>
      <c r="B11" s="2426"/>
      <c r="C11" s="2426"/>
      <c r="D11" s="280" t="s">
        <v>361</v>
      </c>
      <c r="E11" s="280" t="s">
        <v>362</v>
      </c>
      <c r="F11" s="280" t="s">
        <v>362</v>
      </c>
      <c r="G11" s="284"/>
      <c r="H11" s="285">
        <v>0</v>
      </c>
      <c r="I11" s="282" t="s">
        <v>363</v>
      </c>
      <c r="J11" s="282" t="s">
        <v>363</v>
      </c>
      <c r="K11" s="286">
        <v>0</v>
      </c>
      <c r="L11" s="285">
        <f>-10%*0</f>
        <v>0</v>
      </c>
      <c r="M11" s="280" t="s">
        <v>386</v>
      </c>
      <c r="N11" s="280" t="s">
        <v>387</v>
      </c>
      <c r="O11" s="280" t="s">
        <v>388</v>
      </c>
      <c r="P11" s="280" t="s">
        <v>387</v>
      </c>
      <c r="Q11" s="2396"/>
    </row>
    <row r="12" spans="1:18" ht="36" customHeight="1">
      <c r="A12" s="287" t="s">
        <v>444</v>
      </c>
      <c r="B12" s="288"/>
      <c r="C12" s="288"/>
      <c r="D12" s="288"/>
      <c r="E12" s="288"/>
      <c r="F12" s="288"/>
      <c r="G12" s="288"/>
      <c r="H12" s="288"/>
      <c r="I12" s="288"/>
      <c r="J12" s="288"/>
      <c r="K12" s="288"/>
      <c r="L12" s="288"/>
      <c r="M12" s="288"/>
      <c r="N12" s="288"/>
      <c r="O12" s="288"/>
      <c r="P12" s="288"/>
      <c r="Q12" s="289"/>
    </row>
    <row r="13" spans="1:18" s="241" customFormat="1" ht="33.75" customHeight="1">
      <c r="A13" s="290" t="s">
        <v>197</v>
      </c>
      <c r="B13" s="1092" t="s">
        <v>951</v>
      </c>
      <c r="C13" s="1093" t="s">
        <v>945</v>
      </c>
      <c r="D13" s="1095"/>
      <c r="E13" s="1096">
        <f>D13*E8/10^7</f>
        <v>0</v>
      </c>
      <c r="F13" s="1097">
        <f>E13</f>
        <v>0</v>
      </c>
      <c r="G13" s="1098"/>
      <c r="H13" s="1099">
        <f>F13*$H$11</f>
        <v>0</v>
      </c>
      <c r="I13" s="1100" t="e">
        <f>#REF!/100</f>
        <v>#REF!</v>
      </c>
      <c r="J13" s="1100" t="e">
        <f>#REF!/100</f>
        <v>#REF!</v>
      </c>
      <c r="K13" s="1098" t="e">
        <f>J13*$K$11</f>
        <v>#REF!</v>
      </c>
      <c r="L13" s="1099" t="e">
        <f>-J13*$L$11*0</f>
        <v>#REF!</v>
      </c>
      <c r="M13" s="1101"/>
      <c r="N13" s="1102"/>
      <c r="O13" s="1099">
        <f>F13+G13+H13+M13</f>
        <v>0</v>
      </c>
      <c r="P13" s="1099" t="e">
        <f>J13+K13+L13+N13</f>
        <v>#REF!</v>
      </c>
      <c r="Q13" s="1099" t="e">
        <f t="shared" ref="Q13" si="0">O13+P13</f>
        <v>#REF!</v>
      </c>
    </row>
    <row r="14" spans="1:18" s="241" customFormat="1" ht="35.25" customHeight="1">
      <c r="A14" s="584" t="s">
        <v>61</v>
      </c>
      <c r="B14" s="1092" t="s">
        <v>950</v>
      </c>
      <c r="C14" s="1093" t="s">
        <v>946</v>
      </c>
      <c r="D14" s="1103"/>
      <c r="E14" s="1096"/>
      <c r="F14" s="1097"/>
      <c r="G14" s="1098"/>
      <c r="H14" s="1099"/>
      <c r="I14" s="1100" t="e">
        <f>#REF!/(100*0.9)</f>
        <v>#REF!</v>
      </c>
      <c r="J14" s="1100" t="e">
        <f>I14*0.9</f>
        <v>#REF!</v>
      </c>
      <c r="K14" s="1098" t="e">
        <f t="shared" ref="K14:K15" si="1">J14*$K$11</f>
        <v>#REF!</v>
      </c>
      <c r="L14" s="1099" t="e">
        <f t="shared" ref="L14:L15" si="2">-J14*$L$11*0</f>
        <v>#REF!</v>
      </c>
      <c r="M14" s="1101"/>
      <c r="N14" s="1102"/>
      <c r="O14" s="1099">
        <f t="shared" ref="O14" si="3">F14+G14+H14+M14</f>
        <v>0</v>
      </c>
      <c r="P14" s="1099" t="e">
        <f t="shared" ref="P14" si="4">J14+K14+L14+N14</f>
        <v>#REF!</v>
      </c>
      <c r="Q14" s="1099" t="e">
        <f>P14</f>
        <v>#REF!</v>
      </c>
    </row>
    <row r="15" spans="1:18" s="241" customFormat="1" ht="46.5" customHeight="1">
      <c r="A15" s="584" t="s">
        <v>62</v>
      </c>
      <c r="B15" s="1092" t="s">
        <v>949</v>
      </c>
      <c r="C15" s="1093" t="s">
        <v>810</v>
      </c>
      <c r="D15" s="1104"/>
      <c r="E15" s="1097"/>
      <c r="F15" s="1097"/>
      <c r="G15" s="1098"/>
      <c r="H15" s="1099"/>
      <c r="I15" s="1100" t="e">
        <f>#REF!/10^7</f>
        <v>#REF!</v>
      </c>
      <c r="J15" s="1100" t="e">
        <f>#REF!/100</f>
        <v>#REF!</v>
      </c>
      <c r="K15" s="1098" t="e">
        <f t="shared" si="1"/>
        <v>#REF!</v>
      </c>
      <c r="L15" s="1099" t="e">
        <f t="shared" si="2"/>
        <v>#REF!</v>
      </c>
      <c r="M15" s="1105"/>
      <c r="N15" s="1102"/>
      <c r="O15" s="1099">
        <f>F15+G15+H15+M15</f>
        <v>0</v>
      </c>
      <c r="P15" s="1099" t="e">
        <f>J15+K15+L15+N15</f>
        <v>#REF!</v>
      </c>
      <c r="Q15" s="1099" t="e">
        <f>P15</f>
        <v>#REF!</v>
      </c>
      <c r="R15" s="1089" t="s">
        <v>948</v>
      </c>
    </row>
    <row r="16" spans="1:18" s="241" customFormat="1" ht="32.25" customHeight="1">
      <c r="A16" s="584" t="s">
        <v>63</v>
      </c>
      <c r="B16" s="1091" t="s">
        <v>947</v>
      </c>
      <c r="C16" s="1093" t="s">
        <v>810</v>
      </c>
      <c r="D16" s="1106" t="s">
        <v>952</v>
      </c>
      <c r="E16" s="1097">
        <f>12000000*E8/10^7</f>
        <v>0</v>
      </c>
      <c r="F16" s="1097">
        <f>E16*0.9</f>
        <v>0</v>
      </c>
      <c r="G16" s="1098"/>
      <c r="H16" s="1099"/>
      <c r="I16" s="1100"/>
      <c r="J16" s="1100"/>
      <c r="K16" s="1098"/>
      <c r="L16" s="1099"/>
      <c r="M16" s="1101"/>
      <c r="N16" s="1102"/>
      <c r="O16" s="1099"/>
      <c r="P16" s="1099">
        <f>F16</f>
        <v>0</v>
      </c>
      <c r="Q16" s="1107" t="s">
        <v>790</v>
      </c>
    </row>
    <row r="17" spans="1:19" s="241" customFormat="1" ht="33" customHeight="1">
      <c r="A17" s="240" t="s">
        <v>64</v>
      </c>
      <c r="B17" s="1091" t="s">
        <v>961</v>
      </c>
      <c r="C17" s="1094" t="s">
        <v>562</v>
      </c>
      <c r="D17" s="1108"/>
      <c r="E17" s="1109"/>
      <c r="F17" s="1099"/>
      <c r="G17" s="1098"/>
      <c r="H17" s="1098"/>
      <c r="I17" s="1110"/>
      <c r="J17" s="1110"/>
      <c r="K17" s="1098"/>
      <c r="L17" s="1098"/>
      <c r="M17" s="1102"/>
      <c r="N17" s="1111" t="e">
        <f>(#REF!/100+#REF!/100-Q13-Q14-Q15)</f>
        <v>#REF!</v>
      </c>
      <c r="O17" s="1099"/>
      <c r="P17" s="1099" t="e">
        <f t="shared" ref="P17" si="5">J17+K17+L17+N17</f>
        <v>#REF!</v>
      </c>
      <c r="Q17" s="1099" t="e">
        <f t="shared" ref="Q17" si="6">O17+P17</f>
        <v>#REF!</v>
      </c>
      <c r="R17" s="241" t="s">
        <v>0</v>
      </c>
      <c r="S17" s="241" t="s">
        <v>0</v>
      </c>
    </row>
    <row r="18" spans="1:19" s="241" customFormat="1" ht="20.25" customHeight="1">
      <c r="A18" s="299"/>
      <c r="B18" s="858" t="s">
        <v>389</v>
      </c>
      <c r="C18" s="859"/>
      <c r="D18" s="1112"/>
      <c r="E18" s="1098"/>
      <c r="F18" s="1099">
        <f>SUM(F13:F13)*0</f>
        <v>0</v>
      </c>
      <c r="G18" s="1113"/>
      <c r="H18" s="1098"/>
      <c r="I18" s="1098"/>
      <c r="J18" s="1099" t="e">
        <f>SUM(J13:J13)*0</f>
        <v>#REF!</v>
      </c>
      <c r="K18" s="1114"/>
      <c r="L18" s="1098"/>
      <c r="M18" s="1098"/>
      <c r="N18" s="1098">
        <f>SUM(N13:N13)*0</f>
        <v>0</v>
      </c>
      <c r="O18" s="1115">
        <f>SUM(O13:O17)*0</f>
        <v>0</v>
      </c>
      <c r="P18" s="1116" t="e">
        <f>SUM(P13+P14+P15+P17)</f>
        <v>#REF!</v>
      </c>
      <c r="Q18" s="1115" t="e">
        <f>SUM(Q13:Q17)</f>
        <v>#REF!</v>
      </c>
      <c r="S18" s="295"/>
    </row>
    <row r="19" spans="1:19" customFormat="1" ht="20.399999999999999">
      <c r="A19" s="845" t="s">
        <v>787</v>
      </c>
      <c r="B19" s="846"/>
      <c r="C19" s="846"/>
      <c r="D19" s="846"/>
      <c r="E19" s="846"/>
      <c r="F19" s="846"/>
      <c r="G19" s="846"/>
      <c r="H19" s="846"/>
      <c r="I19" s="846"/>
      <c r="J19" s="846"/>
      <c r="K19" s="846"/>
      <c r="L19" s="846"/>
      <c r="M19" s="846"/>
      <c r="N19" s="846"/>
      <c r="O19" s="846"/>
      <c r="P19" s="846"/>
      <c r="Q19" s="847"/>
    </row>
    <row r="20" spans="1:19" customFormat="1" ht="65.25" customHeight="1">
      <c r="A20" s="848" t="s">
        <v>769</v>
      </c>
      <c r="B20" s="849" t="s">
        <v>788</v>
      </c>
      <c r="C20" s="850" t="s">
        <v>789</v>
      </c>
      <c r="D20" s="851"/>
      <c r="E20" s="852">
        <v>0</v>
      </c>
      <c r="F20" s="853"/>
      <c r="G20" s="854"/>
      <c r="H20" s="854"/>
      <c r="I20" s="853"/>
      <c r="J20" s="855">
        <v>0</v>
      </c>
      <c r="K20" s="856"/>
      <c r="L20" s="854"/>
      <c r="M20" s="854"/>
      <c r="N20" s="855"/>
      <c r="O20" s="853">
        <v>0</v>
      </c>
      <c r="P20" s="853">
        <v>0</v>
      </c>
      <c r="Q20" s="857" t="s">
        <v>790</v>
      </c>
    </row>
    <row r="21" spans="1:19" customFormat="1" ht="64.5" customHeight="1">
      <c r="A21" s="848" t="s">
        <v>770</v>
      </c>
      <c r="B21" s="849" t="s">
        <v>791</v>
      </c>
      <c r="C21" s="850" t="s">
        <v>792</v>
      </c>
      <c r="D21" s="851"/>
      <c r="E21" s="852"/>
      <c r="F21" s="853"/>
      <c r="G21" s="854"/>
      <c r="H21" s="854"/>
      <c r="I21" s="853"/>
      <c r="J21" s="855"/>
      <c r="K21" s="856"/>
      <c r="L21" s="854"/>
      <c r="M21" s="854"/>
      <c r="N21" s="855"/>
      <c r="O21" s="853"/>
      <c r="P21" s="853"/>
      <c r="Q21" s="857" t="s">
        <v>790</v>
      </c>
    </row>
    <row r="22" spans="1:19" s="241" customFormat="1" ht="20.25" customHeight="1">
      <c r="A22" s="296"/>
      <c r="B22" s="838"/>
      <c r="C22" s="839"/>
      <c r="D22" s="297"/>
      <c r="E22" s="298"/>
      <c r="F22" s="840"/>
      <c r="G22" s="841"/>
      <c r="H22" s="298"/>
      <c r="I22" s="298"/>
      <c r="J22" s="840"/>
      <c r="K22" s="842"/>
      <c r="L22" s="298"/>
      <c r="M22" s="298"/>
      <c r="N22" s="298"/>
      <c r="O22" s="843"/>
      <c r="P22" s="844"/>
      <c r="Q22" s="843"/>
      <c r="S22" s="295"/>
    </row>
    <row r="23" spans="1:19" s="241" customFormat="1" ht="18.75" customHeight="1">
      <c r="A23" s="304"/>
      <c r="B23" s="860"/>
      <c r="C23" s="307"/>
      <c r="D23" s="861"/>
      <c r="E23" s="318"/>
      <c r="F23" s="318"/>
      <c r="G23" s="318"/>
      <c r="H23" s="318"/>
      <c r="I23" s="318"/>
      <c r="J23" s="318"/>
      <c r="K23" s="318"/>
      <c r="L23" s="318"/>
      <c r="M23" s="318"/>
      <c r="N23" s="318"/>
      <c r="O23" s="318"/>
      <c r="P23" s="318"/>
      <c r="Q23" s="318"/>
      <c r="R23" s="610" t="e">
        <f>(Q13+Q14+Q15)/Q18</f>
        <v>#REF!</v>
      </c>
      <c r="S23" s="610" t="e">
        <f>Q17/Q18</f>
        <v>#REF!</v>
      </c>
    </row>
    <row r="24" spans="1:19" ht="64.5" hidden="1" customHeight="1">
      <c r="A24" s="2433" t="s">
        <v>364</v>
      </c>
      <c r="B24" s="2434"/>
      <c r="C24" s="2434"/>
      <c r="D24" s="2434"/>
      <c r="E24" s="2434"/>
      <c r="F24" s="2434"/>
      <c r="G24" s="2434"/>
      <c r="H24" s="2434"/>
      <c r="I24" s="2434"/>
      <c r="J24" s="2434"/>
      <c r="K24" s="2434"/>
      <c r="L24" s="2434"/>
      <c r="M24" s="2434"/>
      <c r="N24" s="2434"/>
      <c r="O24" s="2434"/>
      <c r="P24" s="2434"/>
      <c r="Q24" s="2435"/>
    </row>
    <row r="25" spans="1:19" s="241" customFormat="1" ht="43.5" hidden="1" customHeight="1">
      <c r="A25" s="299"/>
      <c r="B25" s="300" t="s">
        <v>390</v>
      </c>
      <c r="C25" s="301"/>
      <c r="D25" s="291"/>
      <c r="E25" s="292">
        <f>D25*$E$8/10^7</f>
        <v>0</v>
      </c>
      <c r="F25" s="294"/>
      <c r="G25" s="293"/>
      <c r="H25" s="293"/>
      <c r="I25" s="294"/>
      <c r="J25" s="1085">
        <f>I25</f>
        <v>0</v>
      </c>
      <c r="K25" s="1086"/>
      <c r="L25" s="293"/>
      <c r="M25" s="293"/>
      <c r="N25" s="302"/>
      <c r="O25" s="294">
        <f t="shared" ref="O25" si="7">F25+G25+H25+M25</f>
        <v>0</v>
      </c>
      <c r="P25" s="294">
        <f>J25+K25+L25+N25</f>
        <v>0</v>
      </c>
      <c r="Q25" s="294">
        <f t="shared" ref="Q25" si="8">O25+P25</f>
        <v>0</v>
      </c>
    </row>
    <row r="26" spans="1:19" s="241" customFormat="1" ht="21.6" thickBot="1">
      <c r="A26" s="303"/>
      <c r="D26" s="241" t="s">
        <v>365</v>
      </c>
      <c r="I26" s="304"/>
      <c r="J26" s="2397"/>
      <c r="K26" s="2397"/>
      <c r="P26" s="241" t="s">
        <v>943</v>
      </c>
    </row>
    <row r="27" spans="1:19" s="241" customFormat="1" ht="33" customHeight="1" thickBot="1">
      <c r="A27" s="305" t="s">
        <v>366</v>
      </c>
      <c r="B27" s="2431" t="s">
        <v>565</v>
      </c>
      <c r="C27" s="2431"/>
      <c r="D27" s="306" t="e">
        <f>Q18</f>
        <v>#REF!</v>
      </c>
      <c r="F27" s="2437" t="s">
        <v>944</v>
      </c>
      <c r="G27" s="2437"/>
      <c r="H27" s="2437"/>
      <c r="I27" s="2437"/>
      <c r="J27" s="2437"/>
      <c r="K27" s="2437"/>
      <c r="L27" s="2437"/>
      <c r="M27" s="2437"/>
      <c r="N27" s="2437"/>
      <c r="O27" s="2438"/>
      <c r="P27" s="306">
        <v>164.10636830242748</v>
      </c>
      <c r="Q27" s="307"/>
    </row>
    <row r="28" spans="1:19" s="241" customFormat="1" ht="24" customHeight="1">
      <c r="A28" s="308" t="s">
        <v>367</v>
      </c>
      <c r="B28" s="2432" t="s">
        <v>368</v>
      </c>
      <c r="C28" s="2432"/>
      <c r="D28" s="304"/>
      <c r="E28" s="304"/>
      <c r="F28" s="304"/>
      <c r="G28" s="304"/>
      <c r="H28" s="304"/>
      <c r="I28" s="304"/>
      <c r="J28" s="304"/>
      <c r="K28" s="304"/>
      <c r="L28" s="304"/>
      <c r="M28" s="304"/>
      <c r="N28" s="304"/>
      <c r="O28" s="304" t="s">
        <v>0</v>
      </c>
      <c r="P28" s="304"/>
      <c r="Q28" s="304"/>
    </row>
    <row r="29" spans="1:19" ht="47.25" customHeight="1">
      <c r="A29" s="1087" t="s">
        <v>937</v>
      </c>
      <c r="B29" s="2440" t="s">
        <v>960</v>
      </c>
      <c r="C29" s="2440"/>
      <c r="D29" s="2440"/>
      <c r="E29" s="2440"/>
      <c r="F29" s="2440"/>
      <c r="G29" s="2440"/>
      <c r="H29" s="2440"/>
      <c r="I29" s="2440"/>
      <c r="J29" s="2440"/>
      <c r="K29" s="2440"/>
      <c r="L29" s="2440"/>
      <c r="M29" s="2440"/>
      <c r="N29" s="2440"/>
      <c r="O29" s="2440"/>
      <c r="P29" s="2440"/>
      <c r="Q29" s="2440"/>
    </row>
    <row r="30" spans="1:19" ht="27" customHeight="1">
      <c r="A30" s="1088" t="s">
        <v>938</v>
      </c>
      <c r="B30" s="2421" t="s">
        <v>936</v>
      </c>
      <c r="C30" s="2421"/>
      <c r="D30" s="2421"/>
      <c r="E30" s="2421"/>
      <c r="F30" s="2421"/>
      <c r="G30" s="2421"/>
      <c r="H30" s="2421"/>
      <c r="I30" s="2421"/>
      <c r="J30" s="2421"/>
      <c r="K30" s="2421"/>
      <c r="L30" s="2421"/>
      <c r="M30" s="2421"/>
      <c r="N30" s="2421"/>
      <c r="O30" s="2421"/>
      <c r="P30" s="2421"/>
      <c r="Q30" s="2421"/>
    </row>
    <row r="31" spans="1:19" ht="65.25" customHeight="1">
      <c r="A31" s="1088" t="s">
        <v>939</v>
      </c>
      <c r="B31" s="2406" t="s">
        <v>962</v>
      </c>
      <c r="C31" s="2406"/>
      <c r="D31" s="2406"/>
      <c r="E31" s="2406"/>
      <c r="F31" s="2406"/>
      <c r="G31" s="2406"/>
      <c r="H31" s="2406"/>
      <c r="I31" s="2406"/>
      <c r="J31" s="2406"/>
      <c r="K31" s="2406"/>
      <c r="L31" s="2406"/>
      <c r="M31" s="2406"/>
      <c r="N31" s="2406"/>
      <c r="O31" s="2406"/>
      <c r="P31" s="2406"/>
      <c r="Q31" s="2406"/>
    </row>
    <row r="32" spans="1:19" ht="36.75" customHeight="1">
      <c r="A32" s="1088" t="s">
        <v>940</v>
      </c>
      <c r="B32" s="2406" t="s">
        <v>978</v>
      </c>
      <c r="C32" s="2406"/>
      <c r="D32" s="2406"/>
      <c r="E32" s="2406"/>
      <c r="F32" s="2406"/>
      <c r="G32" s="2406"/>
      <c r="H32" s="2406"/>
      <c r="I32" s="2406"/>
      <c r="J32" s="2406"/>
      <c r="K32" s="2406"/>
      <c r="L32" s="2406"/>
      <c r="M32" s="2406"/>
      <c r="N32" s="2406"/>
      <c r="O32" s="2406"/>
      <c r="P32" s="2406"/>
      <c r="Q32" s="2406"/>
    </row>
    <row r="33" spans="1:17" ht="45" customHeight="1">
      <c r="A33" s="1088" t="s">
        <v>941</v>
      </c>
      <c r="B33" s="2398" t="s">
        <v>972</v>
      </c>
      <c r="C33" s="2398"/>
      <c r="D33" s="2398"/>
      <c r="E33" s="2398"/>
      <c r="F33" s="2398"/>
      <c r="G33" s="2398"/>
      <c r="H33" s="2398"/>
      <c r="I33" s="2398"/>
      <c r="J33" s="2398"/>
      <c r="K33" s="2398"/>
      <c r="L33" s="2398"/>
      <c r="M33" s="2398"/>
      <c r="N33" s="2398"/>
      <c r="O33" s="2398"/>
      <c r="P33" s="2398"/>
      <c r="Q33" s="2398"/>
    </row>
    <row r="34" spans="1:17" ht="46.5" customHeight="1">
      <c r="A34" s="1088" t="s">
        <v>953</v>
      </c>
      <c r="B34" s="2398" t="s">
        <v>959</v>
      </c>
      <c r="C34" s="2398"/>
      <c r="D34" s="2398"/>
      <c r="E34" s="2398"/>
      <c r="F34" s="2398"/>
      <c r="G34" s="2398"/>
      <c r="H34" s="2398"/>
      <c r="I34" s="2398"/>
      <c r="J34" s="2398"/>
      <c r="K34" s="2398"/>
      <c r="L34" s="2398"/>
      <c r="M34" s="2398"/>
      <c r="N34" s="2398"/>
      <c r="O34" s="2398"/>
      <c r="P34" s="2398"/>
      <c r="Q34" s="2398"/>
    </row>
    <row r="35" spans="1:17" ht="48" customHeight="1">
      <c r="A35" s="1088" t="s">
        <v>954</v>
      </c>
      <c r="B35" s="2398" t="s">
        <v>963</v>
      </c>
      <c r="C35" s="2398"/>
      <c r="D35" s="2398"/>
      <c r="E35" s="2398"/>
      <c r="F35" s="2398"/>
      <c r="G35" s="2398"/>
      <c r="H35" s="2398"/>
      <c r="I35" s="2398"/>
      <c r="J35" s="2398"/>
      <c r="K35" s="2398"/>
      <c r="L35" s="2398"/>
      <c r="M35" s="2398"/>
      <c r="N35" s="2398"/>
      <c r="O35" s="2398"/>
      <c r="P35" s="2398"/>
      <c r="Q35" s="2398"/>
    </row>
    <row r="36" spans="1:17" ht="35.25" customHeight="1">
      <c r="A36" s="1088" t="s">
        <v>955</v>
      </c>
      <c r="B36" s="2398" t="s">
        <v>979</v>
      </c>
      <c r="C36" s="2398"/>
      <c r="D36" s="2398"/>
      <c r="E36" s="2398"/>
      <c r="F36" s="2398"/>
      <c r="G36" s="2398"/>
      <c r="H36" s="2398"/>
      <c r="I36" s="2398"/>
      <c r="J36" s="2398"/>
      <c r="K36" s="2398"/>
      <c r="L36" s="2398"/>
      <c r="M36" s="2398"/>
      <c r="N36" s="2398"/>
      <c r="O36" s="2398"/>
      <c r="P36" s="2398"/>
      <c r="Q36" s="2398"/>
    </row>
    <row r="37" spans="1:17" ht="42.75" customHeight="1">
      <c r="A37" s="1088" t="s">
        <v>956</v>
      </c>
      <c r="B37" s="2398" t="s">
        <v>966</v>
      </c>
      <c r="C37" s="2398"/>
      <c r="D37" s="2398"/>
      <c r="E37" s="2398"/>
      <c r="F37" s="2398"/>
      <c r="G37" s="2398"/>
      <c r="H37" s="2398"/>
      <c r="I37" s="2398"/>
      <c r="J37" s="2398"/>
      <c r="K37" s="2398"/>
      <c r="L37" s="2398"/>
      <c r="M37" s="2398"/>
      <c r="N37" s="2398"/>
      <c r="O37" s="2398"/>
      <c r="P37" s="2398"/>
      <c r="Q37" s="2398"/>
    </row>
    <row r="38" spans="1:17" ht="30" customHeight="1">
      <c r="A38" s="1088" t="s">
        <v>964</v>
      </c>
      <c r="B38" s="2420" t="s">
        <v>958</v>
      </c>
      <c r="C38" s="2420"/>
      <c r="D38" s="2420"/>
      <c r="E38" s="2420"/>
      <c r="F38" s="2420"/>
      <c r="G38" s="2420"/>
      <c r="H38" s="2420"/>
      <c r="I38" s="2420"/>
      <c r="J38" s="2420"/>
      <c r="K38" s="2420"/>
      <c r="L38" s="2420"/>
      <c r="M38" s="2420"/>
      <c r="N38" s="2420"/>
      <c r="O38" s="2420"/>
      <c r="P38" s="2420"/>
      <c r="Q38" s="2420"/>
    </row>
    <row r="39" spans="1:17" ht="27.75" customHeight="1">
      <c r="A39" s="1088" t="s">
        <v>965</v>
      </c>
      <c r="B39" s="2420" t="s">
        <v>970</v>
      </c>
      <c r="C39" s="2420"/>
      <c r="D39" s="2420"/>
      <c r="E39" s="2420"/>
      <c r="F39" s="2420"/>
      <c r="G39" s="2420"/>
      <c r="H39" s="2420"/>
      <c r="I39" s="2420"/>
      <c r="J39" s="2420"/>
      <c r="K39" s="2420"/>
      <c r="L39" s="2420"/>
      <c r="M39" s="2420"/>
      <c r="N39" s="2420"/>
      <c r="O39" s="2420"/>
      <c r="P39" s="2420"/>
      <c r="Q39" s="2420"/>
    </row>
    <row r="40" spans="1:17" ht="27.75" customHeight="1">
      <c r="A40" s="1088" t="s">
        <v>967</v>
      </c>
      <c r="B40" s="2420" t="s">
        <v>971</v>
      </c>
      <c r="C40" s="2420"/>
      <c r="D40" s="2420"/>
      <c r="E40" s="2420"/>
      <c r="F40" s="2420"/>
      <c r="G40" s="2420"/>
      <c r="H40" s="2420"/>
      <c r="I40" s="2420"/>
      <c r="J40" s="2420"/>
      <c r="K40" s="2420"/>
      <c r="L40" s="2420"/>
      <c r="M40" s="2420"/>
      <c r="N40" s="2420"/>
      <c r="O40" s="2420"/>
      <c r="P40" s="2420"/>
      <c r="Q40" s="2420"/>
    </row>
    <row r="41" spans="1:17" ht="33" customHeight="1">
      <c r="A41" s="1088" t="s">
        <v>968</v>
      </c>
      <c r="B41" s="2421" t="s">
        <v>969</v>
      </c>
      <c r="C41" s="2421"/>
      <c r="D41" s="2421"/>
      <c r="E41" s="2421"/>
      <c r="F41" s="2421"/>
      <c r="G41" s="2421"/>
      <c r="H41" s="2421"/>
      <c r="I41" s="2421"/>
      <c r="J41" s="2421"/>
      <c r="K41" s="2421"/>
      <c r="L41" s="2421"/>
      <c r="M41" s="2421"/>
      <c r="N41" s="2421"/>
      <c r="O41" s="2421"/>
      <c r="P41" s="2421"/>
      <c r="Q41" s="2421"/>
    </row>
    <row r="42" spans="1:17" ht="27.75" customHeight="1">
      <c r="A42" s="309"/>
      <c r="B42" s="2419"/>
      <c r="C42" s="2419"/>
      <c r="D42" s="2419"/>
      <c r="E42" s="2419"/>
      <c r="F42" s="2419"/>
      <c r="G42" s="2419"/>
      <c r="H42" s="2419"/>
      <c r="I42" s="2419"/>
      <c r="J42" s="2419"/>
      <c r="K42" s="2419"/>
      <c r="L42" s="2419"/>
      <c r="M42" s="2419"/>
      <c r="N42" s="2419"/>
      <c r="O42" s="2419"/>
      <c r="P42" s="2419"/>
      <c r="Q42" s="2419"/>
    </row>
    <row r="43" spans="1:17" ht="21" customHeight="1" thickBot="1">
      <c r="A43" s="279" t="s">
        <v>369</v>
      </c>
      <c r="B43" s="312" t="s">
        <v>445</v>
      </c>
      <c r="D43" s="310"/>
      <c r="E43" s="310"/>
      <c r="F43" s="310"/>
      <c r="G43" s="310"/>
      <c r="H43" s="310"/>
      <c r="I43" s="311"/>
      <c r="J43" s="311"/>
      <c r="K43" s="311"/>
      <c r="L43" s="311"/>
      <c r="M43" s="311"/>
      <c r="N43" s="311"/>
    </row>
    <row r="44" spans="1:17" s="241" customFormat="1" ht="39.75" customHeight="1" thickBot="1">
      <c r="A44" s="2422" t="s">
        <v>318</v>
      </c>
      <c r="B44" s="2422" t="s">
        <v>294</v>
      </c>
      <c r="C44" s="2407" t="s">
        <v>370</v>
      </c>
      <c r="D44" s="2436"/>
      <c r="E44" s="2408"/>
      <c r="F44" s="313" t="s">
        <v>371</v>
      </c>
      <c r="G44" s="2422" t="s">
        <v>9</v>
      </c>
      <c r="H44" s="2413" t="s">
        <v>334</v>
      </c>
      <c r="I44" s="2414"/>
    </row>
    <row r="45" spans="1:17" s="241" customFormat="1" ht="29.25" customHeight="1" thickBot="1">
      <c r="A45" s="2423"/>
      <c r="B45" s="2423"/>
      <c r="C45" s="314" t="s">
        <v>372</v>
      </c>
      <c r="D45" s="2407" t="s">
        <v>373</v>
      </c>
      <c r="E45" s="2408"/>
      <c r="F45" s="315"/>
      <c r="G45" s="2423"/>
      <c r="H45" s="2415"/>
      <c r="I45" s="2416"/>
    </row>
    <row r="46" spans="1:17" s="241" customFormat="1" ht="39.75" customHeight="1" thickBot="1">
      <c r="A46" s="316">
        <v>1</v>
      </c>
      <c r="B46" s="1090" t="s">
        <v>935</v>
      </c>
      <c r="C46" s="317">
        <f>O18</f>
        <v>0</v>
      </c>
      <c r="D46" s="2409" t="e">
        <f>Q18+#REF!/100</f>
        <v>#REF!</v>
      </c>
      <c r="E46" s="2408"/>
      <c r="F46" s="318"/>
      <c r="G46" s="319" t="e">
        <f>C46+D46+F46</f>
        <v>#REF!</v>
      </c>
      <c r="H46" s="2411" t="s">
        <v>446</v>
      </c>
      <c r="I46" s="2412"/>
    </row>
    <row r="47" spans="1:17" s="241" customFormat="1" ht="27" customHeight="1" thickBot="1">
      <c r="A47" s="320">
        <f>A46+1</f>
        <v>2</v>
      </c>
      <c r="B47" s="321" t="s">
        <v>374</v>
      </c>
      <c r="C47" s="322"/>
      <c r="D47" s="2409">
        <f>CC!K120</f>
        <v>0.57319367130434795</v>
      </c>
      <c r="E47" s="2410"/>
      <c r="F47" s="323">
        <f>(D47+C47)*$F$45</f>
        <v>0</v>
      </c>
      <c r="G47" s="319">
        <f>C47+D47+F47</f>
        <v>0.57319367130434795</v>
      </c>
      <c r="H47" s="2417" t="s">
        <v>922</v>
      </c>
      <c r="I47" s="2418"/>
    </row>
    <row r="48" spans="1:17" s="241" customFormat="1" ht="27" customHeight="1" thickBot="1">
      <c r="A48" s="320">
        <f t="shared" ref="A48:A58" si="9">A47+1</f>
        <v>3</v>
      </c>
      <c r="B48" s="321" t="s">
        <v>333</v>
      </c>
      <c r="C48" s="322">
        <f>CC!H120</f>
        <v>0</v>
      </c>
      <c r="D48" s="2409">
        <f>CC!G120-CC!H120</f>
        <v>2.4580000000000002</v>
      </c>
      <c r="E48" s="2410"/>
      <c r="F48" s="323">
        <f t="shared" ref="F48:F57" si="10">(D48+C48)*$F$45</f>
        <v>0</v>
      </c>
      <c r="G48" s="319">
        <f t="shared" ref="G48:G59" si="11">C48+D48+F48</f>
        <v>2.4580000000000002</v>
      </c>
      <c r="H48" s="2407"/>
      <c r="I48" s="2408"/>
    </row>
    <row r="49" spans="1:16" s="241" customFormat="1" ht="24.75" customHeight="1" thickBot="1">
      <c r="A49" s="320">
        <f t="shared" si="9"/>
        <v>4</v>
      </c>
      <c r="B49" s="321" t="s">
        <v>375</v>
      </c>
      <c r="C49" s="317">
        <f>CC!J120</f>
        <v>0</v>
      </c>
      <c r="D49" s="2409">
        <f>CC!I120-CC!J120</f>
        <v>0</v>
      </c>
      <c r="E49" s="2410"/>
      <c r="F49" s="323">
        <f t="shared" si="10"/>
        <v>0</v>
      </c>
      <c r="G49" s="319">
        <f t="shared" si="11"/>
        <v>0</v>
      </c>
      <c r="H49" s="2417" t="s">
        <v>974</v>
      </c>
      <c r="I49" s="2418"/>
    </row>
    <row r="50" spans="1:16" s="241" customFormat="1" ht="27" customHeight="1" thickBot="1">
      <c r="A50" s="320">
        <f t="shared" si="9"/>
        <v>5</v>
      </c>
      <c r="B50" s="321" t="s">
        <v>84</v>
      </c>
      <c r="C50" s="317">
        <f>CC!F120</f>
        <v>0</v>
      </c>
      <c r="D50" s="2409">
        <f>CC!E120-CC!F120</f>
        <v>0</v>
      </c>
      <c r="E50" s="2410"/>
      <c r="F50" s="323">
        <f t="shared" si="10"/>
        <v>0</v>
      </c>
      <c r="G50" s="319">
        <f t="shared" si="11"/>
        <v>0</v>
      </c>
      <c r="H50" s="2407"/>
      <c r="I50" s="2408"/>
    </row>
    <row r="51" spans="1:16" s="241" customFormat="1" ht="63" customHeight="1" thickBot="1">
      <c r="A51" s="320">
        <f t="shared" si="9"/>
        <v>6</v>
      </c>
      <c r="B51" s="321" t="s">
        <v>376</v>
      </c>
      <c r="C51" s="322"/>
      <c r="D51" s="2454">
        <f>CC!L120</f>
        <v>6.1703419027975004</v>
      </c>
      <c r="E51" s="2455"/>
      <c r="F51" s="323">
        <f t="shared" si="10"/>
        <v>0</v>
      </c>
      <c r="G51" s="319">
        <f t="shared" si="11"/>
        <v>6.1703419027975004</v>
      </c>
      <c r="H51" s="2449" t="s">
        <v>977</v>
      </c>
      <c r="I51" s="2450"/>
    </row>
    <row r="52" spans="1:16" s="241" customFormat="1" ht="67.5" customHeight="1" thickBot="1">
      <c r="A52" s="320">
        <f t="shared" si="9"/>
        <v>7</v>
      </c>
      <c r="B52" s="324" t="s">
        <v>391</v>
      </c>
      <c r="C52" s="317">
        <f>CC!W21</f>
        <v>0</v>
      </c>
      <c r="D52" s="2409">
        <f>CC!X21+CC!Y21</f>
        <v>3.2133913573060768</v>
      </c>
      <c r="E52" s="2410"/>
      <c r="F52" s="323">
        <f t="shared" si="10"/>
        <v>0</v>
      </c>
      <c r="G52" s="319">
        <f t="shared" si="11"/>
        <v>3.2133913573060768</v>
      </c>
      <c r="H52" s="2449" t="s">
        <v>773</v>
      </c>
      <c r="I52" s="2450"/>
    </row>
    <row r="53" spans="1:16" s="241" customFormat="1" ht="27.75" customHeight="1" thickBot="1">
      <c r="A53" s="320">
        <f t="shared" si="9"/>
        <v>8</v>
      </c>
      <c r="B53" s="1117" t="s">
        <v>392</v>
      </c>
      <c r="C53" s="317">
        <f>CC!P120+CC!R120</f>
        <v>0</v>
      </c>
      <c r="D53" s="2409">
        <f>CC!O120+CC!Q120-CC!P120-CC!R120</f>
        <v>9.1527767279614878</v>
      </c>
      <c r="E53" s="2410"/>
      <c r="F53" s="323">
        <f t="shared" si="10"/>
        <v>0</v>
      </c>
      <c r="G53" s="319">
        <f t="shared" si="11"/>
        <v>9.1527767279614878</v>
      </c>
      <c r="H53" s="2407"/>
      <c r="I53" s="2408"/>
    </row>
    <row r="54" spans="1:16" s="241" customFormat="1" ht="27.75" customHeight="1" thickBot="1">
      <c r="A54" s="320">
        <f t="shared" si="9"/>
        <v>9</v>
      </c>
      <c r="B54" s="321" t="s">
        <v>310</v>
      </c>
      <c r="C54" s="317">
        <f>CC!V21</f>
        <v>0</v>
      </c>
      <c r="D54" s="2452"/>
      <c r="E54" s="2453"/>
      <c r="F54" s="323">
        <f t="shared" si="10"/>
        <v>0</v>
      </c>
      <c r="G54" s="319">
        <f t="shared" si="11"/>
        <v>0</v>
      </c>
      <c r="H54" s="2417"/>
      <c r="I54" s="2418"/>
    </row>
    <row r="55" spans="1:16" s="241" customFormat="1" ht="27" customHeight="1" thickBot="1">
      <c r="A55" s="320">
        <f t="shared" si="9"/>
        <v>10</v>
      </c>
      <c r="B55" s="321" t="s">
        <v>377</v>
      </c>
      <c r="C55" s="317">
        <f>CC!AM21</f>
        <v>0</v>
      </c>
      <c r="D55" s="2452">
        <v>0</v>
      </c>
      <c r="E55" s="2453"/>
      <c r="F55" s="323">
        <f t="shared" si="10"/>
        <v>0</v>
      </c>
      <c r="G55" s="319">
        <f t="shared" si="11"/>
        <v>0</v>
      </c>
      <c r="H55" s="2417"/>
      <c r="I55" s="2418"/>
    </row>
    <row r="56" spans="1:16" s="241" customFormat="1" ht="27" customHeight="1" thickBot="1">
      <c r="A56" s="320">
        <f>A54+1</f>
        <v>10</v>
      </c>
      <c r="B56" s="321" t="s">
        <v>738</v>
      </c>
      <c r="C56" s="317"/>
      <c r="D56" s="2409">
        <f>CC!AP19</f>
        <v>0</v>
      </c>
      <c r="E56" s="2410"/>
      <c r="F56" s="323"/>
      <c r="G56" s="319">
        <f t="shared" si="11"/>
        <v>0</v>
      </c>
      <c r="H56" s="2417"/>
      <c r="I56" s="2418"/>
    </row>
    <row r="57" spans="1:16" s="241" customFormat="1" ht="27.75" customHeight="1" thickBot="1">
      <c r="A57" s="320">
        <f t="shared" si="9"/>
        <v>11</v>
      </c>
      <c r="B57" s="321" t="s">
        <v>448</v>
      </c>
      <c r="C57" s="317">
        <f>CC!V120</f>
        <v>0</v>
      </c>
      <c r="D57" s="2447">
        <f>CC!U120-CC!V120</f>
        <v>2.7605693091340955</v>
      </c>
      <c r="E57" s="2448"/>
      <c r="F57" s="323">
        <f t="shared" si="10"/>
        <v>0</v>
      </c>
      <c r="G57" s="319">
        <f t="shared" si="11"/>
        <v>2.7605693091340955</v>
      </c>
      <c r="H57" s="2465" t="s">
        <v>394</v>
      </c>
      <c r="I57" s="2466"/>
    </row>
    <row r="58" spans="1:16" s="241" customFormat="1" ht="27.75" customHeight="1" thickBot="1">
      <c r="A58" s="320">
        <f t="shared" si="9"/>
        <v>12</v>
      </c>
      <c r="B58" s="321" t="s">
        <v>393</v>
      </c>
      <c r="C58" s="317"/>
      <c r="D58" s="2409">
        <f>CC!W121</f>
        <v>3.5870147460561155</v>
      </c>
      <c r="E58" s="2410"/>
      <c r="F58" s="325"/>
      <c r="G58" s="319">
        <f t="shared" si="11"/>
        <v>3.5870147460561155</v>
      </c>
      <c r="H58" s="2407"/>
      <c r="I58" s="2408"/>
    </row>
    <row r="59" spans="1:16" s="241" customFormat="1" ht="27.75" customHeight="1" thickBot="1">
      <c r="A59" s="320">
        <v>14</v>
      </c>
      <c r="B59" s="321" t="s">
        <v>438</v>
      </c>
      <c r="C59" s="321"/>
      <c r="D59" s="2409">
        <f>-CC!W123</f>
        <v>-7.5351533447995847</v>
      </c>
      <c r="E59" s="2410"/>
      <c r="F59" s="325"/>
      <c r="G59" s="319">
        <f t="shared" si="11"/>
        <v>-7.5351533447995847</v>
      </c>
      <c r="H59" s="2407"/>
      <c r="I59" s="2408"/>
    </row>
    <row r="60" spans="1:16" ht="27" customHeight="1" thickBot="1">
      <c r="A60" s="326"/>
      <c r="B60" s="327" t="s">
        <v>9</v>
      </c>
      <c r="C60" s="328">
        <f>SUM(C46:C59)</f>
        <v>0</v>
      </c>
      <c r="D60" s="2459" t="e">
        <f>SUM(D46:E59)</f>
        <v>#REF!</v>
      </c>
      <c r="E60" s="2460"/>
      <c r="F60" s="329"/>
      <c r="G60" s="330" t="e">
        <f>SUM(G46:G59)</f>
        <v>#REF!</v>
      </c>
      <c r="H60" s="2461"/>
      <c r="I60" s="2462"/>
      <c r="J60" s="311"/>
      <c r="K60" s="311"/>
      <c r="L60" s="311"/>
      <c r="M60" s="311"/>
      <c r="N60" s="311"/>
    </row>
    <row r="61" spans="1:16" ht="21" customHeight="1">
      <c r="A61" s="309"/>
      <c r="D61" s="310"/>
      <c r="E61" s="310"/>
      <c r="F61" s="310"/>
      <c r="G61" s="310"/>
      <c r="H61" s="310"/>
      <c r="I61" s="311"/>
      <c r="J61" s="311"/>
      <c r="K61" s="311"/>
      <c r="L61" s="311"/>
      <c r="M61" s="311"/>
      <c r="N61" s="311"/>
    </row>
    <row r="62" spans="1:16">
      <c r="A62" s="331" t="s">
        <v>563</v>
      </c>
      <c r="N62" s="311"/>
    </row>
    <row r="63" spans="1:16">
      <c r="A63" s="331" t="s">
        <v>957</v>
      </c>
      <c r="N63" s="311"/>
    </row>
    <row r="64" spans="1:16" ht="21.6" thickBot="1">
      <c r="A64" s="279" t="s">
        <v>973</v>
      </c>
      <c r="F64" s="275" t="s">
        <v>365</v>
      </c>
      <c r="P64" s="275" t="s">
        <v>943</v>
      </c>
    </row>
    <row r="65" spans="1:17" ht="42" customHeight="1" thickBot="1">
      <c r="A65" s="2463" t="s">
        <v>452</v>
      </c>
      <c r="B65" s="2463"/>
      <c r="C65" s="2463"/>
      <c r="D65" s="2463"/>
      <c r="E65" s="2464"/>
      <c r="F65" s="332" t="e">
        <f>G60</f>
        <v>#REF!</v>
      </c>
      <c r="I65" s="2441" t="s">
        <v>942</v>
      </c>
      <c r="J65" s="2441"/>
      <c r="K65" s="2441"/>
      <c r="L65" s="2441"/>
      <c r="M65" s="2441"/>
      <c r="N65" s="2441"/>
      <c r="O65" s="2442"/>
      <c r="P65" s="2443">
        <v>390.46164842492198</v>
      </c>
      <c r="Q65" s="2444"/>
    </row>
    <row r="66" spans="1:17">
      <c r="A66" s="241" t="s">
        <v>378</v>
      </c>
    </row>
    <row r="67" spans="1:17">
      <c r="A67" s="333"/>
    </row>
    <row r="68" spans="1:17">
      <c r="A68" s="277" t="s">
        <v>447</v>
      </c>
    </row>
    <row r="69" spans="1:17" ht="27.9" customHeight="1">
      <c r="A69" s="863" t="s">
        <v>318</v>
      </c>
      <c r="B69" s="863" t="s">
        <v>343</v>
      </c>
      <c r="C69" s="863" t="s">
        <v>344</v>
      </c>
      <c r="D69" s="2451" t="s">
        <v>345</v>
      </c>
      <c r="E69" s="2451"/>
      <c r="F69" s="2451"/>
      <c r="G69" s="2451"/>
    </row>
    <row r="70" spans="1:17" ht="45" customHeight="1">
      <c r="A70" s="585" t="s">
        <v>298</v>
      </c>
      <c r="B70" s="586" t="s">
        <v>611</v>
      </c>
      <c r="C70" s="586" t="s">
        <v>923</v>
      </c>
      <c r="D70" s="2445"/>
      <c r="E70" s="2445"/>
      <c r="F70" s="2445"/>
      <c r="G70" s="2445"/>
    </row>
    <row r="71" spans="1:17" ht="41.25" customHeight="1">
      <c r="A71" s="585" t="s">
        <v>346</v>
      </c>
      <c r="B71" s="586" t="s">
        <v>926</v>
      </c>
      <c r="C71" s="586" t="s">
        <v>927</v>
      </c>
      <c r="D71" s="2445"/>
      <c r="E71" s="2445"/>
      <c r="F71" s="2445"/>
      <c r="G71" s="2445"/>
    </row>
    <row r="72" spans="1:17" ht="41.25" customHeight="1">
      <c r="A72" s="585" t="s">
        <v>347</v>
      </c>
      <c r="B72" s="586" t="s">
        <v>975</v>
      </c>
      <c r="C72" s="586" t="s">
        <v>976</v>
      </c>
      <c r="D72" s="2456"/>
      <c r="E72" s="2457"/>
      <c r="F72" s="2457"/>
      <c r="G72" s="2458"/>
    </row>
    <row r="73" spans="1:17" ht="41.25" customHeight="1">
      <c r="A73" s="585" t="s">
        <v>348</v>
      </c>
      <c r="B73" s="586" t="s">
        <v>928</v>
      </c>
      <c r="C73" s="586" t="s">
        <v>929</v>
      </c>
      <c r="D73" s="2445"/>
      <c r="E73" s="2445"/>
      <c r="F73" s="2445"/>
      <c r="G73" s="2445"/>
    </row>
    <row r="74" spans="1:17" ht="41.25" customHeight="1">
      <c r="A74" s="585" t="s">
        <v>78</v>
      </c>
      <c r="B74" s="586" t="s">
        <v>747</v>
      </c>
      <c r="C74" s="586" t="s">
        <v>924</v>
      </c>
      <c r="D74" s="2445"/>
      <c r="E74" s="2445"/>
      <c r="F74" s="2445"/>
      <c r="G74" s="2445"/>
    </row>
    <row r="75" spans="1:17" ht="36.75" customHeight="1">
      <c r="A75" s="587" t="s">
        <v>349</v>
      </c>
      <c r="B75" s="586" t="s">
        <v>567</v>
      </c>
      <c r="C75" s="586" t="s">
        <v>798</v>
      </c>
      <c r="D75" s="2445"/>
      <c r="E75" s="2445"/>
      <c r="F75" s="2445"/>
      <c r="G75" s="2445"/>
    </row>
    <row r="76" spans="1:17" ht="33.75" customHeight="1">
      <c r="A76" s="587" t="s">
        <v>350</v>
      </c>
      <c r="B76" s="586" t="s">
        <v>930</v>
      </c>
      <c r="C76" s="586" t="s">
        <v>931</v>
      </c>
      <c r="D76" s="2446"/>
      <c r="E76" s="2446"/>
      <c r="F76" s="2446"/>
      <c r="G76" s="2446"/>
    </row>
    <row r="77" spans="1:17" ht="32.25" customHeight="1">
      <c r="A77" s="587" t="s">
        <v>570</v>
      </c>
      <c r="B77" s="586" t="s">
        <v>932</v>
      </c>
      <c r="C77" s="586" t="s">
        <v>933</v>
      </c>
      <c r="D77" s="2446"/>
      <c r="E77" s="2446"/>
      <c r="F77" s="2446"/>
      <c r="G77" s="2446"/>
    </row>
    <row r="78" spans="1:17" ht="32.25" customHeight="1">
      <c r="A78" s="587" t="s">
        <v>799</v>
      </c>
      <c r="B78" s="586" t="s">
        <v>925</v>
      </c>
      <c r="C78" s="586" t="s">
        <v>934</v>
      </c>
      <c r="D78" s="2446"/>
      <c r="E78" s="2446"/>
      <c r="F78" s="2446"/>
      <c r="G78" s="2446"/>
    </row>
    <row r="79" spans="1:17" ht="27.75" customHeight="1">
      <c r="A79" s="587" t="s">
        <v>80</v>
      </c>
      <c r="B79" s="586" t="s">
        <v>800</v>
      </c>
      <c r="C79" s="586" t="s">
        <v>801</v>
      </c>
      <c r="D79" s="2439"/>
      <c r="E79" s="2439"/>
      <c r="F79" s="2439"/>
      <c r="G79" s="2439"/>
    </row>
    <row r="83" spans="2:2">
      <c r="B83" s="275" t="s">
        <v>737</v>
      </c>
    </row>
  </sheetData>
  <mergeCells count="79">
    <mergeCell ref="H49:I49"/>
    <mergeCell ref="H52:I52"/>
    <mergeCell ref="D72:G72"/>
    <mergeCell ref="D49:E49"/>
    <mergeCell ref="D50:E50"/>
    <mergeCell ref="D53:E53"/>
    <mergeCell ref="D70:G70"/>
    <mergeCell ref="D71:G71"/>
    <mergeCell ref="D60:E60"/>
    <mergeCell ref="D59:E59"/>
    <mergeCell ref="H60:I60"/>
    <mergeCell ref="A65:E65"/>
    <mergeCell ref="H59:I59"/>
    <mergeCell ref="H57:I57"/>
    <mergeCell ref="H53:I53"/>
    <mergeCell ref="H50:I50"/>
    <mergeCell ref="H51:I51"/>
    <mergeCell ref="D69:G69"/>
    <mergeCell ref="D54:E54"/>
    <mergeCell ref="D55:E55"/>
    <mergeCell ref="D51:E51"/>
    <mergeCell ref="H58:I58"/>
    <mergeCell ref="D58:E58"/>
    <mergeCell ref="D79:G79"/>
    <mergeCell ref="B29:Q29"/>
    <mergeCell ref="I65:O65"/>
    <mergeCell ref="P65:Q65"/>
    <mergeCell ref="D73:G73"/>
    <mergeCell ref="D74:G74"/>
    <mergeCell ref="D75:G75"/>
    <mergeCell ref="D76:G76"/>
    <mergeCell ref="D77:G77"/>
    <mergeCell ref="H56:I56"/>
    <mergeCell ref="H55:I55"/>
    <mergeCell ref="H54:I54"/>
    <mergeCell ref="D57:E57"/>
    <mergeCell ref="D56:E56"/>
    <mergeCell ref="D52:E52"/>
    <mergeCell ref="D78:G78"/>
    <mergeCell ref="A7:C7"/>
    <mergeCell ref="A9:A11"/>
    <mergeCell ref="B9:B11"/>
    <mergeCell ref="C9:C11"/>
    <mergeCell ref="A44:A45"/>
    <mergeCell ref="B44:B45"/>
    <mergeCell ref="B33:Q33"/>
    <mergeCell ref="O9:P10"/>
    <mergeCell ref="D9:H9"/>
    <mergeCell ref="D10:E10"/>
    <mergeCell ref="B27:C27"/>
    <mergeCell ref="B28:C28"/>
    <mergeCell ref="B30:Q30"/>
    <mergeCell ref="A24:Q24"/>
    <mergeCell ref="C44:E44"/>
    <mergeCell ref="F27:O27"/>
    <mergeCell ref="H48:I48"/>
    <mergeCell ref="D47:E47"/>
    <mergeCell ref="D46:E46"/>
    <mergeCell ref="H46:I46"/>
    <mergeCell ref="B35:Q35"/>
    <mergeCell ref="H44:I45"/>
    <mergeCell ref="D45:E45"/>
    <mergeCell ref="H47:I47"/>
    <mergeCell ref="B42:Q42"/>
    <mergeCell ref="B38:Q38"/>
    <mergeCell ref="B41:Q41"/>
    <mergeCell ref="B39:Q39"/>
    <mergeCell ref="B40:Q40"/>
    <mergeCell ref="G44:G45"/>
    <mergeCell ref="D48:E48"/>
    <mergeCell ref="Q9:Q11"/>
    <mergeCell ref="J26:K26"/>
    <mergeCell ref="B36:Q36"/>
    <mergeCell ref="B37:Q37"/>
    <mergeCell ref="M9:N10"/>
    <mergeCell ref="I9:L9"/>
    <mergeCell ref="B32:Q32"/>
    <mergeCell ref="B31:Q31"/>
    <mergeCell ref="B34:Q34"/>
  </mergeCells>
  <pageMargins left="0.70866141732283472" right="0.70866141732283472" top="0.74803149606299213" bottom="0.74803149606299213" header="0.31496062992125984" footer="0.31496062992125984"/>
  <pageSetup paperSize="9" scale="40" fitToHeight="2" orientation="landscape" r:id="rId1"/>
  <headerFooter>
    <oddFooter>&amp;CPage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J130"/>
  <sheetViews>
    <sheetView topLeftCell="A31" workbookViewId="0">
      <selection activeCell="G15" sqref="G15"/>
    </sheetView>
  </sheetViews>
  <sheetFormatPr defaultRowHeight="14.4"/>
  <cols>
    <col min="1" max="1" width="6.453125" style="360" customWidth="1"/>
    <col min="2" max="2" width="43.36328125" style="360" customWidth="1"/>
    <col min="3" max="3" width="11.08984375" style="360" customWidth="1"/>
    <col min="4" max="4" width="13.08984375" style="360" customWidth="1"/>
    <col min="5" max="5" width="13.90625" style="360" customWidth="1"/>
    <col min="6" max="6" width="12.453125" style="360" customWidth="1"/>
    <col min="7" max="7" width="13" style="360" customWidth="1"/>
    <col min="8" max="8" width="11" style="360" customWidth="1"/>
    <col min="9" max="9" width="9.90625" style="360" customWidth="1"/>
    <col min="10" max="10" width="11.08984375" style="360" customWidth="1"/>
    <col min="11" max="11" width="9.453125" style="360" customWidth="1"/>
    <col min="12" max="12" width="9.54296875" style="360" customWidth="1"/>
    <col min="13" max="13" width="10.81640625" style="360" customWidth="1"/>
    <col min="14" max="14" width="6.54296875" style="360" customWidth="1"/>
    <col min="15" max="15" width="7.54296875" style="360" customWidth="1"/>
    <col min="16" max="16" width="10.08984375" style="360" customWidth="1"/>
    <col min="17" max="17" width="9.453125" style="360" customWidth="1"/>
    <col min="18" max="18" width="11" style="360" customWidth="1"/>
    <col min="19" max="19" width="14" style="360" customWidth="1"/>
    <col min="20" max="20" width="9.90625" style="360" customWidth="1"/>
    <col min="21" max="24" width="8.90625" style="360"/>
    <col min="25" max="25" width="15" style="360" customWidth="1"/>
    <col min="26" max="26" width="6.453125" style="360" customWidth="1"/>
    <col min="27" max="27" width="5.6328125" style="360" customWidth="1"/>
    <col min="28" max="28" width="9.08984375" style="360" customWidth="1"/>
    <col min="29" max="31" width="8.90625" style="360"/>
    <col min="32" max="32" width="11.6328125" style="360" customWidth="1"/>
    <col min="33" max="256" width="8.90625" style="360"/>
    <col min="257" max="257" width="6.453125" style="360" customWidth="1"/>
    <col min="258" max="258" width="43.36328125" style="360" customWidth="1"/>
    <col min="259" max="259" width="11.08984375" style="360" customWidth="1"/>
    <col min="260" max="260" width="13.08984375" style="360" customWidth="1"/>
    <col min="261" max="261" width="13.90625" style="360" customWidth="1"/>
    <col min="262" max="262" width="8.36328125" style="360" customWidth="1"/>
    <col min="263" max="263" width="13" style="360" customWidth="1"/>
    <col min="264" max="264" width="8.08984375" style="360" customWidth="1"/>
    <col min="265" max="265" width="7.90625" style="360" customWidth="1"/>
    <col min="266" max="266" width="11.08984375" style="360" customWidth="1"/>
    <col min="267" max="267" width="9.453125" style="360" customWidth="1"/>
    <col min="268" max="268" width="9.54296875" style="360" customWidth="1"/>
    <col min="269" max="269" width="10.81640625" style="360" customWidth="1"/>
    <col min="270" max="270" width="6.54296875" style="360" customWidth="1"/>
    <col min="271" max="271" width="7.54296875" style="360" customWidth="1"/>
    <col min="272" max="272" width="10.08984375" style="360" customWidth="1"/>
    <col min="273" max="273" width="9.453125" style="360" customWidth="1"/>
    <col min="274" max="274" width="11" style="360" customWidth="1"/>
    <col min="275" max="275" width="14" style="360" customWidth="1"/>
    <col min="276" max="276" width="9.90625" style="360" customWidth="1"/>
    <col min="277" max="280" width="8.90625" style="360"/>
    <col min="281" max="281" width="15" style="360" customWidth="1"/>
    <col min="282" max="282" width="6.453125" style="360" customWidth="1"/>
    <col min="283" max="283" width="5.6328125" style="360" customWidth="1"/>
    <col min="284" max="284" width="9.08984375" style="360" customWidth="1"/>
    <col min="285" max="287" width="8.90625" style="360"/>
    <col min="288" max="288" width="11.6328125" style="360" customWidth="1"/>
    <col min="289" max="512" width="8.90625" style="360"/>
    <col min="513" max="513" width="6.453125" style="360" customWidth="1"/>
    <col min="514" max="514" width="43.36328125" style="360" customWidth="1"/>
    <col min="515" max="515" width="11.08984375" style="360" customWidth="1"/>
    <col min="516" max="516" width="13.08984375" style="360" customWidth="1"/>
    <col min="517" max="517" width="13.90625" style="360" customWidth="1"/>
    <col min="518" max="518" width="8.36328125" style="360" customWidth="1"/>
    <col min="519" max="519" width="13" style="360" customWidth="1"/>
    <col min="520" max="520" width="8.08984375" style="360" customWidth="1"/>
    <col min="521" max="521" width="7.90625" style="360" customWidth="1"/>
    <col min="522" max="522" width="11.08984375" style="360" customWidth="1"/>
    <col min="523" max="523" width="9.453125" style="360" customWidth="1"/>
    <col min="524" max="524" width="9.54296875" style="360" customWidth="1"/>
    <col min="525" max="525" width="10.81640625" style="360" customWidth="1"/>
    <col min="526" max="526" width="6.54296875" style="360" customWidth="1"/>
    <col min="527" max="527" width="7.54296875" style="360" customWidth="1"/>
    <col min="528" max="528" width="10.08984375" style="360" customWidth="1"/>
    <col min="529" max="529" width="9.453125" style="360" customWidth="1"/>
    <col min="530" max="530" width="11" style="360" customWidth="1"/>
    <col min="531" max="531" width="14" style="360" customWidth="1"/>
    <col min="532" max="532" width="9.90625" style="360" customWidth="1"/>
    <col min="533" max="536" width="8.90625" style="360"/>
    <col min="537" max="537" width="15" style="360" customWidth="1"/>
    <col min="538" max="538" width="6.453125" style="360" customWidth="1"/>
    <col min="539" max="539" width="5.6328125" style="360" customWidth="1"/>
    <col min="540" max="540" width="9.08984375" style="360" customWidth="1"/>
    <col min="541" max="543" width="8.90625" style="360"/>
    <col min="544" max="544" width="11.6328125" style="360" customWidth="1"/>
    <col min="545" max="768" width="8.90625" style="360"/>
    <col min="769" max="769" width="6.453125" style="360" customWidth="1"/>
    <col min="770" max="770" width="43.36328125" style="360" customWidth="1"/>
    <col min="771" max="771" width="11.08984375" style="360" customWidth="1"/>
    <col min="772" max="772" width="13.08984375" style="360" customWidth="1"/>
    <col min="773" max="773" width="13.90625" style="360" customWidth="1"/>
    <col min="774" max="774" width="8.36328125" style="360" customWidth="1"/>
    <col min="775" max="775" width="13" style="360" customWidth="1"/>
    <col min="776" max="776" width="8.08984375" style="360" customWidth="1"/>
    <col min="777" max="777" width="7.90625" style="360" customWidth="1"/>
    <col min="778" max="778" width="11.08984375" style="360" customWidth="1"/>
    <col min="779" max="779" width="9.453125" style="360" customWidth="1"/>
    <col min="780" max="780" width="9.54296875" style="360" customWidth="1"/>
    <col min="781" max="781" width="10.81640625" style="360" customWidth="1"/>
    <col min="782" max="782" width="6.54296875" style="360" customWidth="1"/>
    <col min="783" max="783" width="7.54296875" style="360" customWidth="1"/>
    <col min="784" max="784" width="10.08984375" style="360" customWidth="1"/>
    <col min="785" max="785" width="9.453125" style="360" customWidth="1"/>
    <col min="786" max="786" width="11" style="360" customWidth="1"/>
    <col min="787" max="787" width="14" style="360" customWidth="1"/>
    <col min="788" max="788" width="9.90625" style="360" customWidth="1"/>
    <col min="789" max="792" width="8.90625" style="360"/>
    <col min="793" max="793" width="15" style="360" customWidth="1"/>
    <col min="794" max="794" width="6.453125" style="360" customWidth="1"/>
    <col min="795" max="795" width="5.6328125" style="360" customWidth="1"/>
    <col min="796" max="796" width="9.08984375" style="360" customWidth="1"/>
    <col min="797" max="799" width="8.90625" style="360"/>
    <col min="800" max="800" width="11.6328125" style="360" customWidth="1"/>
    <col min="801" max="1024" width="8.90625" style="360"/>
    <col min="1025" max="1025" width="6.453125" style="360" customWidth="1"/>
    <col min="1026" max="1026" width="43.36328125" style="360" customWidth="1"/>
    <col min="1027" max="1027" width="11.08984375" style="360" customWidth="1"/>
    <col min="1028" max="1028" width="13.08984375" style="360" customWidth="1"/>
    <col min="1029" max="1029" width="13.90625" style="360" customWidth="1"/>
    <col min="1030" max="1030" width="8.36328125" style="360" customWidth="1"/>
    <col min="1031" max="1031" width="13" style="360" customWidth="1"/>
    <col min="1032" max="1032" width="8.08984375" style="360" customWidth="1"/>
    <col min="1033" max="1033" width="7.90625" style="360" customWidth="1"/>
    <col min="1034" max="1034" width="11.08984375" style="360" customWidth="1"/>
    <col min="1035" max="1035" width="9.453125" style="360" customWidth="1"/>
    <col min="1036" max="1036" width="9.54296875" style="360" customWidth="1"/>
    <col min="1037" max="1037" width="10.81640625" style="360" customWidth="1"/>
    <col min="1038" max="1038" width="6.54296875" style="360" customWidth="1"/>
    <col min="1039" max="1039" width="7.54296875" style="360" customWidth="1"/>
    <col min="1040" max="1040" width="10.08984375" style="360" customWidth="1"/>
    <col min="1041" max="1041" width="9.453125" style="360" customWidth="1"/>
    <col min="1042" max="1042" width="11" style="360" customWidth="1"/>
    <col min="1043" max="1043" width="14" style="360" customWidth="1"/>
    <col min="1044" max="1044" width="9.90625" style="360" customWidth="1"/>
    <col min="1045" max="1048" width="8.90625" style="360"/>
    <col min="1049" max="1049" width="15" style="360" customWidth="1"/>
    <col min="1050" max="1050" width="6.453125" style="360" customWidth="1"/>
    <col min="1051" max="1051" width="5.6328125" style="360" customWidth="1"/>
    <col min="1052" max="1052" width="9.08984375" style="360" customWidth="1"/>
    <col min="1053" max="1055" width="8.90625" style="360"/>
    <col min="1056" max="1056" width="11.6328125" style="360" customWidth="1"/>
    <col min="1057" max="1280" width="8.90625" style="360"/>
    <col min="1281" max="1281" width="6.453125" style="360" customWidth="1"/>
    <col min="1282" max="1282" width="43.36328125" style="360" customWidth="1"/>
    <col min="1283" max="1283" width="11.08984375" style="360" customWidth="1"/>
    <col min="1284" max="1284" width="13.08984375" style="360" customWidth="1"/>
    <col min="1285" max="1285" width="13.90625" style="360" customWidth="1"/>
    <col min="1286" max="1286" width="8.36328125" style="360" customWidth="1"/>
    <col min="1287" max="1287" width="13" style="360" customWidth="1"/>
    <col min="1288" max="1288" width="8.08984375" style="360" customWidth="1"/>
    <col min="1289" max="1289" width="7.90625" style="360" customWidth="1"/>
    <col min="1290" max="1290" width="11.08984375" style="360" customWidth="1"/>
    <col min="1291" max="1291" width="9.453125" style="360" customWidth="1"/>
    <col min="1292" max="1292" width="9.54296875" style="360" customWidth="1"/>
    <col min="1293" max="1293" width="10.81640625" style="360" customWidth="1"/>
    <col min="1294" max="1294" width="6.54296875" style="360" customWidth="1"/>
    <col min="1295" max="1295" width="7.54296875" style="360" customWidth="1"/>
    <col min="1296" max="1296" width="10.08984375" style="360" customWidth="1"/>
    <col min="1297" max="1297" width="9.453125" style="360" customWidth="1"/>
    <col min="1298" max="1298" width="11" style="360" customWidth="1"/>
    <col min="1299" max="1299" width="14" style="360" customWidth="1"/>
    <col min="1300" max="1300" width="9.90625" style="360" customWidth="1"/>
    <col min="1301" max="1304" width="8.90625" style="360"/>
    <col min="1305" max="1305" width="15" style="360" customWidth="1"/>
    <col min="1306" max="1306" width="6.453125" style="360" customWidth="1"/>
    <col min="1307" max="1307" width="5.6328125" style="360" customWidth="1"/>
    <col min="1308" max="1308" width="9.08984375" style="360" customWidth="1"/>
    <col min="1309" max="1311" width="8.90625" style="360"/>
    <col min="1312" max="1312" width="11.6328125" style="360" customWidth="1"/>
    <col min="1313" max="1536" width="8.90625" style="360"/>
    <col min="1537" max="1537" width="6.453125" style="360" customWidth="1"/>
    <col min="1538" max="1538" width="43.36328125" style="360" customWidth="1"/>
    <col min="1539" max="1539" width="11.08984375" style="360" customWidth="1"/>
    <col min="1540" max="1540" width="13.08984375" style="360" customWidth="1"/>
    <col min="1541" max="1541" width="13.90625" style="360" customWidth="1"/>
    <col min="1542" max="1542" width="8.36328125" style="360" customWidth="1"/>
    <col min="1543" max="1543" width="13" style="360" customWidth="1"/>
    <col min="1544" max="1544" width="8.08984375" style="360" customWidth="1"/>
    <col min="1545" max="1545" width="7.90625" style="360" customWidth="1"/>
    <col min="1546" max="1546" width="11.08984375" style="360" customWidth="1"/>
    <col min="1547" max="1547" width="9.453125" style="360" customWidth="1"/>
    <col min="1548" max="1548" width="9.54296875" style="360" customWidth="1"/>
    <col min="1549" max="1549" width="10.81640625" style="360" customWidth="1"/>
    <col min="1550" max="1550" width="6.54296875" style="360" customWidth="1"/>
    <col min="1551" max="1551" width="7.54296875" style="360" customWidth="1"/>
    <col min="1552" max="1552" width="10.08984375" style="360" customWidth="1"/>
    <col min="1553" max="1553" width="9.453125" style="360" customWidth="1"/>
    <col min="1554" max="1554" width="11" style="360" customWidth="1"/>
    <col min="1555" max="1555" width="14" style="360" customWidth="1"/>
    <col min="1556" max="1556" width="9.90625" style="360" customWidth="1"/>
    <col min="1557" max="1560" width="8.90625" style="360"/>
    <col min="1561" max="1561" width="15" style="360" customWidth="1"/>
    <col min="1562" max="1562" width="6.453125" style="360" customWidth="1"/>
    <col min="1563" max="1563" width="5.6328125" style="360" customWidth="1"/>
    <col min="1564" max="1564" width="9.08984375" style="360" customWidth="1"/>
    <col min="1565" max="1567" width="8.90625" style="360"/>
    <col min="1568" max="1568" width="11.6328125" style="360" customWidth="1"/>
    <col min="1569" max="1792" width="8.90625" style="360"/>
    <col min="1793" max="1793" width="6.453125" style="360" customWidth="1"/>
    <col min="1794" max="1794" width="43.36328125" style="360" customWidth="1"/>
    <col min="1795" max="1795" width="11.08984375" style="360" customWidth="1"/>
    <col min="1796" max="1796" width="13.08984375" style="360" customWidth="1"/>
    <col min="1797" max="1797" width="13.90625" style="360" customWidth="1"/>
    <col min="1798" max="1798" width="8.36328125" style="360" customWidth="1"/>
    <col min="1799" max="1799" width="13" style="360" customWidth="1"/>
    <col min="1800" max="1800" width="8.08984375" style="360" customWidth="1"/>
    <col min="1801" max="1801" width="7.90625" style="360" customWidth="1"/>
    <col min="1802" max="1802" width="11.08984375" style="360" customWidth="1"/>
    <col min="1803" max="1803" width="9.453125" style="360" customWidth="1"/>
    <col min="1804" max="1804" width="9.54296875" style="360" customWidth="1"/>
    <col min="1805" max="1805" width="10.81640625" style="360" customWidth="1"/>
    <col min="1806" max="1806" width="6.54296875" style="360" customWidth="1"/>
    <col min="1807" max="1807" width="7.54296875" style="360" customWidth="1"/>
    <col min="1808" max="1808" width="10.08984375" style="360" customWidth="1"/>
    <col min="1809" max="1809" width="9.453125" style="360" customWidth="1"/>
    <col min="1810" max="1810" width="11" style="360" customWidth="1"/>
    <col min="1811" max="1811" width="14" style="360" customWidth="1"/>
    <col min="1812" max="1812" width="9.90625" style="360" customWidth="1"/>
    <col min="1813" max="1816" width="8.90625" style="360"/>
    <col min="1817" max="1817" width="15" style="360" customWidth="1"/>
    <col min="1818" max="1818" width="6.453125" style="360" customWidth="1"/>
    <col min="1819" max="1819" width="5.6328125" style="360" customWidth="1"/>
    <col min="1820" max="1820" width="9.08984375" style="360" customWidth="1"/>
    <col min="1821" max="1823" width="8.90625" style="360"/>
    <col min="1824" max="1824" width="11.6328125" style="360" customWidth="1"/>
    <col min="1825" max="2048" width="8.90625" style="360"/>
    <col min="2049" max="2049" width="6.453125" style="360" customWidth="1"/>
    <col min="2050" max="2050" width="43.36328125" style="360" customWidth="1"/>
    <col min="2051" max="2051" width="11.08984375" style="360" customWidth="1"/>
    <col min="2052" max="2052" width="13.08984375" style="360" customWidth="1"/>
    <col min="2053" max="2053" width="13.90625" style="360" customWidth="1"/>
    <col min="2054" max="2054" width="8.36328125" style="360" customWidth="1"/>
    <col min="2055" max="2055" width="13" style="360" customWidth="1"/>
    <col min="2056" max="2056" width="8.08984375" style="360" customWidth="1"/>
    <col min="2057" max="2057" width="7.90625" style="360" customWidth="1"/>
    <col min="2058" max="2058" width="11.08984375" style="360" customWidth="1"/>
    <col min="2059" max="2059" width="9.453125" style="360" customWidth="1"/>
    <col min="2060" max="2060" width="9.54296875" style="360" customWidth="1"/>
    <col min="2061" max="2061" width="10.81640625" style="360" customWidth="1"/>
    <col min="2062" max="2062" width="6.54296875" style="360" customWidth="1"/>
    <col min="2063" max="2063" width="7.54296875" style="360" customWidth="1"/>
    <col min="2064" max="2064" width="10.08984375" style="360" customWidth="1"/>
    <col min="2065" max="2065" width="9.453125" style="360" customWidth="1"/>
    <col min="2066" max="2066" width="11" style="360" customWidth="1"/>
    <col min="2067" max="2067" width="14" style="360" customWidth="1"/>
    <col min="2068" max="2068" width="9.90625" style="360" customWidth="1"/>
    <col min="2069" max="2072" width="8.90625" style="360"/>
    <col min="2073" max="2073" width="15" style="360" customWidth="1"/>
    <col min="2074" max="2074" width="6.453125" style="360" customWidth="1"/>
    <col min="2075" max="2075" width="5.6328125" style="360" customWidth="1"/>
    <col min="2076" max="2076" width="9.08984375" style="360" customWidth="1"/>
    <col min="2077" max="2079" width="8.90625" style="360"/>
    <col min="2080" max="2080" width="11.6328125" style="360" customWidth="1"/>
    <col min="2081" max="2304" width="8.90625" style="360"/>
    <col min="2305" max="2305" width="6.453125" style="360" customWidth="1"/>
    <col min="2306" max="2306" width="43.36328125" style="360" customWidth="1"/>
    <col min="2307" max="2307" width="11.08984375" style="360" customWidth="1"/>
    <col min="2308" max="2308" width="13.08984375" style="360" customWidth="1"/>
    <col min="2309" max="2309" width="13.90625" style="360" customWidth="1"/>
    <col min="2310" max="2310" width="8.36328125" style="360" customWidth="1"/>
    <col min="2311" max="2311" width="13" style="360" customWidth="1"/>
    <col min="2312" max="2312" width="8.08984375" style="360" customWidth="1"/>
    <col min="2313" max="2313" width="7.90625" style="360" customWidth="1"/>
    <col min="2314" max="2314" width="11.08984375" style="360" customWidth="1"/>
    <col min="2315" max="2315" width="9.453125" style="360" customWidth="1"/>
    <col min="2316" max="2316" width="9.54296875" style="360" customWidth="1"/>
    <col min="2317" max="2317" width="10.81640625" style="360" customWidth="1"/>
    <col min="2318" max="2318" width="6.54296875" style="360" customWidth="1"/>
    <col min="2319" max="2319" width="7.54296875" style="360" customWidth="1"/>
    <col min="2320" max="2320" width="10.08984375" style="360" customWidth="1"/>
    <col min="2321" max="2321" width="9.453125" style="360" customWidth="1"/>
    <col min="2322" max="2322" width="11" style="360" customWidth="1"/>
    <col min="2323" max="2323" width="14" style="360" customWidth="1"/>
    <col min="2324" max="2324" width="9.90625" style="360" customWidth="1"/>
    <col min="2325" max="2328" width="8.90625" style="360"/>
    <col min="2329" max="2329" width="15" style="360" customWidth="1"/>
    <col min="2330" max="2330" width="6.453125" style="360" customWidth="1"/>
    <col min="2331" max="2331" width="5.6328125" style="360" customWidth="1"/>
    <col min="2332" max="2332" width="9.08984375" style="360" customWidth="1"/>
    <col min="2333" max="2335" width="8.90625" style="360"/>
    <col min="2336" max="2336" width="11.6328125" style="360" customWidth="1"/>
    <col min="2337" max="2560" width="8.90625" style="360"/>
    <col min="2561" max="2561" width="6.453125" style="360" customWidth="1"/>
    <col min="2562" max="2562" width="43.36328125" style="360" customWidth="1"/>
    <col min="2563" max="2563" width="11.08984375" style="360" customWidth="1"/>
    <col min="2564" max="2564" width="13.08984375" style="360" customWidth="1"/>
    <col min="2565" max="2565" width="13.90625" style="360" customWidth="1"/>
    <col min="2566" max="2566" width="8.36328125" style="360" customWidth="1"/>
    <col min="2567" max="2567" width="13" style="360" customWidth="1"/>
    <col min="2568" max="2568" width="8.08984375" style="360" customWidth="1"/>
    <col min="2569" max="2569" width="7.90625" style="360" customWidth="1"/>
    <col min="2570" max="2570" width="11.08984375" style="360" customWidth="1"/>
    <col min="2571" max="2571" width="9.453125" style="360" customWidth="1"/>
    <col min="2572" max="2572" width="9.54296875" style="360" customWidth="1"/>
    <col min="2573" max="2573" width="10.81640625" style="360" customWidth="1"/>
    <col min="2574" max="2574" width="6.54296875" style="360" customWidth="1"/>
    <col min="2575" max="2575" width="7.54296875" style="360" customWidth="1"/>
    <col min="2576" max="2576" width="10.08984375" style="360" customWidth="1"/>
    <col min="2577" max="2577" width="9.453125" style="360" customWidth="1"/>
    <col min="2578" max="2578" width="11" style="360" customWidth="1"/>
    <col min="2579" max="2579" width="14" style="360" customWidth="1"/>
    <col min="2580" max="2580" width="9.90625" style="360" customWidth="1"/>
    <col min="2581" max="2584" width="8.90625" style="360"/>
    <col min="2585" max="2585" width="15" style="360" customWidth="1"/>
    <col min="2586" max="2586" width="6.453125" style="360" customWidth="1"/>
    <col min="2587" max="2587" width="5.6328125" style="360" customWidth="1"/>
    <col min="2588" max="2588" width="9.08984375" style="360" customWidth="1"/>
    <col min="2589" max="2591" width="8.90625" style="360"/>
    <col min="2592" max="2592" width="11.6328125" style="360" customWidth="1"/>
    <col min="2593" max="2816" width="8.90625" style="360"/>
    <col min="2817" max="2817" width="6.453125" style="360" customWidth="1"/>
    <col min="2818" max="2818" width="43.36328125" style="360" customWidth="1"/>
    <col min="2819" max="2819" width="11.08984375" style="360" customWidth="1"/>
    <col min="2820" max="2820" width="13.08984375" style="360" customWidth="1"/>
    <col min="2821" max="2821" width="13.90625" style="360" customWidth="1"/>
    <col min="2822" max="2822" width="8.36328125" style="360" customWidth="1"/>
    <col min="2823" max="2823" width="13" style="360" customWidth="1"/>
    <col min="2824" max="2824" width="8.08984375" style="360" customWidth="1"/>
    <col min="2825" max="2825" width="7.90625" style="360" customWidth="1"/>
    <col min="2826" max="2826" width="11.08984375" style="360" customWidth="1"/>
    <col min="2827" max="2827" width="9.453125" style="360" customWidth="1"/>
    <col min="2828" max="2828" width="9.54296875" style="360" customWidth="1"/>
    <col min="2829" max="2829" width="10.81640625" style="360" customWidth="1"/>
    <col min="2830" max="2830" width="6.54296875" style="360" customWidth="1"/>
    <col min="2831" max="2831" width="7.54296875" style="360" customWidth="1"/>
    <col min="2832" max="2832" width="10.08984375" style="360" customWidth="1"/>
    <col min="2833" max="2833" width="9.453125" style="360" customWidth="1"/>
    <col min="2834" max="2834" width="11" style="360" customWidth="1"/>
    <col min="2835" max="2835" width="14" style="360" customWidth="1"/>
    <col min="2836" max="2836" width="9.90625" style="360" customWidth="1"/>
    <col min="2837" max="2840" width="8.90625" style="360"/>
    <col min="2841" max="2841" width="15" style="360" customWidth="1"/>
    <col min="2842" max="2842" width="6.453125" style="360" customWidth="1"/>
    <col min="2843" max="2843" width="5.6328125" style="360" customWidth="1"/>
    <col min="2844" max="2844" width="9.08984375" style="360" customWidth="1"/>
    <col min="2845" max="2847" width="8.90625" style="360"/>
    <col min="2848" max="2848" width="11.6328125" style="360" customWidth="1"/>
    <col min="2849" max="3072" width="8.90625" style="360"/>
    <col min="3073" max="3073" width="6.453125" style="360" customWidth="1"/>
    <col min="3074" max="3074" width="43.36328125" style="360" customWidth="1"/>
    <col min="3075" max="3075" width="11.08984375" style="360" customWidth="1"/>
    <col min="3076" max="3076" width="13.08984375" style="360" customWidth="1"/>
    <col min="3077" max="3077" width="13.90625" style="360" customWidth="1"/>
    <col min="3078" max="3078" width="8.36328125" style="360" customWidth="1"/>
    <col min="3079" max="3079" width="13" style="360" customWidth="1"/>
    <col min="3080" max="3080" width="8.08984375" style="360" customWidth="1"/>
    <col min="3081" max="3081" width="7.90625" style="360" customWidth="1"/>
    <col min="3082" max="3082" width="11.08984375" style="360" customWidth="1"/>
    <col min="3083" max="3083" width="9.453125" style="360" customWidth="1"/>
    <col min="3084" max="3084" width="9.54296875" style="360" customWidth="1"/>
    <col min="3085" max="3085" width="10.81640625" style="360" customWidth="1"/>
    <col min="3086" max="3086" width="6.54296875" style="360" customWidth="1"/>
    <col min="3087" max="3087" width="7.54296875" style="360" customWidth="1"/>
    <col min="3088" max="3088" width="10.08984375" style="360" customWidth="1"/>
    <col min="3089" max="3089" width="9.453125" style="360" customWidth="1"/>
    <col min="3090" max="3090" width="11" style="360" customWidth="1"/>
    <col min="3091" max="3091" width="14" style="360" customWidth="1"/>
    <col min="3092" max="3092" width="9.90625" style="360" customWidth="1"/>
    <col min="3093" max="3096" width="8.90625" style="360"/>
    <col min="3097" max="3097" width="15" style="360" customWidth="1"/>
    <col min="3098" max="3098" width="6.453125" style="360" customWidth="1"/>
    <col min="3099" max="3099" width="5.6328125" style="360" customWidth="1"/>
    <col min="3100" max="3100" width="9.08984375" style="360" customWidth="1"/>
    <col min="3101" max="3103" width="8.90625" style="360"/>
    <col min="3104" max="3104" width="11.6328125" style="360" customWidth="1"/>
    <col min="3105" max="3328" width="8.90625" style="360"/>
    <col min="3329" max="3329" width="6.453125" style="360" customWidth="1"/>
    <col min="3330" max="3330" width="43.36328125" style="360" customWidth="1"/>
    <col min="3331" max="3331" width="11.08984375" style="360" customWidth="1"/>
    <col min="3332" max="3332" width="13.08984375" style="360" customWidth="1"/>
    <col min="3333" max="3333" width="13.90625" style="360" customWidth="1"/>
    <col min="3334" max="3334" width="8.36328125" style="360" customWidth="1"/>
    <col min="3335" max="3335" width="13" style="360" customWidth="1"/>
    <col min="3336" max="3336" width="8.08984375" style="360" customWidth="1"/>
    <col min="3337" max="3337" width="7.90625" style="360" customWidth="1"/>
    <col min="3338" max="3338" width="11.08984375" style="360" customWidth="1"/>
    <col min="3339" max="3339" width="9.453125" style="360" customWidth="1"/>
    <col min="3340" max="3340" width="9.54296875" style="360" customWidth="1"/>
    <col min="3341" max="3341" width="10.81640625" style="360" customWidth="1"/>
    <col min="3342" max="3342" width="6.54296875" style="360" customWidth="1"/>
    <col min="3343" max="3343" width="7.54296875" style="360" customWidth="1"/>
    <col min="3344" max="3344" width="10.08984375" style="360" customWidth="1"/>
    <col min="3345" max="3345" width="9.453125" style="360" customWidth="1"/>
    <col min="3346" max="3346" width="11" style="360" customWidth="1"/>
    <col min="3347" max="3347" width="14" style="360" customWidth="1"/>
    <col min="3348" max="3348" width="9.90625" style="360" customWidth="1"/>
    <col min="3349" max="3352" width="8.90625" style="360"/>
    <col min="3353" max="3353" width="15" style="360" customWidth="1"/>
    <col min="3354" max="3354" width="6.453125" style="360" customWidth="1"/>
    <col min="3355" max="3355" width="5.6328125" style="360" customWidth="1"/>
    <col min="3356" max="3356" width="9.08984375" style="360" customWidth="1"/>
    <col min="3357" max="3359" width="8.90625" style="360"/>
    <col min="3360" max="3360" width="11.6328125" style="360" customWidth="1"/>
    <col min="3361" max="3584" width="8.90625" style="360"/>
    <col min="3585" max="3585" width="6.453125" style="360" customWidth="1"/>
    <col min="3586" max="3586" width="43.36328125" style="360" customWidth="1"/>
    <col min="3587" max="3587" width="11.08984375" style="360" customWidth="1"/>
    <col min="3588" max="3588" width="13.08984375" style="360" customWidth="1"/>
    <col min="3589" max="3589" width="13.90625" style="360" customWidth="1"/>
    <col min="3590" max="3590" width="8.36328125" style="360" customWidth="1"/>
    <col min="3591" max="3591" width="13" style="360" customWidth="1"/>
    <col min="3592" max="3592" width="8.08984375" style="360" customWidth="1"/>
    <col min="3593" max="3593" width="7.90625" style="360" customWidth="1"/>
    <col min="3594" max="3594" width="11.08984375" style="360" customWidth="1"/>
    <col min="3595" max="3595" width="9.453125" style="360" customWidth="1"/>
    <col min="3596" max="3596" width="9.54296875" style="360" customWidth="1"/>
    <col min="3597" max="3597" width="10.81640625" style="360" customWidth="1"/>
    <col min="3598" max="3598" width="6.54296875" style="360" customWidth="1"/>
    <col min="3599" max="3599" width="7.54296875" style="360" customWidth="1"/>
    <col min="3600" max="3600" width="10.08984375" style="360" customWidth="1"/>
    <col min="3601" max="3601" width="9.453125" style="360" customWidth="1"/>
    <col min="3602" max="3602" width="11" style="360" customWidth="1"/>
    <col min="3603" max="3603" width="14" style="360" customWidth="1"/>
    <col min="3604" max="3604" width="9.90625" style="360" customWidth="1"/>
    <col min="3605" max="3608" width="8.90625" style="360"/>
    <col min="3609" max="3609" width="15" style="360" customWidth="1"/>
    <col min="3610" max="3610" width="6.453125" style="360" customWidth="1"/>
    <col min="3611" max="3611" width="5.6328125" style="360" customWidth="1"/>
    <col min="3612" max="3612" width="9.08984375" style="360" customWidth="1"/>
    <col min="3613" max="3615" width="8.90625" style="360"/>
    <col min="3616" max="3616" width="11.6328125" style="360" customWidth="1"/>
    <col min="3617" max="3840" width="8.90625" style="360"/>
    <col min="3841" max="3841" width="6.453125" style="360" customWidth="1"/>
    <col min="3842" max="3842" width="43.36328125" style="360" customWidth="1"/>
    <col min="3843" max="3843" width="11.08984375" style="360" customWidth="1"/>
    <col min="3844" max="3844" width="13.08984375" style="360" customWidth="1"/>
    <col min="3845" max="3845" width="13.90625" style="360" customWidth="1"/>
    <col min="3846" max="3846" width="8.36328125" style="360" customWidth="1"/>
    <col min="3847" max="3847" width="13" style="360" customWidth="1"/>
    <col min="3848" max="3848" width="8.08984375" style="360" customWidth="1"/>
    <col min="3849" max="3849" width="7.90625" style="360" customWidth="1"/>
    <col min="3850" max="3850" width="11.08984375" style="360" customWidth="1"/>
    <col min="3851" max="3851" width="9.453125" style="360" customWidth="1"/>
    <col min="3852" max="3852" width="9.54296875" style="360" customWidth="1"/>
    <col min="3853" max="3853" width="10.81640625" style="360" customWidth="1"/>
    <col min="3854" max="3854" width="6.54296875" style="360" customWidth="1"/>
    <col min="3855" max="3855" width="7.54296875" style="360" customWidth="1"/>
    <col min="3856" max="3856" width="10.08984375" style="360" customWidth="1"/>
    <col min="3857" max="3857" width="9.453125" style="360" customWidth="1"/>
    <col min="3858" max="3858" width="11" style="360" customWidth="1"/>
    <col min="3859" max="3859" width="14" style="360" customWidth="1"/>
    <col min="3860" max="3860" width="9.90625" style="360" customWidth="1"/>
    <col min="3861" max="3864" width="8.90625" style="360"/>
    <col min="3865" max="3865" width="15" style="360" customWidth="1"/>
    <col min="3866" max="3866" width="6.453125" style="360" customWidth="1"/>
    <col min="3867" max="3867" width="5.6328125" style="360" customWidth="1"/>
    <col min="3868" max="3868" width="9.08984375" style="360" customWidth="1"/>
    <col min="3869" max="3871" width="8.90625" style="360"/>
    <col min="3872" max="3872" width="11.6328125" style="360" customWidth="1"/>
    <col min="3873" max="4096" width="8.90625" style="360"/>
    <col min="4097" max="4097" width="6.453125" style="360" customWidth="1"/>
    <col min="4098" max="4098" width="43.36328125" style="360" customWidth="1"/>
    <col min="4099" max="4099" width="11.08984375" style="360" customWidth="1"/>
    <col min="4100" max="4100" width="13.08984375" style="360" customWidth="1"/>
    <col min="4101" max="4101" width="13.90625" style="360" customWidth="1"/>
    <col min="4102" max="4102" width="8.36328125" style="360" customWidth="1"/>
    <col min="4103" max="4103" width="13" style="360" customWidth="1"/>
    <col min="4104" max="4104" width="8.08984375" style="360" customWidth="1"/>
    <col min="4105" max="4105" width="7.90625" style="360" customWidth="1"/>
    <col min="4106" max="4106" width="11.08984375" style="360" customWidth="1"/>
    <col min="4107" max="4107" width="9.453125" style="360" customWidth="1"/>
    <col min="4108" max="4108" width="9.54296875" style="360" customWidth="1"/>
    <col min="4109" max="4109" width="10.81640625" style="360" customWidth="1"/>
    <col min="4110" max="4110" width="6.54296875" style="360" customWidth="1"/>
    <col min="4111" max="4111" width="7.54296875" style="360" customWidth="1"/>
    <col min="4112" max="4112" width="10.08984375" style="360" customWidth="1"/>
    <col min="4113" max="4113" width="9.453125" style="360" customWidth="1"/>
    <col min="4114" max="4114" width="11" style="360" customWidth="1"/>
    <col min="4115" max="4115" width="14" style="360" customWidth="1"/>
    <col min="4116" max="4116" width="9.90625" style="360" customWidth="1"/>
    <col min="4117" max="4120" width="8.90625" style="360"/>
    <col min="4121" max="4121" width="15" style="360" customWidth="1"/>
    <col min="4122" max="4122" width="6.453125" style="360" customWidth="1"/>
    <col min="4123" max="4123" width="5.6328125" style="360" customWidth="1"/>
    <col min="4124" max="4124" width="9.08984375" style="360" customWidth="1"/>
    <col min="4125" max="4127" width="8.90625" style="360"/>
    <col min="4128" max="4128" width="11.6328125" style="360" customWidth="1"/>
    <col min="4129" max="4352" width="8.90625" style="360"/>
    <col min="4353" max="4353" width="6.453125" style="360" customWidth="1"/>
    <col min="4354" max="4354" width="43.36328125" style="360" customWidth="1"/>
    <col min="4355" max="4355" width="11.08984375" style="360" customWidth="1"/>
    <col min="4356" max="4356" width="13.08984375" style="360" customWidth="1"/>
    <col min="4357" max="4357" width="13.90625" style="360" customWidth="1"/>
    <col min="4358" max="4358" width="8.36328125" style="360" customWidth="1"/>
    <col min="4359" max="4359" width="13" style="360" customWidth="1"/>
    <col min="4360" max="4360" width="8.08984375" style="360" customWidth="1"/>
    <col min="4361" max="4361" width="7.90625" style="360" customWidth="1"/>
    <col min="4362" max="4362" width="11.08984375" style="360" customWidth="1"/>
    <col min="4363" max="4363" width="9.453125" style="360" customWidth="1"/>
    <col min="4364" max="4364" width="9.54296875" style="360" customWidth="1"/>
    <col min="4365" max="4365" width="10.81640625" style="360" customWidth="1"/>
    <col min="4366" max="4366" width="6.54296875" style="360" customWidth="1"/>
    <col min="4367" max="4367" width="7.54296875" style="360" customWidth="1"/>
    <col min="4368" max="4368" width="10.08984375" style="360" customWidth="1"/>
    <col min="4369" max="4369" width="9.453125" style="360" customWidth="1"/>
    <col min="4370" max="4370" width="11" style="360" customWidth="1"/>
    <col min="4371" max="4371" width="14" style="360" customWidth="1"/>
    <col min="4372" max="4372" width="9.90625" style="360" customWidth="1"/>
    <col min="4373" max="4376" width="8.90625" style="360"/>
    <col min="4377" max="4377" width="15" style="360" customWidth="1"/>
    <col min="4378" max="4378" width="6.453125" style="360" customWidth="1"/>
    <col min="4379" max="4379" width="5.6328125" style="360" customWidth="1"/>
    <col min="4380" max="4380" width="9.08984375" style="360" customWidth="1"/>
    <col min="4381" max="4383" width="8.90625" style="360"/>
    <col min="4384" max="4384" width="11.6328125" style="360" customWidth="1"/>
    <col min="4385" max="4608" width="8.90625" style="360"/>
    <col min="4609" max="4609" width="6.453125" style="360" customWidth="1"/>
    <col min="4610" max="4610" width="43.36328125" style="360" customWidth="1"/>
    <col min="4611" max="4611" width="11.08984375" style="360" customWidth="1"/>
    <col min="4612" max="4612" width="13.08984375" style="360" customWidth="1"/>
    <col min="4613" max="4613" width="13.90625" style="360" customWidth="1"/>
    <col min="4614" max="4614" width="8.36328125" style="360" customWidth="1"/>
    <col min="4615" max="4615" width="13" style="360" customWidth="1"/>
    <col min="4616" max="4616" width="8.08984375" style="360" customWidth="1"/>
    <col min="4617" max="4617" width="7.90625" style="360" customWidth="1"/>
    <col min="4618" max="4618" width="11.08984375" style="360" customWidth="1"/>
    <col min="4619" max="4619" width="9.453125" style="360" customWidth="1"/>
    <col min="4620" max="4620" width="9.54296875" style="360" customWidth="1"/>
    <col min="4621" max="4621" width="10.81640625" style="360" customWidth="1"/>
    <col min="4622" max="4622" width="6.54296875" style="360" customWidth="1"/>
    <col min="4623" max="4623" width="7.54296875" style="360" customWidth="1"/>
    <col min="4624" max="4624" width="10.08984375" style="360" customWidth="1"/>
    <col min="4625" max="4625" width="9.453125" style="360" customWidth="1"/>
    <col min="4626" max="4626" width="11" style="360" customWidth="1"/>
    <col min="4627" max="4627" width="14" style="360" customWidth="1"/>
    <col min="4628" max="4628" width="9.90625" style="360" customWidth="1"/>
    <col min="4629" max="4632" width="8.90625" style="360"/>
    <col min="4633" max="4633" width="15" style="360" customWidth="1"/>
    <col min="4634" max="4634" width="6.453125" style="360" customWidth="1"/>
    <col min="4635" max="4635" width="5.6328125" style="360" customWidth="1"/>
    <col min="4636" max="4636" width="9.08984375" style="360" customWidth="1"/>
    <col min="4637" max="4639" width="8.90625" style="360"/>
    <col min="4640" max="4640" width="11.6328125" style="360" customWidth="1"/>
    <col min="4641" max="4864" width="8.90625" style="360"/>
    <col min="4865" max="4865" width="6.453125" style="360" customWidth="1"/>
    <col min="4866" max="4866" width="43.36328125" style="360" customWidth="1"/>
    <col min="4867" max="4867" width="11.08984375" style="360" customWidth="1"/>
    <col min="4868" max="4868" width="13.08984375" style="360" customWidth="1"/>
    <col min="4869" max="4869" width="13.90625" style="360" customWidth="1"/>
    <col min="4870" max="4870" width="8.36328125" style="360" customWidth="1"/>
    <col min="4871" max="4871" width="13" style="360" customWidth="1"/>
    <col min="4872" max="4872" width="8.08984375" style="360" customWidth="1"/>
    <col min="4873" max="4873" width="7.90625" style="360" customWidth="1"/>
    <col min="4874" max="4874" width="11.08984375" style="360" customWidth="1"/>
    <col min="4875" max="4875" width="9.453125" style="360" customWidth="1"/>
    <col min="4876" max="4876" width="9.54296875" style="360" customWidth="1"/>
    <col min="4877" max="4877" width="10.81640625" style="360" customWidth="1"/>
    <col min="4878" max="4878" width="6.54296875" style="360" customWidth="1"/>
    <col min="4879" max="4879" width="7.54296875" style="360" customWidth="1"/>
    <col min="4880" max="4880" width="10.08984375" style="360" customWidth="1"/>
    <col min="4881" max="4881" width="9.453125" style="360" customWidth="1"/>
    <col min="4882" max="4882" width="11" style="360" customWidth="1"/>
    <col min="4883" max="4883" width="14" style="360" customWidth="1"/>
    <col min="4884" max="4884" width="9.90625" style="360" customWidth="1"/>
    <col min="4885" max="4888" width="8.90625" style="360"/>
    <col min="4889" max="4889" width="15" style="360" customWidth="1"/>
    <col min="4890" max="4890" width="6.453125" style="360" customWidth="1"/>
    <col min="4891" max="4891" width="5.6328125" style="360" customWidth="1"/>
    <col min="4892" max="4892" width="9.08984375" style="360" customWidth="1"/>
    <col min="4893" max="4895" width="8.90625" style="360"/>
    <col min="4896" max="4896" width="11.6328125" style="360" customWidth="1"/>
    <col min="4897" max="5120" width="8.90625" style="360"/>
    <col min="5121" max="5121" width="6.453125" style="360" customWidth="1"/>
    <col min="5122" max="5122" width="43.36328125" style="360" customWidth="1"/>
    <col min="5123" max="5123" width="11.08984375" style="360" customWidth="1"/>
    <col min="5124" max="5124" width="13.08984375" style="360" customWidth="1"/>
    <col min="5125" max="5125" width="13.90625" style="360" customWidth="1"/>
    <col min="5126" max="5126" width="8.36328125" style="360" customWidth="1"/>
    <col min="5127" max="5127" width="13" style="360" customWidth="1"/>
    <col min="5128" max="5128" width="8.08984375" style="360" customWidth="1"/>
    <col min="5129" max="5129" width="7.90625" style="360" customWidth="1"/>
    <col min="5130" max="5130" width="11.08984375" style="360" customWidth="1"/>
    <col min="5131" max="5131" width="9.453125" style="360" customWidth="1"/>
    <col min="5132" max="5132" width="9.54296875" style="360" customWidth="1"/>
    <col min="5133" max="5133" width="10.81640625" style="360" customWidth="1"/>
    <col min="5134" max="5134" width="6.54296875" style="360" customWidth="1"/>
    <col min="5135" max="5135" width="7.54296875" style="360" customWidth="1"/>
    <col min="5136" max="5136" width="10.08984375" style="360" customWidth="1"/>
    <col min="5137" max="5137" width="9.453125" style="360" customWidth="1"/>
    <col min="5138" max="5138" width="11" style="360" customWidth="1"/>
    <col min="5139" max="5139" width="14" style="360" customWidth="1"/>
    <col min="5140" max="5140" width="9.90625" style="360" customWidth="1"/>
    <col min="5141" max="5144" width="8.90625" style="360"/>
    <col min="5145" max="5145" width="15" style="360" customWidth="1"/>
    <col min="5146" max="5146" width="6.453125" style="360" customWidth="1"/>
    <col min="5147" max="5147" width="5.6328125" style="360" customWidth="1"/>
    <col min="5148" max="5148" width="9.08984375" style="360" customWidth="1"/>
    <col min="5149" max="5151" width="8.90625" style="360"/>
    <col min="5152" max="5152" width="11.6328125" style="360" customWidth="1"/>
    <col min="5153" max="5376" width="8.90625" style="360"/>
    <col min="5377" max="5377" width="6.453125" style="360" customWidth="1"/>
    <col min="5378" max="5378" width="43.36328125" style="360" customWidth="1"/>
    <col min="5379" max="5379" width="11.08984375" style="360" customWidth="1"/>
    <col min="5380" max="5380" width="13.08984375" style="360" customWidth="1"/>
    <col min="5381" max="5381" width="13.90625" style="360" customWidth="1"/>
    <col min="5382" max="5382" width="8.36328125" style="360" customWidth="1"/>
    <col min="5383" max="5383" width="13" style="360" customWidth="1"/>
    <col min="5384" max="5384" width="8.08984375" style="360" customWidth="1"/>
    <col min="5385" max="5385" width="7.90625" style="360" customWidth="1"/>
    <col min="5386" max="5386" width="11.08984375" style="360" customWidth="1"/>
    <col min="5387" max="5387" width="9.453125" style="360" customWidth="1"/>
    <col min="5388" max="5388" width="9.54296875" style="360" customWidth="1"/>
    <col min="5389" max="5389" width="10.81640625" style="360" customWidth="1"/>
    <col min="5390" max="5390" width="6.54296875" style="360" customWidth="1"/>
    <col min="5391" max="5391" width="7.54296875" style="360" customWidth="1"/>
    <col min="5392" max="5392" width="10.08984375" style="360" customWidth="1"/>
    <col min="5393" max="5393" width="9.453125" style="360" customWidth="1"/>
    <col min="5394" max="5394" width="11" style="360" customWidth="1"/>
    <col min="5395" max="5395" width="14" style="360" customWidth="1"/>
    <col min="5396" max="5396" width="9.90625" style="360" customWidth="1"/>
    <col min="5397" max="5400" width="8.90625" style="360"/>
    <col min="5401" max="5401" width="15" style="360" customWidth="1"/>
    <col min="5402" max="5402" width="6.453125" style="360" customWidth="1"/>
    <col min="5403" max="5403" width="5.6328125" style="360" customWidth="1"/>
    <col min="5404" max="5404" width="9.08984375" style="360" customWidth="1"/>
    <col min="5405" max="5407" width="8.90625" style="360"/>
    <col min="5408" max="5408" width="11.6328125" style="360" customWidth="1"/>
    <col min="5409" max="5632" width="8.90625" style="360"/>
    <col min="5633" max="5633" width="6.453125" style="360" customWidth="1"/>
    <col min="5634" max="5634" width="43.36328125" style="360" customWidth="1"/>
    <col min="5635" max="5635" width="11.08984375" style="360" customWidth="1"/>
    <col min="5636" max="5636" width="13.08984375" style="360" customWidth="1"/>
    <col min="5637" max="5637" width="13.90625" style="360" customWidth="1"/>
    <col min="5638" max="5638" width="8.36328125" style="360" customWidth="1"/>
    <col min="5639" max="5639" width="13" style="360" customWidth="1"/>
    <col min="5640" max="5640" width="8.08984375" style="360" customWidth="1"/>
    <col min="5641" max="5641" width="7.90625" style="360" customWidth="1"/>
    <col min="5642" max="5642" width="11.08984375" style="360" customWidth="1"/>
    <col min="5643" max="5643" width="9.453125" style="360" customWidth="1"/>
    <col min="5644" max="5644" width="9.54296875" style="360" customWidth="1"/>
    <col min="5645" max="5645" width="10.81640625" style="360" customWidth="1"/>
    <col min="5646" max="5646" width="6.54296875" style="360" customWidth="1"/>
    <col min="5647" max="5647" width="7.54296875" style="360" customWidth="1"/>
    <col min="5648" max="5648" width="10.08984375" style="360" customWidth="1"/>
    <col min="5649" max="5649" width="9.453125" style="360" customWidth="1"/>
    <col min="5650" max="5650" width="11" style="360" customWidth="1"/>
    <col min="5651" max="5651" width="14" style="360" customWidth="1"/>
    <col min="5652" max="5652" width="9.90625" style="360" customWidth="1"/>
    <col min="5653" max="5656" width="8.90625" style="360"/>
    <col min="5657" max="5657" width="15" style="360" customWidth="1"/>
    <col min="5658" max="5658" width="6.453125" style="360" customWidth="1"/>
    <col min="5659" max="5659" width="5.6328125" style="360" customWidth="1"/>
    <col min="5660" max="5660" width="9.08984375" style="360" customWidth="1"/>
    <col min="5661" max="5663" width="8.90625" style="360"/>
    <col min="5664" max="5664" width="11.6328125" style="360" customWidth="1"/>
    <col min="5665" max="5888" width="8.90625" style="360"/>
    <col min="5889" max="5889" width="6.453125" style="360" customWidth="1"/>
    <col min="5890" max="5890" width="43.36328125" style="360" customWidth="1"/>
    <col min="5891" max="5891" width="11.08984375" style="360" customWidth="1"/>
    <col min="5892" max="5892" width="13.08984375" style="360" customWidth="1"/>
    <col min="5893" max="5893" width="13.90625" style="360" customWidth="1"/>
    <col min="5894" max="5894" width="8.36328125" style="360" customWidth="1"/>
    <col min="5895" max="5895" width="13" style="360" customWidth="1"/>
    <col min="5896" max="5896" width="8.08984375" style="360" customWidth="1"/>
    <col min="5897" max="5897" width="7.90625" style="360" customWidth="1"/>
    <col min="5898" max="5898" width="11.08984375" style="360" customWidth="1"/>
    <col min="5899" max="5899" width="9.453125" style="360" customWidth="1"/>
    <col min="5900" max="5900" width="9.54296875" style="360" customWidth="1"/>
    <col min="5901" max="5901" width="10.81640625" style="360" customWidth="1"/>
    <col min="5902" max="5902" width="6.54296875" style="360" customWidth="1"/>
    <col min="5903" max="5903" width="7.54296875" style="360" customWidth="1"/>
    <col min="5904" max="5904" width="10.08984375" style="360" customWidth="1"/>
    <col min="5905" max="5905" width="9.453125" style="360" customWidth="1"/>
    <col min="5906" max="5906" width="11" style="360" customWidth="1"/>
    <col min="5907" max="5907" width="14" style="360" customWidth="1"/>
    <col min="5908" max="5908" width="9.90625" style="360" customWidth="1"/>
    <col min="5909" max="5912" width="8.90625" style="360"/>
    <col min="5913" max="5913" width="15" style="360" customWidth="1"/>
    <col min="5914" max="5914" width="6.453125" style="360" customWidth="1"/>
    <col min="5915" max="5915" width="5.6328125" style="360" customWidth="1"/>
    <col min="5916" max="5916" width="9.08984375" style="360" customWidth="1"/>
    <col min="5917" max="5919" width="8.90625" style="360"/>
    <col min="5920" max="5920" width="11.6328125" style="360" customWidth="1"/>
    <col min="5921" max="6144" width="8.90625" style="360"/>
    <col min="6145" max="6145" width="6.453125" style="360" customWidth="1"/>
    <col min="6146" max="6146" width="43.36328125" style="360" customWidth="1"/>
    <col min="6147" max="6147" width="11.08984375" style="360" customWidth="1"/>
    <col min="6148" max="6148" width="13.08984375" style="360" customWidth="1"/>
    <col min="6149" max="6149" width="13.90625" style="360" customWidth="1"/>
    <col min="6150" max="6150" width="8.36328125" style="360" customWidth="1"/>
    <col min="6151" max="6151" width="13" style="360" customWidth="1"/>
    <col min="6152" max="6152" width="8.08984375" style="360" customWidth="1"/>
    <col min="6153" max="6153" width="7.90625" style="360" customWidth="1"/>
    <col min="6154" max="6154" width="11.08984375" style="360" customWidth="1"/>
    <col min="6155" max="6155" width="9.453125" style="360" customWidth="1"/>
    <col min="6156" max="6156" width="9.54296875" style="360" customWidth="1"/>
    <col min="6157" max="6157" width="10.81640625" style="360" customWidth="1"/>
    <col min="6158" max="6158" width="6.54296875" style="360" customWidth="1"/>
    <col min="6159" max="6159" width="7.54296875" style="360" customWidth="1"/>
    <col min="6160" max="6160" width="10.08984375" style="360" customWidth="1"/>
    <col min="6161" max="6161" width="9.453125" style="360" customWidth="1"/>
    <col min="6162" max="6162" width="11" style="360" customWidth="1"/>
    <col min="6163" max="6163" width="14" style="360" customWidth="1"/>
    <col min="6164" max="6164" width="9.90625" style="360" customWidth="1"/>
    <col min="6165" max="6168" width="8.90625" style="360"/>
    <col min="6169" max="6169" width="15" style="360" customWidth="1"/>
    <col min="6170" max="6170" width="6.453125" style="360" customWidth="1"/>
    <col min="6171" max="6171" width="5.6328125" style="360" customWidth="1"/>
    <col min="6172" max="6172" width="9.08984375" style="360" customWidth="1"/>
    <col min="6173" max="6175" width="8.90625" style="360"/>
    <col min="6176" max="6176" width="11.6328125" style="360" customWidth="1"/>
    <col min="6177" max="6400" width="8.90625" style="360"/>
    <col min="6401" max="6401" width="6.453125" style="360" customWidth="1"/>
    <col min="6402" max="6402" width="43.36328125" style="360" customWidth="1"/>
    <col min="6403" max="6403" width="11.08984375" style="360" customWidth="1"/>
    <col min="6404" max="6404" width="13.08984375" style="360" customWidth="1"/>
    <col min="6405" max="6405" width="13.90625" style="360" customWidth="1"/>
    <col min="6406" max="6406" width="8.36328125" style="360" customWidth="1"/>
    <col min="6407" max="6407" width="13" style="360" customWidth="1"/>
    <col min="6408" max="6408" width="8.08984375" style="360" customWidth="1"/>
    <col min="6409" max="6409" width="7.90625" style="360" customWidth="1"/>
    <col min="6410" max="6410" width="11.08984375" style="360" customWidth="1"/>
    <col min="6411" max="6411" width="9.453125" style="360" customWidth="1"/>
    <col min="6412" max="6412" width="9.54296875" style="360" customWidth="1"/>
    <col min="6413" max="6413" width="10.81640625" style="360" customWidth="1"/>
    <col min="6414" max="6414" width="6.54296875" style="360" customWidth="1"/>
    <col min="6415" max="6415" width="7.54296875" style="360" customWidth="1"/>
    <col min="6416" max="6416" width="10.08984375" style="360" customWidth="1"/>
    <col min="6417" max="6417" width="9.453125" style="360" customWidth="1"/>
    <col min="6418" max="6418" width="11" style="360" customWidth="1"/>
    <col min="6419" max="6419" width="14" style="360" customWidth="1"/>
    <col min="6420" max="6420" width="9.90625" style="360" customWidth="1"/>
    <col min="6421" max="6424" width="8.90625" style="360"/>
    <col min="6425" max="6425" width="15" style="360" customWidth="1"/>
    <col min="6426" max="6426" width="6.453125" style="360" customWidth="1"/>
    <col min="6427" max="6427" width="5.6328125" style="360" customWidth="1"/>
    <col min="6428" max="6428" width="9.08984375" style="360" customWidth="1"/>
    <col min="6429" max="6431" width="8.90625" style="360"/>
    <col min="6432" max="6432" width="11.6328125" style="360" customWidth="1"/>
    <col min="6433" max="6656" width="8.90625" style="360"/>
    <col min="6657" max="6657" width="6.453125" style="360" customWidth="1"/>
    <col min="6658" max="6658" width="43.36328125" style="360" customWidth="1"/>
    <col min="6659" max="6659" width="11.08984375" style="360" customWidth="1"/>
    <col min="6660" max="6660" width="13.08984375" style="360" customWidth="1"/>
    <col min="6661" max="6661" width="13.90625" style="360" customWidth="1"/>
    <col min="6662" max="6662" width="8.36328125" style="360" customWidth="1"/>
    <col min="6663" max="6663" width="13" style="360" customWidth="1"/>
    <col min="6664" max="6664" width="8.08984375" style="360" customWidth="1"/>
    <col min="6665" max="6665" width="7.90625" style="360" customWidth="1"/>
    <col min="6666" max="6666" width="11.08984375" style="360" customWidth="1"/>
    <col min="6667" max="6667" width="9.453125" style="360" customWidth="1"/>
    <col min="6668" max="6668" width="9.54296875" style="360" customWidth="1"/>
    <col min="6669" max="6669" width="10.81640625" style="360" customWidth="1"/>
    <col min="6670" max="6670" width="6.54296875" style="360" customWidth="1"/>
    <col min="6671" max="6671" width="7.54296875" style="360" customWidth="1"/>
    <col min="6672" max="6672" width="10.08984375" style="360" customWidth="1"/>
    <col min="6673" max="6673" width="9.453125" style="360" customWidth="1"/>
    <col min="6674" max="6674" width="11" style="360" customWidth="1"/>
    <col min="6675" max="6675" width="14" style="360" customWidth="1"/>
    <col min="6676" max="6676" width="9.90625" style="360" customWidth="1"/>
    <col min="6677" max="6680" width="8.90625" style="360"/>
    <col min="6681" max="6681" width="15" style="360" customWidth="1"/>
    <col min="6682" max="6682" width="6.453125" style="360" customWidth="1"/>
    <col min="6683" max="6683" width="5.6328125" style="360" customWidth="1"/>
    <col min="6684" max="6684" width="9.08984375" style="360" customWidth="1"/>
    <col min="6685" max="6687" width="8.90625" style="360"/>
    <col min="6688" max="6688" width="11.6328125" style="360" customWidth="1"/>
    <col min="6689" max="6912" width="8.90625" style="360"/>
    <col min="6913" max="6913" width="6.453125" style="360" customWidth="1"/>
    <col min="6914" max="6914" width="43.36328125" style="360" customWidth="1"/>
    <col min="6915" max="6915" width="11.08984375" style="360" customWidth="1"/>
    <col min="6916" max="6916" width="13.08984375" style="360" customWidth="1"/>
    <col min="6917" max="6917" width="13.90625" style="360" customWidth="1"/>
    <col min="6918" max="6918" width="8.36328125" style="360" customWidth="1"/>
    <col min="6919" max="6919" width="13" style="360" customWidth="1"/>
    <col min="6920" max="6920" width="8.08984375" style="360" customWidth="1"/>
    <col min="6921" max="6921" width="7.90625" style="360" customWidth="1"/>
    <col min="6922" max="6922" width="11.08984375" style="360" customWidth="1"/>
    <col min="6923" max="6923" width="9.453125" style="360" customWidth="1"/>
    <col min="6924" max="6924" width="9.54296875" style="360" customWidth="1"/>
    <col min="6925" max="6925" width="10.81640625" style="360" customWidth="1"/>
    <col min="6926" max="6926" width="6.54296875" style="360" customWidth="1"/>
    <col min="6927" max="6927" width="7.54296875" style="360" customWidth="1"/>
    <col min="6928" max="6928" width="10.08984375" style="360" customWidth="1"/>
    <col min="6929" max="6929" width="9.453125" style="360" customWidth="1"/>
    <col min="6930" max="6930" width="11" style="360" customWidth="1"/>
    <col min="6931" max="6931" width="14" style="360" customWidth="1"/>
    <col min="6932" max="6932" width="9.90625" style="360" customWidth="1"/>
    <col min="6933" max="6936" width="8.90625" style="360"/>
    <col min="6937" max="6937" width="15" style="360" customWidth="1"/>
    <col min="6938" max="6938" width="6.453125" style="360" customWidth="1"/>
    <col min="6939" max="6939" width="5.6328125" style="360" customWidth="1"/>
    <col min="6940" max="6940" width="9.08984375" style="360" customWidth="1"/>
    <col min="6941" max="6943" width="8.90625" style="360"/>
    <col min="6944" max="6944" width="11.6328125" style="360" customWidth="1"/>
    <col min="6945" max="7168" width="8.90625" style="360"/>
    <col min="7169" max="7169" width="6.453125" style="360" customWidth="1"/>
    <col min="7170" max="7170" width="43.36328125" style="360" customWidth="1"/>
    <col min="7171" max="7171" width="11.08984375" style="360" customWidth="1"/>
    <col min="7172" max="7172" width="13.08984375" style="360" customWidth="1"/>
    <col min="7173" max="7173" width="13.90625" style="360" customWidth="1"/>
    <col min="7174" max="7174" width="8.36328125" style="360" customWidth="1"/>
    <col min="7175" max="7175" width="13" style="360" customWidth="1"/>
    <col min="7176" max="7176" width="8.08984375" style="360" customWidth="1"/>
    <col min="7177" max="7177" width="7.90625" style="360" customWidth="1"/>
    <col min="7178" max="7178" width="11.08984375" style="360" customWidth="1"/>
    <col min="7179" max="7179" width="9.453125" style="360" customWidth="1"/>
    <col min="7180" max="7180" width="9.54296875" style="360" customWidth="1"/>
    <col min="7181" max="7181" width="10.81640625" style="360" customWidth="1"/>
    <col min="7182" max="7182" width="6.54296875" style="360" customWidth="1"/>
    <col min="7183" max="7183" width="7.54296875" style="360" customWidth="1"/>
    <col min="7184" max="7184" width="10.08984375" style="360" customWidth="1"/>
    <col min="7185" max="7185" width="9.453125" style="360" customWidth="1"/>
    <col min="7186" max="7186" width="11" style="360" customWidth="1"/>
    <col min="7187" max="7187" width="14" style="360" customWidth="1"/>
    <col min="7188" max="7188" width="9.90625" style="360" customWidth="1"/>
    <col min="7189" max="7192" width="8.90625" style="360"/>
    <col min="7193" max="7193" width="15" style="360" customWidth="1"/>
    <col min="7194" max="7194" width="6.453125" style="360" customWidth="1"/>
    <col min="7195" max="7195" width="5.6328125" style="360" customWidth="1"/>
    <col min="7196" max="7196" width="9.08984375" style="360" customWidth="1"/>
    <col min="7197" max="7199" width="8.90625" style="360"/>
    <col min="7200" max="7200" width="11.6328125" style="360" customWidth="1"/>
    <col min="7201" max="7424" width="8.90625" style="360"/>
    <col min="7425" max="7425" width="6.453125" style="360" customWidth="1"/>
    <col min="7426" max="7426" width="43.36328125" style="360" customWidth="1"/>
    <col min="7427" max="7427" width="11.08984375" style="360" customWidth="1"/>
    <col min="7428" max="7428" width="13.08984375" style="360" customWidth="1"/>
    <col min="7429" max="7429" width="13.90625" style="360" customWidth="1"/>
    <col min="7430" max="7430" width="8.36328125" style="360" customWidth="1"/>
    <col min="7431" max="7431" width="13" style="360" customWidth="1"/>
    <col min="7432" max="7432" width="8.08984375" style="360" customWidth="1"/>
    <col min="7433" max="7433" width="7.90625" style="360" customWidth="1"/>
    <col min="7434" max="7434" width="11.08984375" style="360" customWidth="1"/>
    <col min="7435" max="7435" width="9.453125" style="360" customWidth="1"/>
    <col min="7436" max="7436" width="9.54296875" style="360" customWidth="1"/>
    <col min="7437" max="7437" width="10.81640625" style="360" customWidth="1"/>
    <col min="7438" max="7438" width="6.54296875" style="360" customWidth="1"/>
    <col min="7439" max="7439" width="7.54296875" style="360" customWidth="1"/>
    <col min="7440" max="7440" width="10.08984375" style="360" customWidth="1"/>
    <col min="7441" max="7441" width="9.453125" style="360" customWidth="1"/>
    <col min="7442" max="7442" width="11" style="360" customWidth="1"/>
    <col min="7443" max="7443" width="14" style="360" customWidth="1"/>
    <col min="7444" max="7444" width="9.90625" style="360" customWidth="1"/>
    <col min="7445" max="7448" width="8.90625" style="360"/>
    <col min="7449" max="7449" width="15" style="360" customWidth="1"/>
    <col min="7450" max="7450" width="6.453125" style="360" customWidth="1"/>
    <col min="7451" max="7451" width="5.6328125" style="360" customWidth="1"/>
    <col min="7452" max="7452" width="9.08984375" style="360" customWidth="1"/>
    <col min="7453" max="7455" width="8.90625" style="360"/>
    <col min="7456" max="7456" width="11.6328125" style="360" customWidth="1"/>
    <col min="7457" max="7680" width="8.90625" style="360"/>
    <col min="7681" max="7681" width="6.453125" style="360" customWidth="1"/>
    <col min="7682" max="7682" width="43.36328125" style="360" customWidth="1"/>
    <col min="7683" max="7683" width="11.08984375" style="360" customWidth="1"/>
    <col min="7684" max="7684" width="13.08984375" style="360" customWidth="1"/>
    <col min="7685" max="7685" width="13.90625" style="360" customWidth="1"/>
    <col min="7686" max="7686" width="8.36328125" style="360" customWidth="1"/>
    <col min="7687" max="7687" width="13" style="360" customWidth="1"/>
    <col min="7688" max="7688" width="8.08984375" style="360" customWidth="1"/>
    <col min="7689" max="7689" width="7.90625" style="360" customWidth="1"/>
    <col min="7690" max="7690" width="11.08984375" style="360" customWidth="1"/>
    <col min="7691" max="7691" width="9.453125" style="360" customWidth="1"/>
    <col min="7692" max="7692" width="9.54296875" style="360" customWidth="1"/>
    <col min="7693" max="7693" width="10.81640625" style="360" customWidth="1"/>
    <col min="7694" max="7694" width="6.54296875" style="360" customWidth="1"/>
    <col min="7695" max="7695" width="7.54296875" style="360" customWidth="1"/>
    <col min="7696" max="7696" width="10.08984375" style="360" customWidth="1"/>
    <col min="7697" max="7697" width="9.453125" style="360" customWidth="1"/>
    <col min="7698" max="7698" width="11" style="360" customWidth="1"/>
    <col min="7699" max="7699" width="14" style="360" customWidth="1"/>
    <col min="7700" max="7700" width="9.90625" style="360" customWidth="1"/>
    <col min="7701" max="7704" width="8.90625" style="360"/>
    <col min="7705" max="7705" width="15" style="360" customWidth="1"/>
    <col min="7706" max="7706" width="6.453125" style="360" customWidth="1"/>
    <col min="7707" max="7707" width="5.6328125" style="360" customWidth="1"/>
    <col min="7708" max="7708" width="9.08984375" style="360" customWidth="1"/>
    <col min="7709" max="7711" width="8.90625" style="360"/>
    <col min="7712" max="7712" width="11.6328125" style="360" customWidth="1"/>
    <col min="7713" max="7936" width="8.90625" style="360"/>
    <col min="7937" max="7937" width="6.453125" style="360" customWidth="1"/>
    <col min="7938" max="7938" width="43.36328125" style="360" customWidth="1"/>
    <col min="7939" max="7939" width="11.08984375" style="360" customWidth="1"/>
    <col min="7940" max="7940" width="13.08984375" style="360" customWidth="1"/>
    <col min="7941" max="7941" width="13.90625" style="360" customWidth="1"/>
    <col min="7942" max="7942" width="8.36328125" style="360" customWidth="1"/>
    <col min="7943" max="7943" width="13" style="360" customWidth="1"/>
    <col min="7944" max="7944" width="8.08984375" style="360" customWidth="1"/>
    <col min="7945" max="7945" width="7.90625" style="360" customWidth="1"/>
    <col min="7946" max="7946" width="11.08984375" style="360" customWidth="1"/>
    <col min="7947" max="7947" width="9.453125" style="360" customWidth="1"/>
    <col min="7948" max="7948" width="9.54296875" style="360" customWidth="1"/>
    <col min="7949" max="7949" width="10.81640625" style="360" customWidth="1"/>
    <col min="7950" max="7950" width="6.54296875" style="360" customWidth="1"/>
    <col min="7951" max="7951" width="7.54296875" style="360" customWidth="1"/>
    <col min="7952" max="7952" width="10.08984375" style="360" customWidth="1"/>
    <col min="7953" max="7953" width="9.453125" style="360" customWidth="1"/>
    <col min="7954" max="7954" width="11" style="360" customWidth="1"/>
    <col min="7955" max="7955" width="14" style="360" customWidth="1"/>
    <col min="7956" max="7956" width="9.90625" style="360" customWidth="1"/>
    <col min="7957" max="7960" width="8.90625" style="360"/>
    <col min="7961" max="7961" width="15" style="360" customWidth="1"/>
    <col min="7962" max="7962" width="6.453125" style="360" customWidth="1"/>
    <col min="7963" max="7963" width="5.6328125" style="360" customWidth="1"/>
    <col min="7964" max="7964" width="9.08984375" style="360" customWidth="1"/>
    <col min="7965" max="7967" width="8.90625" style="360"/>
    <col min="7968" max="7968" width="11.6328125" style="360" customWidth="1"/>
    <col min="7969" max="8192" width="8.90625" style="360"/>
    <col min="8193" max="8193" width="6.453125" style="360" customWidth="1"/>
    <col min="8194" max="8194" width="43.36328125" style="360" customWidth="1"/>
    <col min="8195" max="8195" width="11.08984375" style="360" customWidth="1"/>
    <col min="8196" max="8196" width="13.08984375" style="360" customWidth="1"/>
    <col min="8197" max="8197" width="13.90625" style="360" customWidth="1"/>
    <col min="8198" max="8198" width="8.36328125" style="360" customWidth="1"/>
    <col min="8199" max="8199" width="13" style="360" customWidth="1"/>
    <col min="8200" max="8200" width="8.08984375" style="360" customWidth="1"/>
    <col min="8201" max="8201" width="7.90625" style="360" customWidth="1"/>
    <col min="8202" max="8202" width="11.08984375" style="360" customWidth="1"/>
    <col min="8203" max="8203" width="9.453125" style="360" customWidth="1"/>
    <col min="8204" max="8204" width="9.54296875" style="360" customWidth="1"/>
    <col min="8205" max="8205" width="10.81640625" style="360" customWidth="1"/>
    <col min="8206" max="8206" width="6.54296875" style="360" customWidth="1"/>
    <col min="8207" max="8207" width="7.54296875" style="360" customWidth="1"/>
    <col min="8208" max="8208" width="10.08984375" style="360" customWidth="1"/>
    <col min="8209" max="8209" width="9.453125" style="360" customWidth="1"/>
    <col min="8210" max="8210" width="11" style="360" customWidth="1"/>
    <col min="8211" max="8211" width="14" style="360" customWidth="1"/>
    <col min="8212" max="8212" width="9.90625" style="360" customWidth="1"/>
    <col min="8213" max="8216" width="8.90625" style="360"/>
    <col min="8217" max="8217" width="15" style="360" customWidth="1"/>
    <col min="8218" max="8218" width="6.453125" style="360" customWidth="1"/>
    <col min="8219" max="8219" width="5.6328125" style="360" customWidth="1"/>
    <col min="8220" max="8220" width="9.08984375" style="360" customWidth="1"/>
    <col min="8221" max="8223" width="8.90625" style="360"/>
    <col min="8224" max="8224" width="11.6328125" style="360" customWidth="1"/>
    <col min="8225" max="8448" width="8.90625" style="360"/>
    <col min="8449" max="8449" width="6.453125" style="360" customWidth="1"/>
    <col min="8450" max="8450" width="43.36328125" style="360" customWidth="1"/>
    <col min="8451" max="8451" width="11.08984375" style="360" customWidth="1"/>
    <col min="8452" max="8452" width="13.08984375" style="360" customWidth="1"/>
    <col min="8453" max="8453" width="13.90625" style="360" customWidth="1"/>
    <col min="8454" max="8454" width="8.36328125" style="360" customWidth="1"/>
    <col min="8455" max="8455" width="13" style="360" customWidth="1"/>
    <col min="8456" max="8456" width="8.08984375" style="360" customWidth="1"/>
    <col min="8457" max="8457" width="7.90625" style="360" customWidth="1"/>
    <col min="8458" max="8458" width="11.08984375" style="360" customWidth="1"/>
    <col min="8459" max="8459" width="9.453125" style="360" customWidth="1"/>
    <col min="8460" max="8460" width="9.54296875" style="360" customWidth="1"/>
    <col min="8461" max="8461" width="10.81640625" style="360" customWidth="1"/>
    <col min="8462" max="8462" width="6.54296875" style="360" customWidth="1"/>
    <col min="8463" max="8463" width="7.54296875" style="360" customWidth="1"/>
    <col min="8464" max="8464" width="10.08984375" style="360" customWidth="1"/>
    <col min="8465" max="8465" width="9.453125" style="360" customWidth="1"/>
    <col min="8466" max="8466" width="11" style="360" customWidth="1"/>
    <col min="8467" max="8467" width="14" style="360" customWidth="1"/>
    <col min="8468" max="8468" width="9.90625" style="360" customWidth="1"/>
    <col min="8469" max="8472" width="8.90625" style="360"/>
    <col min="8473" max="8473" width="15" style="360" customWidth="1"/>
    <col min="8474" max="8474" width="6.453125" style="360" customWidth="1"/>
    <col min="8475" max="8475" width="5.6328125" style="360" customWidth="1"/>
    <col min="8476" max="8476" width="9.08984375" style="360" customWidth="1"/>
    <col min="8477" max="8479" width="8.90625" style="360"/>
    <col min="8480" max="8480" width="11.6328125" style="360" customWidth="1"/>
    <col min="8481" max="8704" width="8.90625" style="360"/>
    <col min="8705" max="8705" width="6.453125" style="360" customWidth="1"/>
    <col min="8706" max="8706" width="43.36328125" style="360" customWidth="1"/>
    <col min="8707" max="8707" width="11.08984375" style="360" customWidth="1"/>
    <col min="8708" max="8708" width="13.08984375" style="360" customWidth="1"/>
    <col min="8709" max="8709" width="13.90625" style="360" customWidth="1"/>
    <col min="8710" max="8710" width="8.36328125" style="360" customWidth="1"/>
    <col min="8711" max="8711" width="13" style="360" customWidth="1"/>
    <col min="8712" max="8712" width="8.08984375" style="360" customWidth="1"/>
    <col min="8713" max="8713" width="7.90625" style="360" customWidth="1"/>
    <col min="8714" max="8714" width="11.08984375" style="360" customWidth="1"/>
    <col min="8715" max="8715" width="9.453125" style="360" customWidth="1"/>
    <col min="8716" max="8716" width="9.54296875" style="360" customWidth="1"/>
    <col min="8717" max="8717" width="10.81640625" style="360" customWidth="1"/>
    <col min="8718" max="8718" width="6.54296875" style="360" customWidth="1"/>
    <col min="8719" max="8719" width="7.54296875" style="360" customWidth="1"/>
    <col min="8720" max="8720" width="10.08984375" style="360" customWidth="1"/>
    <col min="8721" max="8721" width="9.453125" style="360" customWidth="1"/>
    <col min="8722" max="8722" width="11" style="360" customWidth="1"/>
    <col min="8723" max="8723" width="14" style="360" customWidth="1"/>
    <col min="8724" max="8724" width="9.90625" style="360" customWidth="1"/>
    <col min="8725" max="8728" width="8.90625" style="360"/>
    <col min="8729" max="8729" width="15" style="360" customWidth="1"/>
    <col min="8730" max="8730" width="6.453125" style="360" customWidth="1"/>
    <col min="8731" max="8731" width="5.6328125" style="360" customWidth="1"/>
    <col min="8732" max="8732" width="9.08984375" style="360" customWidth="1"/>
    <col min="8733" max="8735" width="8.90625" style="360"/>
    <col min="8736" max="8736" width="11.6328125" style="360" customWidth="1"/>
    <col min="8737" max="8960" width="8.90625" style="360"/>
    <col min="8961" max="8961" width="6.453125" style="360" customWidth="1"/>
    <col min="8962" max="8962" width="43.36328125" style="360" customWidth="1"/>
    <col min="8963" max="8963" width="11.08984375" style="360" customWidth="1"/>
    <col min="8964" max="8964" width="13.08984375" style="360" customWidth="1"/>
    <col min="8965" max="8965" width="13.90625" style="360" customWidth="1"/>
    <col min="8966" max="8966" width="8.36328125" style="360" customWidth="1"/>
    <col min="8967" max="8967" width="13" style="360" customWidth="1"/>
    <col min="8968" max="8968" width="8.08984375" style="360" customWidth="1"/>
    <col min="8969" max="8969" width="7.90625" style="360" customWidth="1"/>
    <col min="8970" max="8970" width="11.08984375" style="360" customWidth="1"/>
    <col min="8971" max="8971" width="9.453125" style="360" customWidth="1"/>
    <col min="8972" max="8972" width="9.54296875" style="360" customWidth="1"/>
    <col min="8973" max="8973" width="10.81640625" style="360" customWidth="1"/>
    <col min="8974" max="8974" width="6.54296875" style="360" customWidth="1"/>
    <col min="8975" max="8975" width="7.54296875" style="360" customWidth="1"/>
    <col min="8976" max="8976" width="10.08984375" style="360" customWidth="1"/>
    <col min="8977" max="8977" width="9.453125" style="360" customWidth="1"/>
    <col min="8978" max="8978" width="11" style="360" customWidth="1"/>
    <col min="8979" max="8979" width="14" style="360" customWidth="1"/>
    <col min="8980" max="8980" width="9.90625" style="360" customWidth="1"/>
    <col min="8981" max="8984" width="8.90625" style="360"/>
    <col min="8985" max="8985" width="15" style="360" customWidth="1"/>
    <col min="8986" max="8986" width="6.453125" style="360" customWidth="1"/>
    <col min="8987" max="8987" width="5.6328125" style="360" customWidth="1"/>
    <col min="8988" max="8988" width="9.08984375" style="360" customWidth="1"/>
    <col min="8989" max="8991" width="8.90625" style="360"/>
    <col min="8992" max="8992" width="11.6328125" style="360" customWidth="1"/>
    <col min="8993" max="9216" width="8.90625" style="360"/>
    <col min="9217" max="9217" width="6.453125" style="360" customWidth="1"/>
    <col min="9218" max="9218" width="43.36328125" style="360" customWidth="1"/>
    <col min="9219" max="9219" width="11.08984375" style="360" customWidth="1"/>
    <col min="9220" max="9220" width="13.08984375" style="360" customWidth="1"/>
    <col min="9221" max="9221" width="13.90625" style="360" customWidth="1"/>
    <col min="9222" max="9222" width="8.36328125" style="360" customWidth="1"/>
    <col min="9223" max="9223" width="13" style="360" customWidth="1"/>
    <col min="9224" max="9224" width="8.08984375" style="360" customWidth="1"/>
    <col min="9225" max="9225" width="7.90625" style="360" customWidth="1"/>
    <col min="9226" max="9226" width="11.08984375" style="360" customWidth="1"/>
    <col min="9227" max="9227" width="9.453125" style="360" customWidth="1"/>
    <col min="9228" max="9228" width="9.54296875" style="360" customWidth="1"/>
    <col min="9229" max="9229" width="10.81640625" style="360" customWidth="1"/>
    <col min="9230" max="9230" width="6.54296875" style="360" customWidth="1"/>
    <col min="9231" max="9231" width="7.54296875" style="360" customWidth="1"/>
    <col min="9232" max="9232" width="10.08984375" style="360" customWidth="1"/>
    <col min="9233" max="9233" width="9.453125" style="360" customWidth="1"/>
    <col min="9234" max="9234" width="11" style="360" customWidth="1"/>
    <col min="9235" max="9235" width="14" style="360" customWidth="1"/>
    <col min="9236" max="9236" width="9.90625" style="360" customWidth="1"/>
    <col min="9237" max="9240" width="8.90625" style="360"/>
    <col min="9241" max="9241" width="15" style="360" customWidth="1"/>
    <col min="9242" max="9242" width="6.453125" style="360" customWidth="1"/>
    <col min="9243" max="9243" width="5.6328125" style="360" customWidth="1"/>
    <col min="9244" max="9244" width="9.08984375" style="360" customWidth="1"/>
    <col min="9245" max="9247" width="8.90625" style="360"/>
    <col min="9248" max="9248" width="11.6328125" style="360" customWidth="1"/>
    <col min="9249" max="9472" width="8.90625" style="360"/>
    <col min="9473" max="9473" width="6.453125" style="360" customWidth="1"/>
    <col min="9474" max="9474" width="43.36328125" style="360" customWidth="1"/>
    <col min="9475" max="9475" width="11.08984375" style="360" customWidth="1"/>
    <col min="9476" max="9476" width="13.08984375" style="360" customWidth="1"/>
    <col min="9477" max="9477" width="13.90625" style="360" customWidth="1"/>
    <col min="9478" max="9478" width="8.36328125" style="360" customWidth="1"/>
    <col min="9479" max="9479" width="13" style="360" customWidth="1"/>
    <col min="9480" max="9480" width="8.08984375" style="360" customWidth="1"/>
    <col min="9481" max="9481" width="7.90625" style="360" customWidth="1"/>
    <col min="9482" max="9482" width="11.08984375" style="360" customWidth="1"/>
    <col min="9483" max="9483" width="9.453125" style="360" customWidth="1"/>
    <col min="9484" max="9484" width="9.54296875" style="360" customWidth="1"/>
    <col min="9485" max="9485" width="10.81640625" style="360" customWidth="1"/>
    <col min="9486" max="9486" width="6.54296875" style="360" customWidth="1"/>
    <col min="9487" max="9487" width="7.54296875" style="360" customWidth="1"/>
    <col min="9488" max="9488" width="10.08984375" style="360" customWidth="1"/>
    <col min="9489" max="9489" width="9.453125" style="360" customWidth="1"/>
    <col min="9490" max="9490" width="11" style="360" customWidth="1"/>
    <col min="9491" max="9491" width="14" style="360" customWidth="1"/>
    <col min="9492" max="9492" width="9.90625" style="360" customWidth="1"/>
    <col min="9493" max="9496" width="8.90625" style="360"/>
    <col min="9497" max="9497" width="15" style="360" customWidth="1"/>
    <col min="9498" max="9498" width="6.453125" style="360" customWidth="1"/>
    <col min="9499" max="9499" width="5.6328125" style="360" customWidth="1"/>
    <col min="9500" max="9500" width="9.08984375" style="360" customWidth="1"/>
    <col min="9501" max="9503" width="8.90625" style="360"/>
    <col min="9504" max="9504" width="11.6328125" style="360" customWidth="1"/>
    <col min="9505" max="9728" width="8.90625" style="360"/>
    <col min="9729" max="9729" width="6.453125" style="360" customWidth="1"/>
    <col min="9730" max="9730" width="43.36328125" style="360" customWidth="1"/>
    <col min="9731" max="9731" width="11.08984375" style="360" customWidth="1"/>
    <col min="9732" max="9732" width="13.08984375" style="360" customWidth="1"/>
    <col min="9733" max="9733" width="13.90625" style="360" customWidth="1"/>
    <col min="9734" max="9734" width="8.36328125" style="360" customWidth="1"/>
    <col min="9735" max="9735" width="13" style="360" customWidth="1"/>
    <col min="9736" max="9736" width="8.08984375" style="360" customWidth="1"/>
    <col min="9737" max="9737" width="7.90625" style="360" customWidth="1"/>
    <col min="9738" max="9738" width="11.08984375" style="360" customWidth="1"/>
    <col min="9739" max="9739" width="9.453125" style="360" customWidth="1"/>
    <col min="9740" max="9740" width="9.54296875" style="360" customWidth="1"/>
    <col min="9741" max="9741" width="10.81640625" style="360" customWidth="1"/>
    <col min="9742" max="9742" width="6.54296875" style="360" customWidth="1"/>
    <col min="9743" max="9743" width="7.54296875" style="360" customWidth="1"/>
    <col min="9744" max="9744" width="10.08984375" style="360" customWidth="1"/>
    <col min="9745" max="9745" width="9.453125" style="360" customWidth="1"/>
    <col min="9746" max="9746" width="11" style="360" customWidth="1"/>
    <col min="9747" max="9747" width="14" style="360" customWidth="1"/>
    <col min="9748" max="9748" width="9.90625" style="360" customWidth="1"/>
    <col min="9749" max="9752" width="8.90625" style="360"/>
    <col min="9753" max="9753" width="15" style="360" customWidth="1"/>
    <col min="9754" max="9754" width="6.453125" style="360" customWidth="1"/>
    <col min="9755" max="9755" width="5.6328125" style="360" customWidth="1"/>
    <col min="9756" max="9756" width="9.08984375" style="360" customWidth="1"/>
    <col min="9757" max="9759" width="8.90625" style="360"/>
    <col min="9760" max="9760" width="11.6328125" style="360" customWidth="1"/>
    <col min="9761" max="9984" width="8.90625" style="360"/>
    <col min="9985" max="9985" width="6.453125" style="360" customWidth="1"/>
    <col min="9986" max="9986" width="43.36328125" style="360" customWidth="1"/>
    <col min="9987" max="9987" width="11.08984375" style="360" customWidth="1"/>
    <col min="9988" max="9988" width="13.08984375" style="360" customWidth="1"/>
    <col min="9989" max="9989" width="13.90625" style="360" customWidth="1"/>
    <col min="9990" max="9990" width="8.36328125" style="360" customWidth="1"/>
    <col min="9991" max="9991" width="13" style="360" customWidth="1"/>
    <col min="9992" max="9992" width="8.08984375" style="360" customWidth="1"/>
    <col min="9993" max="9993" width="7.90625" style="360" customWidth="1"/>
    <col min="9994" max="9994" width="11.08984375" style="360" customWidth="1"/>
    <col min="9995" max="9995" width="9.453125" style="360" customWidth="1"/>
    <col min="9996" max="9996" width="9.54296875" style="360" customWidth="1"/>
    <col min="9997" max="9997" width="10.81640625" style="360" customWidth="1"/>
    <col min="9998" max="9998" width="6.54296875" style="360" customWidth="1"/>
    <col min="9999" max="9999" width="7.54296875" style="360" customWidth="1"/>
    <col min="10000" max="10000" width="10.08984375" style="360" customWidth="1"/>
    <col min="10001" max="10001" width="9.453125" style="360" customWidth="1"/>
    <col min="10002" max="10002" width="11" style="360" customWidth="1"/>
    <col min="10003" max="10003" width="14" style="360" customWidth="1"/>
    <col min="10004" max="10004" width="9.90625" style="360" customWidth="1"/>
    <col min="10005" max="10008" width="8.90625" style="360"/>
    <col min="10009" max="10009" width="15" style="360" customWidth="1"/>
    <col min="10010" max="10010" width="6.453125" style="360" customWidth="1"/>
    <col min="10011" max="10011" width="5.6328125" style="360" customWidth="1"/>
    <col min="10012" max="10012" width="9.08984375" style="360" customWidth="1"/>
    <col min="10013" max="10015" width="8.90625" style="360"/>
    <col min="10016" max="10016" width="11.6328125" style="360" customWidth="1"/>
    <col min="10017" max="10240" width="8.90625" style="360"/>
    <col min="10241" max="10241" width="6.453125" style="360" customWidth="1"/>
    <col min="10242" max="10242" width="43.36328125" style="360" customWidth="1"/>
    <col min="10243" max="10243" width="11.08984375" style="360" customWidth="1"/>
    <col min="10244" max="10244" width="13.08984375" style="360" customWidth="1"/>
    <col min="10245" max="10245" width="13.90625" style="360" customWidth="1"/>
    <col min="10246" max="10246" width="8.36328125" style="360" customWidth="1"/>
    <col min="10247" max="10247" width="13" style="360" customWidth="1"/>
    <col min="10248" max="10248" width="8.08984375" style="360" customWidth="1"/>
    <col min="10249" max="10249" width="7.90625" style="360" customWidth="1"/>
    <col min="10250" max="10250" width="11.08984375" style="360" customWidth="1"/>
    <col min="10251" max="10251" width="9.453125" style="360" customWidth="1"/>
    <col min="10252" max="10252" width="9.54296875" style="360" customWidth="1"/>
    <col min="10253" max="10253" width="10.81640625" style="360" customWidth="1"/>
    <col min="10254" max="10254" width="6.54296875" style="360" customWidth="1"/>
    <col min="10255" max="10255" width="7.54296875" style="360" customWidth="1"/>
    <col min="10256" max="10256" width="10.08984375" style="360" customWidth="1"/>
    <col min="10257" max="10257" width="9.453125" style="360" customWidth="1"/>
    <col min="10258" max="10258" width="11" style="360" customWidth="1"/>
    <col min="10259" max="10259" width="14" style="360" customWidth="1"/>
    <col min="10260" max="10260" width="9.90625" style="360" customWidth="1"/>
    <col min="10261" max="10264" width="8.90625" style="360"/>
    <col min="10265" max="10265" width="15" style="360" customWidth="1"/>
    <col min="10266" max="10266" width="6.453125" style="360" customWidth="1"/>
    <col min="10267" max="10267" width="5.6328125" style="360" customWidth="1"/>
    <col min="10268" max="10268" width="9.08984375" style="360" customWidth="1"/>
    <col min="10269" max="10271" width="8.90625" style="360"/>
    <col min="10272" max="10272" width="11.6328125" style="360" customWidth="1"/>
    <col min="10273" max="10496" width="8.90625" style="360"/>
    <col min="10497" max="10497" width="6.453125" style="360" customWidth="1"/>
    <col min="10498" max="10498" width="43.36328125" style="360" customWidth="1"/>
    <col min="10499" max="10499" width="11.08984375" style="360" customWidth="1"/>
    <col min="10500" max="10500" width="13.08984375" style="360" customWidth="1"/>
    <col min="10501" max="10501" width="13.90625" style="360" customWidth="1"/>
    <col min="10502" max="10502" width="8.36328125" style="360" customWidth="1"/>
    <col min="10503" max="10503" width="13" style="360" customWidth="1"/>
    <col min="10504" max="10504" width="8.08984375" style="360" customWidth="1"/>
    <col min="10505" max="10505" width="7.90625" style="360" customWidth="1"/>
    <col min="10506" max="10506" width="11.08984375" style="360" customWidth="1"/>
    <col min="10507" max="10507" width="9.453125" style="360" customWidth="1"/>
    <col min="10508" max="10508" width="9.54296875" style="360" customWidth="1"/>
    <col min="10509" max="10509" width="10.81640625" style="360" customWidth="1"/>
    <col min="10510" max="10510" width="6.54296875" style="360" customWidth="1"/>
    <col min="10511" max="10511" width="7.54296875" style="360" customWidth="1"/>
    <col min="10512" max="10512" width="10.08984375" style="360" customWidth="1"/>
    <col min="10513" max="10513" width="9.453125" style="360" customWidth="1"/>
    <col min="10514" max="10514" width="11" style="360" customWidth="1"/>
    <col min="10515" max="10515" width="14" style="360" customWidth="1"/>
    <col min="10516" max="10516" width="9.90625" style="360" customWidth="1"/>
    <col min="10517" max="10520" width="8.90625" style="360"/>
    <col min="10521" max="10521" width="15" style="360" customWidth="1"/>
    <col min="10522" max="10522" width="6.453125" style="360" customWidth="1"/>
    <col min="10523" max="10523" width="5.6328125" style="360" customWidth="1"/>
    <col min="10524" max="10524" width="9.08984375" style="360" customWidth="1"/>
    <col min="10525" max="10527" width="8.90625" style="360"/>
    <col min="10528" max="10528" width="11.6328125" style="360" customWidth="1"/>
    <col min="10529" max="10752" width="8.90625" style="360"/>
    <col min="10753" max="10753" width="6.453125" style="360" customWidth="1"/>
    <col min="10754" max="10754" width="43.36328125" style="360" customWidth="1"/>
    <col min="10755" max="10755" width="11.08984375" style="360" customWidth="1"/>
    <col min="10756" max="10756" width="13.08984375" style="360" customWidth="1"/>
    <col min="10757" max="10757" width="13.90625" style="360" customWidth="1"/>
    <col min="10758" max="10758" width="8.36328125" style="360" customWidth="1"/>
    <col min="10759" max="10759" width="13" style="360" customWidth="1"/>
    <col min="10760" max="10760" width="8.08984375" style="360" customWidth="1"/>
    <col min="10761" max="10761" width="7.90625" style="360" customWidth="1"/>
    <col min="10762" max="10762" width="11.08984375" style="360" customWidth="1"/>
    <col min="10763" max="10763" width="9.453125" style="360" customWidth="1"/>
    <col min="10764" max="10764" width="9.54296875" style="360" customWidth="1"/>
    <col min="10765" max="10765" width="10.81640625" style="360" customWidth="1"/>
    <col min="10766" max="10766" width="6.54296875" style="360" customWidth="1"/>
    <col min="10767" max="10767" width="7.54296875" style="360" customWidth="1"/>
    <col min="10768" max="10768" width="10.08984375" style="360" customWidth="1"/>
    <col min="10769" max="10769" width="9.453125" style="360" customWidth="1"/>
    <col min="10770" max="10770" width="11" style="360" customWidth="1"/>
    <col min="10771" max="10771" width="14" style="360" customWidth="1"/>
    <col min="10772" max="10772" width="9.90625" style="360" customWidth="1"/>
    <col min="10773" max="10776" width="8.90625" style="360"/>
    <col min="10777" max="10777" width="15" style="360" customWidth="1"/>
    <col min="10778" max="10778" width="6.453125" style="360" customWidth="1"/>
    <col min="10779" max="10779" width="5.6328125" style="360" customWidth="1"/>
    <col min="10780" max="10780" width="9.08984375" style="360" customWidth="1"/>
    <col min="10781" max="10783" width="8.90625" style="360"/>
    <col min="10784" max="10784" width="11.6328125" style="360" customWidth="1"/>
    <col min="10785" max="11008" width="8.90625" style="360"/>
    <col min="11009" max="11009" width="6.453125" style="360" customWidth="1"/>
    <col min="11010" max="11010" width="43.36328125" style="360" customWidth="1"/>
    <col min="11011" max="11011" width="11.08984375" style="360" customWidth="1"/>
    <col min="11012" max="11012" width="13.08984375" style="360" customWidth="1"/>
    <col min="11013" max="11013" width="13.90625" style="360" customWidth="1"/>
    <col min="11014" max="11014" width="8.36328125" style="360" customWidth="1"/>
    <col min="11015" max="11015" width="13" style="360" customWidth="1"/>
    <col min="11016" max="11016" width="8.08984375" style="360" customWidth="1"/>
    <col min="11017" max="11017" width="7.90625" style="360" customWidth="1"/>
    <col min="11018" max="11018" width="11.08984375" style="360" customWidth="1"/>
    <col min="11019" max="11019" width="9.453125" style="360" customWidth="1"/>
    <col min="11020" max="11020" width="9.54296875" style="360" customWidth="1"/>
    <col min="11021" max="11021" width="10.81640625" style="360" customWidth="1"/>
    <col min="11022" max="11022" width="6.54296875" style="360" customWidth="1"/>
    <col min="11023" max="11023" width="7.54296875" style="360" customWidth="1"/>
    <col min="11024" max="11024" width="10.08984375" style="360" customWidth="1"/>
    <col min="11025" max="11025" width="9.453125" style="360" customWidth="1"/>
    <col min="11026" max="11026" width="11" style="360" customWidth="1"/>
    <col min="11027" max="11027" width="14" style="360" customWidth="1"/>
    <col min="11028" max="11028" width="9.90625" style="360" customWidth="1"/>
    <col min="11029" max="11032" width="8.90625" style="360"/>
    <col min="11033" max="11033" width="15" style="360" customWidth="1"/>
    <col min="11034" max="11034" width="6.453125" style="360" customWidth="1"/>
    <col min="11035" max="11035" width="5.6328125" style="360" customWidth="1"/>
    <col min="11036" max="11036" width="9.08984375" style="360" customWidth="1"/>
    <col min="11037" max="11039" width="8.90625" style="360"/>
    <col min="11040" max="11040" width="11.6328125" style="360" customWidth="1"/>
    <col min="11041" max="11264" width="8.90625" style="360"/>
    <col min="11265" max="11265" width="6.453125" style="360" customWidth="1"/>
    <col min="11266" max="11266" width="43.36328125" style="360" customWidth="1"/>
    <col min="11267" max="11267" width="11.08984375" style="360" customWidth="1"/>
    <col min="11268" max="11268" width="13.08984375" style="360" customWidth="1"/>
    <col min="11269" max="11269" width="13.90625" style="360" customWidth="1"/>
    <col min="11270" max="11270" width="8.36328125" style="360" customWidth="1"/>
    <col min="11271" max="11271" width="13" style="360" customWidth="1"/>
    <col min="11272" max="11272" width="8.08984375" style="360" customWidth="1"/>
    <col min="11273" max="11273" width="7.90625" style="360" customWidth="1"/>
    <col min="11274" max="11274" width="11.08984375" style="360" customWidth="1"/>
    <col min="11275" max="11275" width="9.453125" style="360" customWidth="1"/>
    <col min="11276" max="11276" width="9.54296875" style="360" customWidth="1"/>
    <col min="11277" max="11277" width="10.81640625" style="360" customWidth="1"/>
    <col min="11278" max="11278" width="6.54296875" style="360" customWidth="1"/>
    <col min="11279" max="11279" width="7.54296875" style="360" customWidth="1"/>
    <col min="11280" max="11280" width="10.08984375" style="360" customWidth="1"/>
    <col min="11281" max="11281" width="9.453125" style="360" customWidth="1"/>
    <col min="11282" max="11282" width="11" style="360" customWidth="1"/>
    <col min="11283" max="11283" width="14" style="360" customWidth="1"/>
    <col min="11284" max="11284" width="9.90625" style="360" customWidth="1"/>
    <col min="11285" max="11288" width="8.90625" style="360"/>
    <col min="11289" max="11289" width="15" style="360" customWidth="1"/>
    <col min="11290" max="11290" width="6.453125" style="360" customWidth="1"/>
    <col min="11291" max="11291" width="5.6328125" style="360" customWidth="1"/>
    <col min="11292" max="11292" width="9.08984375" style="360" customWidth="1"/>
    <col min="11293" max="11295" width="8.90625" style="360"/>
    <col min="11296" max="11296" width="11.6328125" style="360" customWidth="1"/>
    <col min="11297" max="11520" width="8.90625" style="360"/>
    <col min="11521" max="11521" width="6.453125" style="360" customWidth="1"/>
    <col min="11522" max="11522" width="43.36328125" style="360" customWidth="1"/>
    <col min="11523" max="11523" width="11.08984375" style="360" customWidth="1"/>
    <col min="11524" max="11524" width="13.08984375" style="360" customWidth="1"/>
    <col min="11525" max="11525" width="13.90625" style="360" customWidth="1"/>
    <col min="11526" max="11526" width="8.36328125" style="360" customWidth="1"/>
    <col min="11527" max="11527" width="13" style="360" customWidth="1"/>
    <col min="11528" max="11528" width="8.08984375" style="360" customWidth="1"/>
    <col min="11529" max="11529" width="7.90625" style="360" customWidth="1"/>
    <col min="11530" max="11530" width="11.08984375" style="360" customWidth="1"/>
    <col min="11531" max="11531" width="9.453125" style="360" customWidth="1"/>
    <col min="11532" max="11532" width="9.54296875" style="360" customWidth="1"/>
    <col min="11533" max="11533" width="10.81640625" style="360" customWidth="1"/>
    <col min="11534" max="11534" width="6.54296875" style="360" customWidth="1"/>
    <col min="11535" max="11535" width="7.54296875" style="360" customWidth="1"/>
    <col min="11536" max="11536" width="10.08984375" style="360" customWidth="1"/>
    <col min="11537" max="11537" width="9.453125" style="360" customWidth="1"/>
    <col min="11538" max="11538" width="11" style="360" customWidth="1"/>
    <col min="11539" max="11539" width="14" style="360" customWidth="1"/>
    <col min="11540" max="11540" width="9.90625" style="360" customWidth="1"/>
    <col min="11541" max="11544" width="8.90625" style="360"/>
    <col min="11545" max="11545" width="15" style="360" customWidth="1"/>
    <col min="11546" max="11546" width="6.453125" style="360" customWidth="1"/>
    <col min="11547" max="11547" width="5.6328125" style="360" customWidth="1"/>
    <col min="11548" max="11548" width="9.08984375" style="360" customWidth="1"/>
    <col min="11549" max="11551" width="8.90625" style="360"/>
    <col min="11552" max="11552" width="11.6328125" style="360" customWidth="1"/>
    <col min="11553" max="11776" width="8.90625" style="360"/>
    <col min="11777" max="11777" width="6.453125" style="360" customWidth="1"/>
    <col min="11778" max="11778" width="43.36328125" style="360" customWidth="1"/>
    <col min="11779" max="11779" width="11.08984375" style="360" customWidth="1"/>
    <col min="11780" max="11780" width="13.08984375" style="360" customWidth="1"/>
    <col min="11781" max="11781" width="13.90625" style="360" customWidth="1"/>
    <col min="11782" max="11782" width="8.36328125" style="360" customWidth="1"/>
    <col min="11783" max="11783" width="13" style="360" customWidth="1"/>
    <col min="11784" max="11784" width="8.08984375" style="360" customWidth="1"/>
    <col min="11785" max="11785" width="7.90625" style="360" customWidth="1"/>
    <col min="11786" max="11786" width="11.08984375" style="360" customWidth="1"/>
    <col min="11787" max="11787" width="9.453125" style="360" customWidth="1"/>
    <col min="11788" max="11788" width="9.54296875" style="360" customWidth="1"/>
    <col min="11789" max="11789" width="10.81640625" style="360" customWidth="1"/>
    <col min="11790" max="11790" width="6.54296875" style="360" customWidth="1"/>
    <col min="11791" max="11791" width="7.54296875" style="360" customWidth="1"/>
    <col min="11792" max="11792" width="10.08984375" style="360" customWidth="1"/>
    <col min="11793" max="11793" width="9.453125" style="360" customWidth="1"/>
    <col min="11794" max="11794" width="11" style="360" customWidth="1"/>
    <col min="11795" max="11795" width="14" style="360" customWidth="1"/>
    <col min="11796" max="11796" width="9.90625" style="360" customWidth="1"/>
    <col min="11797" max="11800" width="8.90625" style="360"/>
    <col min="11801" max="11801" width="15" style="360" customWidth="1"/>
    <col min="11802" max="11802" width="6.453125" style="360" customWidth="1"/>
    <col min="11803" max="11803" width="5.6328125" style="360" customWidth="1"/>
    <col min="11804" max="11804" width="9.08984375" style="360" customWidth="1"/>
    <col min="11805" max="11807" width="8.90625" style="360"/>
    <col min="11808" max="11808" width="11.6328125" style="360" customWidth="1"/>
    <col min="11809" max="12032" width="8.90625" style="360"/>
    <col min="12033" max="12033" width="6.453125" style="360" customWidth="1"/>
    <col min="12034" max="12034" width="43.36328125" style="360" customWidth="1"/>
    <col min="12035" max="12035" width="11.08984375" style="360" customWidth="1"/>
    <col min="12036" max="12036" width="13.08984375" style="360" customWidth="1"/>
    <col min="12037" max="12037" width="13.90625" style="360" customWidth="1"/>
    <col min="12038" max="12038" width="8.36328125" style="360" customWidth="1"/>
    <col min="12039" max="12039" width="13" style="360" customWidth="1"/>
    <col min="12040" max="12040" width="8.08984375" style="360" customWidth="1"/>
    <col min="12041" max="12041" width="7.90625" style="360" customWidth="1"/>
    <col min="12042" max="12042" width="11.08984375" style="360" customWidth="1"/>
    <col min="12043" max="12043" width="9.453125" style="360" customWidth="1"/>
    <col min="12044" max="12044" width="9.54296875" style="360" customWidth="1"/>
    <col min="12045" max="12045" width="10.81640625" style="360" customWidth="1"/>
    <col min="12046" max="12046" width="6.54296875" style="360" customWidth="1"/>
    <col min="12047" max="12047" width="7.54296875" style="360" customWidth="1"/>
    <col min="12048" max="12048" width="10.08984375" style="360" customWidth="1"/>
    <col min="12049" max="12049" width="9.453125" style="360" customWidth="1"/>
    <col min="12050" max="12050" width="11" style="360" customWidth="1"/>
    <col min="12051" max="12051" width="14" style="360" customWidth="1"/>
    <col min="12052" max="12052" width="9.90625" style="360" customWidth="1"/>
    <col min="12053" max="12056" width="8.90625" style="360"/>
    <col min="12057" max="12057" width="15" style="360" customWidth="1"/>
    <col min="12058" max="12058" width="6.453125" style="360" customWidth="1"/>
    <col min="12059" max="12059" width="5.6328125" style="360" customWidth="1"/>
    <col min="12060" max="12060" width="9.08984375" style="360" customWidth="1"/>
    <col min="12061" max="12063" width="8.90625" style="360"/>
    <col min="12064" max="12064" width="11.6328125" style="360" customWidth="1"/>
    <col min="12065" max="12288" width="8.90625" style="360"/>
    <col min="12289" max="12289" width="6.453125" style="360" customWidth="1"/>
    <col min="12290" max="12290" width="43.36328125" style="360" customWidth="1"/>
    <col min="12291" max="12291" width="11.08984375" style="360" customWidth="1"/>
    <col min="12292" max="12292" width="13.08984375" style="360" customWidth="1"/>
    <col min="12293" max="12293" width="13.90625" style="360" customWidth="1"/>
    <col min="12294" max="12294" width="8.36328125" style="360" customWidth="1"/>
    <col min="12295" max="12295" width="13" style="360" customWidth="1"/>
    <col min="12296" max="12296" width="8.08984375" style="360" customWidth="1"/>
    <col min="12297" max="12297" width="7.90625" style="360" customWidth="1"/>
    <col min="12298" max="12298" width="11.08984375" style="360" customWidth="1"/>
    <col min="12299" max="12299" width="9.453125" style="360" customWidth="1"/>
    <col min="12300" max="12300" width="9.54296875" style="360" customWidth="1"/>
    <col min="12301" max="12301" width="10.81640625" style="360" customWidth="1"/>
    <col min="12302" max="12302" width="6.54296875" style="360" customWidth="1"/>
    <col min="12303" max="12303" width="7.54296875" style="360" customWidth="1"/>
    <col min="12304" max="12304" width="10.08984375" style="360" customWidth="1"/>
    <col min="12305" max="12305" width="9.453125" style="360" customWidth="1"/>
    <col min="12306" max="12306" width="11" style="360" customWidth="1"/>
    <col min="12307" max="12307" width="14" style="360" customWidth="1"/>
    <col min="12308" max="12308" width="9.90625" style="360" customWidth="1"/>
    <col min="12309" max="12312" width="8.90625" style="360"/>
    <col min="12313" max="12313" width="15" style="360" customWidth="1"/>
    <col min="12314" max="12314" width="6.453125" style="360" customWidth="1"/>
    <col min="12315" max="12315" width="5.6328125" style="360" customWidth="1"/>
    <col min="12316" max="12316" width="9.08984375" style="360" customWidth="1"/>
    <col min="12317" max="12319" width="8.90625" style="360"/>
    <col min="12320" max="12320" width="11.6328125" style="360" customWidth="1"/>
    <col min="12321" max="12544" width="8.90625" style="360"/>
    <col min="12545" max="12545" width="6.453125" style="360" customWidth="1"/>
    <col min="12546" max="12546" width="43.36328125" style="360" customWidth="1"/>
    <col min="12547" max="12547" width="11.08984375" style="360" customWidth="1"/>
    <col min="12548" max="12548" width="13.08984375" style="360" customWidth="1"/>
    <col min="12549" max="12549" width="13.90625" style="360" customWidth="1"/>
    <col min="12550" max="12550" width="8.36328125" style="360" customWidth="1"/>
    <col min="12551" max="12551" width="13" style="360" customWidth="1"/>
    <col min="12552" max="12552" width="8.08984375" style="360" customWidth="1"/>
    <col min="12553" max="12553" width="7.90625" style="360" customWidth="1"/>
    <col min="12554" max="12554" width="11.08984375" style="360" customWidth="1"/>
    <col min="12555" max="12555" width="9.453125" style="360" customWidth="1"/>
    <col min="12556" max="12556" width="9.54296875" style="360" customWidth="1"/>
    <col min="12557" max="12557" width="10.81640625" style="360" customWidth="1"/>
    <col min="12558" max="12558" width="6.54296875" style="360" customWidth="1"/>
    <col min="12559" max="12559" width="7.54296875" style="360" customWidth="1"/>
    <col min="12560" max="12560" width="10.08984375" style="360" customWidth="1"/>
    <col min="12561" max="12561" width="9.453125" style="360" customWidth="1"/>
    <col min="12562" max="12562" width="11" style="360" customWidth="1"/>
    <col min="12563" max="12563" width="14" style="360" customWidth="1"/>
    <col min="12564" max="12564" width="9.90625" style="360" customWidth="1"/>
    <col min="12565" max="12568" width="8.90625" style="360"/>
    <col min="12569" max="12569" width="15" style="360" customWidth="1"/>
    <col min="12570" max="12570" width="6.453125" style="360" customWidth="1"/>
    <col min="12571" max="12571" width="5.6328125" style="360" customWidth="1"/>
    <col min="12572" max="12572" width="9.08984375" style="360" customWidth="1"/>
    <col min="12573" max="12575" width="8.90625" style="360"/>
    <col min="12576" max="12576" width="11.6328125" style="360" customWidth="1"/>
    <col min="12577" max="12800" width="8.90625" style="360"/>
    <col min="12801" max="12801" width="6.453125" style="360" customWidth="1"/>
    <col min="12802" max="12802" width="43.36328125" style="360" customWidth="1"/>
    <col min="12803" max="12803" width="11.08984375" style="360" customWidth="1"/>
    <col min="12804" max="12804" width="13.08984375" style="360" customWidth="1"/>
    <col min="12805" max="12805" width="13.90625" style="360" customWidth="1"/>
    <col min="12806" max="12806" width="8.36328125" style="360" customWidth="1"/>
    <col min="12807" max="12807" width="13" style="360" customWidth="1"/>
    <col min="12808" max="12808" width="8.08984375" style="360" customWidth="1"/>
    <col min="12809" max="12809" width="7.90625" style="360" customWidth="1"/>
    <col min="12810" max="12810" width="11.08984375" style="360" customWidth="1"/>
    <col min="12811" max="12811" width="9.453125" style="360" customWidth="1"/>
    <col min="12812" max="12812" width="9.54296875" style="360" customWidth="1"/>
    <col min="12813" max="12813" width="10.81640625" style="360" customWidth="1"/>
    <col min="12814" max="12814" width="6.54296875" style="360" customWidth="1"/>
    <col min="12815" max="12815" width="7.54296875" style="360" customWidth="1"/>
    <col min="12816" max="12816" width="10.08984375" style="360" customWidth="1"/>
    <col min="12817" max="12817" width="9.453125" style="360" customWidth="1"/>
    <col min="12818" max="12818" width="11" style="360" customWidth="1"/>
    <col min="12819" max="12819" width="14" style="360" customWidth="1"/>
    <col min="12820" max="12820" width="9.90625" style="360" customWidth="1"/>
    <col min="12821" max="12824" width="8.90625" style="360"/>
    <col min="12825" max="12825" width="15" style="360" customWidth="1"/>
    <col min="12826" max="12826" width="6.453125" style="360" customWidth="1"/>
    <col min="12827" max="12827" width="5.6328125" style="360" customWidth="1"/>
    <col min="12828" max="12828" width="9.08984375" style="360" customWidth="1"/>
    <col min="12829" max="12831" width="8.90625" style="360"/>
    <col min="12832" max="12832" width="11.6328125" style="360" customWidth="1"/>
    <col min="12833" max="13056" width="8.90625" style="360"/>
    <col min="13057" max="13057" width="6.453125" style="360" customWidth="1"/>
    <col min="13058" max="13058" width="43.36328125" style="360" customWidth="1"/>
    <col min="13059" max="13059" width="11.08984375" style="360" customWidth="1"/>
    <col min="13060" max="13060" width="13.08984375" style="360" customWidth="1"/>
    <col min="13061" max="13061" width="13.90625" style="360" customWidth="1"/>
    <col min="13062" max="13062" width="8.36328125" style="360" customWidth="1"/>
    <col min="13063" max="13063" width="13" style="360" customWidth="1"/>
    <col min="13064" max="13064" width="8.08984375" style="360" customWidth="1"/>
    <col min="13065" max="13065" width="7.90625" style="360" customWidth="1"/>
    <col min="13066" max="13066" width="11.08984375" style="360" customWidth="1"/>
    <col min="13067" max="13067" width="9.453125" style="360" customWidth="1"/>
    <col min="13068" max="13068" width="9.54296875" style="360" customWidth="1"/>
    <col min="13069" max="13069" width="10.81640625" style="360" customWidth="1"/>
    <col min="13070" max="13070" width="6.54296875" style="360" customWidth="1"/>
    <col min="13071" max="13071" width="7.54296875" style="360" customWidth="1"/>
    <col min="13072" max="13072" width="10.08984375" style="360" customWidth="1"/>
    <col min="13073" max="13073" width="9.453125" style="360" customWidth="1"/>
    <col min="13074" max="13074" width="11" style="360" customWidth="1"/>
    <col min="13075" max="13075" width="14" style="360" customWidth="1"/>
    <col min="13076" max="13076" width="9.90625" style="360" customWidth="1"/>
    <col min="13077" max="13080" width="8.90625" style="360"/>
    <col min="13081" max="13081" width="15" style="360" customWidth="1"/>
    <col min="13082" max="13082" width="6.453125" style="360" customWidth="1"/>
    <col min="13083" max="13083" width="5.6328125" style="360" customWidth="1"/>
    <col min="13084" max="13084" width="9.08984375" style="360" customWidth="1"/>
    <col min="13085" max="13087" width="8.90625" style="360"/>
    <col min="13088" max="13088" width="11.6328125" style="360" customWidth="1"/>
    <col min="13089" max="13312" width="8.90625" style="360"/>
    <col min="13313" max="13313" width="6.453125" style="360" customWidth="1"/>
    <col min="13314" max="13314" width="43.36328125" style="360" customWidth="1"/>
    <col min="13315" max="13315" width="11.08984375" style="360" customWidth="1"/>
    <col min="13316" max="13316" width="13.08984375" style="360" customWidth="1"/>
    <col min="13317" max="13317" width="13.90625" style="360" customWidth="1"/>
    <col min="13318" max="13318" width="8.36328125" style="360" customWidth="1"/>
    <col min="13319" max="13319" width="13" style="360" customWidth="1"/>
    <col min="13320" max="13320" width="8.08984375" style="360" customWidth="1"/>
    <col min="13321" max="13321" width="7.90625" style="360" customWidth="1"/>
    <col min="13322" max="13322" width="11.08984375" style="360" customWidth="1"/>
    <col min="13323" max="13323" width="9.453125" style="360" customWidth="1"/>
    <col min="13324" max="13324" width="9.54296875" style="360" customWidth="1"/>
    <col min="13325" max="13325" width="10.81640625" style="360" customWidth="1"/>
    <col min="13326" max="13326" width="6.54296875" style="360" customWidth="1"/>
    <col min="13327" max="13327" width="7.54296875" style="360" customWidth="1"/>
    <col min="13328" max="13328" width="10.08984375" style="360" customWidth="1"/>
    <col min="13329" max="13329" width="9.453125" style="360" customWidth="1"/>
    <col min="13330" max="13330" width="11" style="360" customWidth="1"/>
    <col min="13331" max="13331" width="14" style="360" customWidth="1"/>
    <col min="13332" max="13332" width="9.90625" style="360" customWidth="1"/>
    <col min="13333" max="13336" width="8.90625" style="360"/>
    <col min="13337" max="13337" width="15" style="360" customWidth="1"/>
    <col min="13338" max="13338" width="6.453125" style="360" customWidth="1"/>
    <col min="13339" max="13339" width="5.6328125" style="360" customWidth="1"/>
    <col min="13340" max="13340" width="9.08984375" style="360" customWidth="1"/>
    <col min="13341" max="13343" width="8.90625" style="360"/>
    <col min="13344" max="13344" width="11.6328125" style="360" customWidth="1"/>
    <col min="13345" max="13568" width="8.90625" style="360"/>
    <col min="13569" max="13569" width="6.453125" style="360" customWidth="1"/>
    <col min="13570" max="13570" width="43.36328125" style="360" customWidth="1"/>
    <col min="13571" max="13571" width="11.08984375" style="360" customWidth="1"/>
    <col min="13572" max="13572" width="13.08984375" style="360" customWidth="1"/>
    <col min="13573" max="13573" width="13.90625" style="360" customWidth="1"/>
    <col min="13574" max="13574" width="8.36328125" style="360" customWidth="1"/>
    <col min="13575" max="13575" width="13" style="360" customWidth="1"/>
    <col min="13576" max="13576" width="8.08984375" style="360" customWidth="1"/>
    <col min="13577" max="13577" width="7.90625" style="360" customWidth="1"/>
    <col min="13578" max="13578" width="11.08984375" style="360" customWidth="1"/>
    <col min="13579" max="13579" width="9.453125" style="360" customWidth="1"/>
    <col min="13580" max="13580" width="9.54296875" style="360" customWidth="1"/>
    <col min="13581" max="13581" width="10.81640625" style="360" customWidth="1"/>
    <col min="13582" max="13582" width="6.54296875" style="360" customWidth="1"/>
    <col min="13583" max="13583" width="7.54296875" style="360" customWidth="1"/>
    <col min="13584" max="13584" width="10.08984375" style="360" customWidth="1"/>
    <col min="13585" max="13585" width="9.453125" style="360" customWidth="1"/>
    <col min="13586" max="13586" width="11" style="360" customWidth="1"/>
    <col min="13587" max="13587" width="14" style="360" customWidth="1"/>
    <col min="13588" max="13588" width="9.90625" style="360" customWidth="1"/>
    <col min="13589" max="13592" width="8.90625" style="360"/>
    <col min="13593" max="13593" width="15" style="360" customWidth="1"/>
    <col min="13594" max="13594" width="6.453125" style="360" customWidth="1"/>
    <col min="13595" max="13595" width="5.6328125" style="360" customWidth="1"/>
    <col min="13596" max="13596" width="9.08984375" style="360" customWidth="1"/>
    <col min="13597" max="13599" width="8.90625" style="360"/>
    <col min="13600" max="13600" width="11.6328125" style="360" customWidth="1"/>
    <col min="13601" max="13824" width="8.90625" style="360"/>
    <col min="13825" max="13825" width="6.453125" style="360" customWidth="1"/>
    <col min="13826" max="13826" width="43.36328125" style="360" customWidth="1"/>
    <col min="13827" max="13827" width="11.08984375" style="360" customWidth="1"/>
    <col min="13828" max="13828" width="13.08984375" style="360" customWidth="1"/>
    <col min="13829" max="13829" width="13.90625" style="360" customWidth="1"/>
    <col min="13830" max="13830" width="8.36328125" style="360" customWidth="1"/>
    <col min="13831" max="13831" width="13" style="360" customWidth="1"/>
    <col min="13832" max="13832" width="8.08984375" style="360" customWidth="1"/>
    <col min="13833" max="13833" width="7.90625" style="360" customWidth="1"/>
    <col min="13834" max="13834" width="11.08984375" style="360" customWidth="1"/>
    <col min="13835" max="13835" width="9.453125" style="360" customWidth="1"/>
    <col min="13836" max="13836" width="9.54296875" style="360" customWidth="1"/>
    <col min="13837" max="13837" width="10.81640625" style="360" customWidth="1"/>
    <col min="13838" max="13838" width="6.54296875" style="360" customWidth="1"/>
    <col min="13839" max="13839" width="7.54296875" style="360" customWidth="1"/>
    <col min="13840" max="13840" width="10.08984375" style="360" customWidth="1"/>
    <col min="13841" max="13841" width="9.453125" style="360" customWidth="1"/>
    <col min="13842" max="13842" width="11" style="360" customWidth="1"/>
    <col min="13843" max="13843" width="14" style="360" customWidth="1"/>
    <col min="13844" max="13844" width="9.90625" style="360" customWidth="1"/>
    <col min="13845" max="13848" width="8.90625" style="360"/>
    <col min="13849" max="13849" width="15" style="360" customWidth="1"/>
    <col min="13850" max="13850" width="6.453125" style="360" customWidth="1"/>
    <col min="13851" max="13851" width="5.6328125" style="360" customWidth="1"/>
    <col min="13852" max="13852" width="9.08984375" style="360" customWidth="1"/>
    <col min="13853" max="13855" width="8.90625" style="360"/>
    <col min="13856" max="13856" width="11.6328125" style="360" customWidth="1"/>
    <col min="13857" max="14080" width="8.90625" style="360"/>
    <col min="14081" max="14081" width="6.453125" style="360" customWidth="1"/>
    <col min="14082" max="14082" width="43.36328125" style="360" customWidth="1"/>
    <col min="14083" max="14083" width="11.08984375" style="360" customWidth="1"/>
    <col min="14084" max="14084" width="13.08984375" style="360" customWidth="1"/>
    <col min="14085" max="14085" width="13.90625" style="360" customWidth="1"/>
    <col min="14086" max="14086" width="8.36328125" style="360" customWidth="1"/>
    <col min="14087" max="14087" width="13" style="360" customWidth="1"/>
    <col min="14088" max="14088" width="8.08984375" style="360" customWidth="1"/>
    <col min="14089" max="14089" width="7.90625" style="360" customWidth="1"/>
    <col min="14090" max="14090" width="11.08984375" style="360" customWidth="1"/>
    <col min="14091" max="14091" width="9.453125" style="360" customWidth="1"/>
    <col min="14092" max="14092" width="9.54296875" style="360" customWidth="1"/>
    <col min="14093" max="14093" width="10.81640625" style="360" customWidth="1"/>
    <col min="14094" max="14094" width="6.54296875" style="360" customWidth="1"/>
    <col min="14095" max="14095" width="7.54296875" style="360" customWidth="1"/>
    <col min="14096" max="14096" width="10.08984375" style="360" customWidth="1"/>
    <col min="14097" max="14097" width="9.453125" style="360" customWidth="1"/>
    <col min="14098" max="14098" width="11" style="360" customWidth="1"/>
    <col min="14099" max="14099" width="14" style="360" customWidth="1"/>
    <col min="14100" max="14100" width="9.90625" style="360" customWidth="1"/>
    <col min="14101" max="14104" width="8.90625" style="360"/>
    <col min="14105" max="14105" width="15" style="360" customWidth="1"/>
    <col min="14106" max="14106" width="6.453125" style="360" customWidth="1"/>
    <col min="14107" max="14107" width="5.6328125" style="360" customWidth="1"/>
    <col min="14108" max="14108" width="9.08984375" style="360" customWidth="1"/>
    <col min="14109" max="14111" width="8.90625" style="360"/>
    <col min="14112" max="14112" width="11.6328125" style="360" customWidth="1"/>
    <col min="14113" max="14336" width="8.90625" style="360"/>
    <col min="14337" max="14337" width="6.453125" style="360" customWidth="1"/>
    <col min="14338" max="14338" width="43.36328125" style="360" customWidth="1"/>
    <col min="14339" max="14339" width="11.08984375" style="360" customWidth="1"/>
    <col min="14340" max="14340" width="13.08984375" style="360" customWidth="1"/>
    <col min="14341" max="14341" width="13.90625" style="360" customWidth="1"/>
    <col min="14342" max="14342" width="8.36328125" style="360" customWidth="1"/>
    <col min="14343" max="14343" width="13" style="360" customWidth="1"/>
    <col min="14344" max="14344" width="8.08984375" style="360" customWidth="1"/>
    <col min="14345" max="14345" width="7.90625" style="360" customWidth="1"/>
    <col min="14346" max="14346" width="11.08984375" style="360" customWidth="1"/>
    <col min="14347" max="14347" width="9.453125" style="360" customWidth="1"/>
    <col min="14348" max="14348" width="9.54296875" style="360" customWidth="1"/>
    <col min="14349" max="14349" width="10.81640625" style="360" customWidth="1"/>
    <col min="14350" max="14350" width="6.54296875" style="360" customWidth="1"/>
    <col min="14351" max="14351" width="7.54296875" style="360" customWidth="1"/>
    <col min="14352" max="14352" width="10.08984375" style="360" customWidth="1"/>
    <col min="14353" max="14353" width="9.453125" style="360" customWidth="1"/>
    <col min="14354" max="14354" width="11" style="360" customWidth="1"/>
    <col min="14355" max="14355" width="14" style="360" customWidth="1"/>
    <col min="14356" max="14356" width="9.90625" style="360" customWidth="1"/>
    <col min="14357" max="14360" width="8.90625" style="360"/>
    <col min="14361" max="14361" width="15" style="360" customWidth="1"/>
    <col min="14362" max="14362" width="6.453125" style="360" customWidth="1"/>
    <col min="14363" max="14363" width="5.6328125" style="360" customWidth="1"/>
    <col min="14364" max="14364" width="9.08984375" style="360" customWidth="1"/>
    <col min="14365" max="14367" width="8.90625" style="360"/>
    <col min="14368" max="14368" width="11.6328125" style="360" customWidth="1"/>
    <col min="14369" max="14592" width="8.90625" style="360"/>
    <col min="14593" max="14593" width="6.453125" style="360" customWidth="1"/>
    <col min="14594" max="14594" width="43.36328125" style="360" customWidth="1"/>
    <col min="14595" max="14595" width="11.08984375" style="360" customWidth="1"/>
    <col min="14596" max="14596" width="13.08984375" style="360" customWidth="1"/>
    <col min="14597" max="14597" width="13.90625" style="360" customWidth="1"/>
    <col min="14598" max="14598" width="8.36328125" style="360" customWidth="1"/>
    <col min="14599" max="14599" width="13" style="360" customWidth="1"/>
    <col min="14600" max="14600" width="8.08984375" style="360" customWidth="1"/>
    <col min="14601" max="14601" width="7.90625" style="360" customWidth="1"/>
    <col min="14602" max="14602" width="11.08984375" style="360" customWidth="1"/>
    <col min="14603" max="14603" width="9.453125" style="360" customWidth="1"/>
    <col min="14604" max="14604" width="9.54296875" style="360" customWidth="1"/>
    <col min="14605" max="14605" width="10.81640625" style="360" customWidth="1"/>
    <col min="14606" max="14606" width="6.54296875" style="360" customWidth="1"/>
    <col min="14607" max="14607" width="7.54296875" style="360" customWidth="1"/>
    <col min="14608" max="14608" width="10.08984375" style="360" customWidth="1"/>
    <col min="14609" max="14609" width="9.453125" style="360" customWidth="1"/>
    <col min="14610" max="14610" width="11" style="360" customWidth="1"/>
    <col min="14611" max="14611" width="14" style="360" customWidth="1"/>
    <col min="14612" max="14612" width="9.90625" style="360" customWidth="1"/>
    <col min="14613" max="14616" width="8.90625" style="360"/>
    <col min="14617" max="14617" width="15" style="360" customWidth="1"/>
    <col min="14618" max="14618" width="6.453125" style="360" customWidth="1"/>
    <col min="14619" max="14619" width="5.6328125" style="360" customWidth="1"/>
    <col min="14620" max="14620" width="9.08984375" style="360" customWidth="1"/>
    <col min="14621" max="14623" width="8.90625" style="360"/>
    <col min="14624" max="14624" width="11.6328125" style="360" customWidth="1"/>
    <col min="14625" max="14848" width="8.90625" style="360"/>
    <col min="14849" max="14849" width="6.453125" style="360" customWidth="1"/>
    <col min="14850" max="14850" width="43.36328125" style="360" customWidth="1"/>
    <col min="14851" max="14851" width="11.08984375" style="360" customWidth="1"/>
    <col min="14852" max="14852" width="13.08984375" style="360" customWidth="1"/>
    <col min="14853" max="14853" width="13.90625" style="360" customWidth="1"/>
    <col min="14854" max="14854" width="8.36328125" style="360" customWidth="1"/>
    <col min="14855" max="14855" width="13" style="360" customWidth="1"/>
    <col min="14856" max="14856" width="8.08984375" style="360" customWidth="1"/>
    <col min="14857" max="14857" width="7.90625" style="360" customWidth="1"/>
    <col min="14858" max="14858" width="11.08984375" style="360" customWidth="1"/>
    <col min="14859" max="14859" width="9.453125" style="360" customWidth="1"/>
    <col min="14860" max="14860" width="9.54296875" style="360" customWidth="1"/>
    <col min="14861" max="14861" width="10.81640625" style="360" customWidth="1"/>
    <col min="14862" max="14862" width="6.54296875" style="360" customWidth="1"/>
    <col min="14863" max="14863" width="7.54296875" style="360" customWidth="1"/>
    <col min="14864" max="14864" width="10.08984375" style="360" customWidth="1"/>
    <col min="14865" max="14865" width="9.453125" style="360" customWidth="1"/>
    <col min="14866" max="14866" width="11" style="360" customWidth="1"/>
    <col min="14867" max="14867" width="14" style="360" customWidth="1"/>
    <col min="14868" max="14868" width="9.90625" style="360" customWidth="1"/>
    <col min="14869" max="14872" width="8.90625" style="360"/>
    <col min="14873" max="14873" width="15" style="360" customWidth="1"/>
    <col min="14874" max="14874" width="6.453125" style="360" customWidth="1"/>
    <col min="14875" max="14875" width="5.6328125" style="360" customWidth="1"/>
    <col min="14876" max="14876" width="9.08984375" style="360" customWidth="1"/>
    <col min="14877" max="14879" width="8.90625" style="360"/>
    <col min="14880" max="14880" width="11.6328125" style="360" customWidth="1"/>
    <col min="14881" max="15104" width="8.90625" style="360"/>
    <col min="15105" max="15105" width="6.453125" style="360" customWidth="1"/>
    <col min="15106" max="15106" width="43.36328125" style="360" customWidth="1"/>
    <col min="15107" max="15107" width="11.08984375" style="360" customWidth="1"/>
    <col min="15108" max="15108" width="13.08984375" style="360" customWidth="1"/>
    <col min="15109" max="15109" width="13.90625" style="360" customWidth="1"/>
    <col min="15110" max="15110" width="8.36328125" style="360" customWidth="1"/>
    <col min="15111" max="15111" width="13" style="360" customWidth="1"/>
    <col min="15112" max="15112" width="8.08984375" style="360" customWidth="1"/>
    <col min="15113" max="15113" width="7.90625" style="360" customWidth="1"/>
    <col min="15114" max="15114" width="11.08984375" style="360" customWidth="1"/>
    <col min="15115" max="15115" width="9.453125" style="360" customWidth="1"/>
    <col min="15116" max="15116" width="9.54296875" style="360" customWidth="1"/>
    <col min="15117" max="15117" width="10.81640625" style="360" customWidth="1"/>
    <col min="15118" max="15118" width="6.54296875" style="360" customWidth="1"/>
    <col min="15119" max="15119" width="7.54296875" style="360" customWidth="1"/>
    <col min="15120" max="15120" width="10.08984375" style="360" customWidth="1"/>
    <col min="15121" max="15121" width="9.453125" style="360" customWidth="1"/>
    <col min="15122" max="15122" width="11" style="360" customWidth="1"/>
    <col min="15123" max="15123" width="14" style="360" customWidth="1"/>
    <col min="15124" max="15124" width="9.90625" style="360" customWidth="1"/>
    <col min="15125" max="15128" width="8.90625" style="360"/>
    <col min="15129" max="15129" width="15" style="360" customWidth="1"/>
    <col min="15130" max="15130" width="6.453125" style="360" customWidth="1"/>
    <col min="15131" max="15131" width="5.6328125" style="360" customWidth="1"/>
    <col min="15132" max="15132" width="9.08984375" style="360" customWidth="1"/>
    <col min="15133" max="15135" width="8.90625" style="360"/>
    <col min="15136" max="15136" width="11.6328125" style="360" customWidth="1"/>
    <col min="15137" max="15360" width="8.90625" style="360"/>
    <col min="15361" max="15361" width="6.453125" style="360" customWidth="1"/>
    <col min="15362" max="15362" width="43.36328125" style="360" customWidth="1"/>
    <col min="15363" max="15363" width="11.08984375" style="360" customWidth="1"/>
    <col min="15364" max="15364" width="13.08984375" style="360" customWidth="1"/>
    <col min="15365" max="15365" width="13.90625" style="360" customWidth="1"/>
    <col min="15366" max="15366" width="8.36328125" style="360" customWidth="1"/>
    <col min="15367" max="15367" width="13" style="360" customWidth="1"/>
    <col min="15368" max="15368" width="8.08984375" style="360" customWidth="1"/>
    <col min="15369" max="15369" width="7.90625" style="360" customWidth="1"/>
    <col min="15370" max="15370" width="11.08984375" style="360" customWidth="1"/>
    <col min="15371" max="15371" width="9.453125" style="360" customWidth="1"/>
    <col min="15372" max="15372" width="9.54296875" style="360" customWidth="1"/>
    <col min="15373" max="15373" width="10.81640625" style="360" customWidth="1"/>
    <col min="15374" max="15374" width="6.54296875" style="360" customWidth="1"/>
    <col min="15375" max="15375" width="7.54296875" style="360" customWidth="1"/>
    <col min="15376" max="15376" width="10.08984375" style="360" customWidth="1"/>
    <col min="15377" max="15377" width="9.453125" style="360" customWidth="1"/>
    <col min="15378" max="15378" width="11" style="360" customWidth="1"/>
    <col min="15379" max="15379" width="14" style="360" customWidth="1"/>
    <col min="15380" max="15380" width="9.90625" style="360" customWidth="1"/>
    <col min="15381" max="15384" width="8.90625" style="360"/>
    <col min="15385" max="15385" width="15" style="360" customWidth="1"/>
    <col min="15386" max="15386" width="6.453125" style="360" customWidth="1"/>
    <col min="15387" max="15387" width="5.6328125" style="360" customWidth="1"/>
    <col min="15388" max="15388" width="9.08984375" style="360" customWidth="1"/>
    <col min="15389" max="15391" width="8.90625" style="360"/>
    <col min="15392" max="15392" width="11.6328125" style="360" customWidth="1"/>
    <col min="15393" max="15616" width="8.90625" style="360"/>
    <col min="15617" max="15617" width="6.453125" style="360" customWidth="1"/>
    <col min="15618" max="15618" width="43.36328125" style="360" customWidth="1"/>
    <col min="15619" max="15619" width="11.08984375" style="360" customWidth="1"/>
    <col min="15620" max="15620" width="13.08984375" style="360" customWidth="1"/>
    <col min="15621" max="15621" width="13.90625" style="360" customWidth="1"/>
    <col min="15622" max="15622" width="8.36328125" style="360" customWidth="1"/>
    <col min="15623" max="15623" width="13" style="360" customWidth="1"/>
    <col min="15624" max="15624" width="8.08984375" style="360" customWidth="1"/>
    <col min="15625" max="15625" width="7.90625" style="360" customWidth="1"/>
    <col min="15626" max="15626" width="11.08984375" style="360" customWidth="1"/>
    <col min="15627" max="15627" width="9.453125" style="360" customWidth="1"/>
    <col min="15628" max="15628" width="9.54296875" style="360" customWidth="1"/>
    <col min="15629" max="15629" width="10.81640625" style="360" customWidth="1"/>
    <col min="15630" max="15630" width="6.54296875" style="360" customWidth="1"/>
    <col min="15631" max="15631" width="7.54296875" style="360" customWidth="1"/>
    <col min="15632" max="15632" width="10.08984375" style="360" customWidth="1"/>
    <col min="15633" max="15633" width="9.453125" style="360" customWidth="1"/>
    <col min="15634" max="15634" width="11" style="360" customWidth="1"/>
    <col min="15635" max="15635" width="14" style="360" customWidth="1"/>
    <col min="15636" max="15636" width="9.90625" style="360" customWidth="1"/>
    <col min="15637" max="15640" width="8.90625" style="360"/>
    <col min="15641" max="15641" width="15" style="360" customWidth="1"/>
    <col min="15642" max="15642" width="6.453125" style="360" customWidth="1"/>
    <col min="15643" max="15643" width="5.6328125" style="360" customWidth="1"/>
    <col min="15644" max="15644" width="9.08984375" style="360" customWidth="1"/>
    <col min="15645" max="15647" width="8.90625" style="360"/>
    <col min="15648" max="15648" width="11.6328125" style="360" customWidth="1"/>
    <col min="15649" max="15872" width="8.90625" style="360"/>
    <col min="15873" max="15873" width="6.453125" style="360" customWidth="1"/>
    <col min="15874" max="15874" width="43.36328125" style="360" customWidth="1"/>
    <col min="15875" max="15875" width="11.08984375" style="360" customWidth="1"/>
    <col min="15876" max="15876" width="13.08984375" style="360" customWidth="1"/>
    <col min="15877" max="15877" width="13.90625" style="360" customWidth="1"/>
    <col min="15878" max="15878" width="8.36328125" style="360" customWidth="1"/>
    <col min="15879" max="15879" width="13" style="360" customWidth="1"/>
    <col min="15880" max="15880" width="8.08984375" style="360" customWidth="1"/>
    <col min="15881" max="15881" width="7.90625" style="360" customWidth="1"/>
    <col min="15882" max="15882" width="11.08984375" style="360" customWidth="1"/>
    <col min="15883" max="15883" width="9.453125" style="360" customWidth="1"/>
    <col min="15884" max="15884" width="9.54296875" style="360" customWidth="1"/>
    <col min="15885" max="15885" width="10.81640625" style="360" customWidth="1"/>
    <col min="15886" max="15886" width="6.54296875" style="360" customWidth="1"/>
    <col min="15887" max="15887" width="7.54296875" style="360" customWidth="1"/>
    <col min="15888" max="15888" width="10.08984375" style="360" customWidth="1"/>
    <col min="15889" max="15889" width="9.453125" style="360" customWidth="1"/>
    <col min="15890" max="15890" width="11" style="360" customWidth="1"/>
    <col min="15891" max="15891" width="14" style="360" customWidth="1"/>
    <col min="15892" max="15892" width="9.90625" style="360" customWidth="1"/>
    <col min="15893" max="15896" width="8.90625" style="360"/>
    <col min="15897" max="15897" width="15" style="360" customWidth="1"/>
    <col min="15898" max="15898" width="6.453125" style="360" customWidth="1"/>
    <col min="15899" max="15899" width="5.6328125" style="360" customWidth="1"/>
    <col min="15900" max="15900" width="9.08984375" style="360" customWidth="1"/>
    <col min="15901" max="15903" width="8.90625" style="360"/>
    <col min="15904" max="15904" width="11.6328125" style="360" customWidth="1"/>
    <col min="15905" max="16128" width="8.90625" style="360"/>
    <col min="16129" max="16129" width="6.453125" style="360" customWidth="1"/>
    <col min="16130" max="16130" width="43.36328125" style="360" customWidth="1"/>
    <col min="16131" max="16131" width="11.08984375" style="360" customWidth="1"/>
    <col min="16132" max="16132" width="13.08984375" style="360" customWidth="1"/>
    <col min="16133" max="16133" width="13.90625" style="360" customWidth="1"/>
    <col min="16134" max="16134" width="8.36328125" style="360" customWidth="1"/>
    <col min="16135" max="16135" width="13" style="360" customWidth="1"/>
    <col min="16136" max="16136" width="8.08984375" style="360" customWidth="1"/>
    <col min="16137" max="16137" width="7.90625" style="360" customWidth="1"/>
    <col min="16138" max="16138" width="11.08984375" style="360" customWidth="1"/>
    <col min="16139" max="16139" width="9.453125" style="360" customWidth="1"/>
    <col min="16140" max="16140" width="9.54296875" style="360" customWidth="1"/>
    <col min="16141" max="16141" width="10.81640625" style="360" customWidth="1"/>
    <col min="16142" max="16142" width="6.54296875" style="360" customWidth="1"/>
    <col min="16143" max="16143" width="7.54296875" style="360" customWidth="1"/>
    <col min="16144" max="16144" width="10.08984375" style="360" customWidth="1"/>
    <col min="16145" max="16145" width="9.453125" style="360" customWidth="1"/>
    <col min="16146" max="16146" width="11" style="360" customWidth="1"/>
    <col min="16147" max="16147" width="14" style="360" customWidth="1"/>
    <col min="16148" max="16148" width="9.90625" style="360" customWidth="1"/>
    <col min="16149" max="16152" width="8.90625" style="360"/>
    <col min="16153" max="16153" width="15" style="360" customWidth="1"/>
    <col min="16154" max="16154" width="6.453125" style="360" customWidth="1"/>
    <col min="16155" max="16155" width="5.6328125" style="360" customWidth="1"/>
    <col min="16156" max="16156" width="9.08984375" style="360" customWidth="1"/>
    <col min="16157" max="16159" width="8.90625" style="360"/>
    <col min="16160" max="16160" width="11.6328125" style="360" customWidth="1"/>
    <col min="16161" max="16384" width="8.90625" style="360"/>
  </cols>
  <sheetData>
    <row r="1" spans="1:36" ht="15.6">
      <c r="A1" s="358"/>
      <c r="B1" s="358"/>
      <c r="C1" s="358"/>
      <c r="D1" s="358"/>
      <c r="E1" s="359" t="s">
        <v>459</v>
      </c>
      <c r="F1" s="358"/>
      <c r="G1" s="358"/>
      <c r="H1" s="358"/>
      <c r="I1" s="358"/>
      <c r="J1" s="358"/>
      <c r="K1" s="358"/>
      <c r="L1" s="358"/>
      <c r="M1" s="358"/>
      <c r="N1" s="358"/>
      <c r="O1" s="358"/>
      <c r="P1" s="358"/>
      <c r="Q1" s="358"/>
    </row>
    <row r="2" spans="1:36" ht="19.5" customHeight="1">
      <c r="A2" s="358"/>
      <c r="B2" s="358"/>
      <c r="D2" s="358"/>
      <c r="F2" s="359"/>
      <c r="G2" s="359"/>
      <c r="H2" s="359"/>
      <c r="I2" s="358"/>
      <c r="J2" s="358"/>
      <c r="K2" s="358"/>
      <c r="L2" s="358"/>
      <c r="M2" s="358"/>
      <c r="N2" s="358"/>
      <c r="O2" s="358"/>
      <c r="P2" s="361"/>
      <c r="Q2" s="358"/>
    </row>
    <row r="3" spans="1:36" ht="15.6">
      <c r="A3" s="358"/>
      <c r="B3" s="358"/>
      <c r="D3" s="358"/>
      <c r="E3" s="362" t="s">
        <v>460</v>
      </c>
      <c r="F3" s="363"/>
      <c r="G3" s="363"/>
      <c r="H3" s="364"/>
      <c r="I3" s="358"/>
      <c r="J3" s="358"/>
      <c r="L3" s="358"/>
      <c r="M3" s="358"/>
      <c r="N3" s="358"/>
      <c r="O3" s="358"/>
      <c r="P3" s="358"/>
      <c r="Q3" s="358"/>
    </row>
    <row r="4" spans="1:36" ht="15.6">
      <c r="A4" s="358"/>
      <c r="B4" s="358"/>
      <c r="D4" s="358"/>
      <c r="E4" s="362" t="s">
        <v>461</v>
      </c>
      <c r="F4" s="363"/>
      <c r="G4" s="363"/>
      <c r="H4" s="365"/>
      <c r="I4" s="358"/>
      <c r="J4" s="358"/>
      <c r="K4" s="358"/>
      <c r="L4" s="358"/>
      <c r="M4" s="358"/>
      <c r="N4" s="358"/>
      <c r="O4" s="358"/>
      <c r="P4" s="358"/>
      <c r="Q4" s="358"/>
    </row>
    <row r="5" spans="1:36" ht="15.6">
      <c r="A5" s="358"/>
      <c r="B5" s="358"/>
      <c r="C5" s="358"/>
      <c r="D5" s="358"/>
      <c r="E5" s="358"/>
      <c r="F5" s="358"/>
      <c r="G5" s="358"/>
      <c r="H5" s="358"/>
      <c r="I5" s="358"/>
      <c r="J5" s="358"/>
      <c r="K5" s="358"/>
      <c r="L5" s="358"/>
      <c r="M5" s="358"/>
      <c r="N5" s="358"/>
      <c r="O5" s="358"/>
      <c r="P5" s="171"/>
      <c r="Q5" s="358"/>
    </row>
    <row r="6" spans="1:36" ht="17.399999999999999">
      <c r="A6" s="2469" t="s">
        <v>462</v>
      </c>
      <c r="B6" s="2469"/>
      <c r="C6" s="2469"/>
      <c r="D6" s="2469"/>
      <c r="E6" s="2469"/>
      <c r="F6" s="366"/>
      <c r="G6" s="366"/>
      <c r="H6" s="366"/>
      <c r="I6" s="358"/>
      <c r="J6" s="358"/>
      <c r="K6" s="358"/>
      <c r="L6" s="358"/>
      <c r="M6" s="358"/>
      <c r="N6" s="358"/>
      <c r="O6" s="358"/>
      <c r="P6" s="140"/>
      <c r="Q6" s="358"/>
    </row>
    <row r="7" spans="1:36" ht="17.399999999999999">
      <c r="A7" s="2470" t="str">
        <f>CC!E2</f>
        <v>BHILAI STEEL PLANT</v>
      </c>
      <c r="B7" s="2470"/>
      <c r="C7" s="2470"/>
      <c r="D7" s="2470"/>
      <c r="E7" s="2470"/>
      <c r="F7" s="366"/>
      <c r="G7" s="366"/>
      <c r="H7" s="366"/>
      <c r="I7" s="358"/>
      <c r="J7" s="358"/>
      <c r="K7" s="358"/>
      <c r="L7" s="358"/>
      <c r="M7" s="358"/>
      <c r="N7" s="358"/>
      <c r="O7" s="358"/>
      <c r="P7" s="358"/>
      <c r="Q7" s="358"/>
    </row>
    <row r="8" spans="1:36" ht="39.75" customHeight="1">
      <c r="A8" s="2471" t="str">
        <f>CC!C3</f>
        <v>Extension of mixer bay and replacement of 02 nos mixer cranes 125+30t, span 28 m in SMS-2</v>
      </c>
      <c r="B8" s="2471" t="s">
        <v>463</v>
      </c>
      <c r="C8" s="2471"/>
      <c r="D8" s="2471"/>
      <c r="E8" s="2471"/>
      <c r="F8" s="366"/>
      <c r="G8" s="366"/>
      <c r="H8" s="366"/>
      <c r="I8" s="358"/>
      <c r="J8" s="358"/>
      <c r="K8" s="358"/>
      <c r="L8" s="358"/>
      <c r="M8" s="358"/>
      <c r="N8" s="358"/>
      <c r="O8" s="358"/>
      <c r="P8" s="358"/>
      <c r="Q8" s="358"/>
    </row>
    <row r="9" spans="1:36" ht="15.6">
      <c r="A9" s="2472" t="s">
        <v>464</v>
      </c>
      <c r="B9" s="2472"/>
      <c r="C9" s="2472"/>
      <c r="D9" s="2472"/>
      <c r="E9" s="2472"/>
      <c r="F9" s="367"/>
      <c r="G9" s="367"/>
      <c r="H9" s="367"/>
      <c r="I9" s="358"/>
      <c r="J9" s="358"/>
      <c r="K9" s="358"/>
      <c r="L9" s="358"/>
      <c r="M9" s="358"/>
      <c r="N9" s="358"/>
      <c r="O9" s="358"/>
      <c r="P9" s="358"/>
      <c r="Q9" s="358"/>
    </row>
    <row r="10" spans="1:36" ht="15.6">
      <c r="A10" s="2473" t="s">
        <v>465</v>
      </c>
      <c r="B10" s="2473"/>
      <c r="C10" s="2473"/>
      <c r="D10" s="2473"/>
      <c r="E10" s="2473"/>
      <c r="F10" s="367"/>
      <c r="G10" s="367"/>
      <c r="H10" s="367"/>
      <c r="I10" s="358"/>
      <c r="J10" s="358"/>
      <c r="K10" s="358"/>
      <c r="L10" s="358"/>
      <c r="M10" s="358"/>
      <c r="N10" s="358"/>
      <c r="O10" s="358"/>
      <c r="P10" s="358"/>
      <c r="Q10" s="358"/>
    </row>
    <row r="11" spans="1:36" ht="15.6">
      <c r="A11" s="368"/>
      <c r="B11" s="368"/>
      <c r="C11" s="368"/>
      <c r="D11" s="358"/>
      <c r="E11" s="358"/>
      <c r="F11" s="367"/>
      <c r="G11" s="367"/>
      <c r="H11" s="367"/>
      <c r="I11" s="358"/>
      <c r="J11" s="358"/>
      <c r="K11" s="358"/>
      <c r="L11" s="358"/>
      <c r="M11" s="358"/>
      <c r="N11" s="358"/>
      <c r="O11" s="358"/>
      <c r="P11" s="358"/>
      <c r="Q11" s="358"/>
    </row>
    <row r="12" spans="1:36" ht="16.2" thickBot="1">
      <c r="A12" s="369"/>
      <c r="B12" s="370" t="s">
        <v>466</v>
      </c>
      <c r="C12" s="371">
        <f>C44</f>
        <v>75</v>
      </c>
      <c r="D12" s="372"/>
      <c r="E12" s="373" t="s">
        <v>467</v>
      </c>
      <c r="F12" s="374"/>
      <c r="G12" s="374"/>
      <c r="H12" s="374"/>
      <c r="I12" s="358"/>
      <c r="J12" s="358"/>
      <c r="K12" s="374"/>
      <c r="L12" s="358"/>
      <c r="M12" s="358"/>
      <c r="N12" s="358"/>
      <c r="O12" s="358"/>
      <c r="P12" s="358"/>
      <c r="Q12" s="358"/>
      <c r="S12" s="375"/>
      <c r="T12" s="376"/>
      <c r="U12" s="376"/>
      <c r="V12" s="377"/>
      <c r="W12" s="376"/>
      <c r="AE12" s="376"/>
      <c r="AF12" s="376"/>
      <c r="AG12" s="376"/>
      <c r="AH12" s="376"/>
      <c r="AI12" s="376"/>
      <c r="AJ12" s="376"/>
    </row>
    <row r="13" spans="1:36" ht="16.2" thickBot="1">
      <c r="A13" s="369"/>
      <c r="B13" s="370" t="s">
        <v>468</v>
      </c>
      <c r="C13" s="371">
        <f>C45</f>
        <v>68</v>
      </c>
      <c r="D13" s="372"/>
      <c r="E13" s="373"/>
      <c r="F13" s="374"/>
      <c r="G13" s="374"/>
      <c r="H13" s="374"/>
      <c r="I13" s="358"/>
      <c r="J13" s="358"/>
      <c r="K13" s="374"/>
      <c r="L13" s="358"/>
      <c r="M13" s="358"/>
      <c r="N13" s="358"/>
      <c r="O13" s="358"/>
      <c r="P13" s="358"/>
      <c r="Q13" s="358"/>
      <c r="S13" s="375"/>
      <c r="T13" s="376"/>
      <c r="U13" s="376"/>
      <c r="V13" s="377"/>
      <c r="W13" s="376"/>
      <c r="AE13" s="376"/>
      <c r="AF13" s="376"/>
      <c r="AG13" s="376"/>
      <c r="AH13" s="376"/>
      <c r="AI13" s="376"/>
      <c r="AJ13" s="376"/>
    </row>
    <row r="14" spans="1:36" ht="32.25" customHeight="1" thickBot="1">
      <c r="A14" s="378" t="s">
        <v>469</v>
      </c>
      <c r="B14" s="379" t="s">
        <v>470</v>
      </c>
      <c r="C14" s="379" t="s">
        <v>37</v>
      </c>
      <c r="D14" s="380" t="s">
        <v>32</v>
      </c>
      <c r="E14" s="381" t="s">
        <v>9</v>
      </c>
      <c r="F14" s="368"/>
      <c r="G14" s="368"/>
      <c r="H14" s="382"/>
      <c r="I14" s="382"/>
      <c r="J14" s="382"/>
      <c r="K14" s="382"/>
      <c r="L14" s="383"/>
      <c r="M14" s="383"/>
      <c r="N14" s="383"/>
      <c r="O14" s="383"/>
      <c r="P14" s="367"/>
      <c r="Q14" s="358"/>
      <c r="R14" s="367"/>
      <c r="S14" s="384"/>
      <c r="T14" s="376"/>
      <c r="U14" s="376"/>
      <c r="V14" s="376"/>
      <c r="W14" s="376"/>
      <c r="X14" s="367"/>
      <c r="Y14" s="367"/>
      <c r="Z14" s="367"/>
      <c r="AA14" s="367"/>
      <c r="AB14" s="385"/>
      <c r="AE14" s="386"/>
      <c r="AF14" s="376"/>
      <c r="AG14" s="376"/>
      <c r="AH14" s="376"/>
      <c r="AI14" s="376"/>
      <c r="AJ14" s="376"/>
    </row>
    <row r="15" spans="1:36" ht="30" customHeight="1">
      <c r="A15" s="387">
        <v>1</v>
      </c>
      <c r="B15" s="388" t="s">
        <v>471</v>
      </c>
      <c r="C15" s="389" t="e">
        <f>C54</f>
        <v>#REF!</v>
      </c>
      <c r="D15" s="390" t="e">
        <f>SUM(D54:G54)</f>
        <v>#REF!</v>
      </c>
      <c r="E15" s="391" t="e">
        <f>C15+D15</f>
        <v>#REF!</v>
      </c>
      <c r="F15" s="368"/>
      <c r="G15" s="368"/>
      <c r="H15" s="392"/>
      <c r="I15" s="393"/>
      <c r="J15" s="392"/>
      <c r="K15" s="393"/>
      <c r="L15" s="358"/>
      <c r="M15" s="358"/>
      <c r="N15" s="358"/>
      <c r="O15" s="358"/>
      <c r="P15" s="394"/>
      <c r="Q15" s="395"/>
      <c r="R15" s="396"/>
      <c r="S15" s="397"/>
      <c r="T15" s="376"/>
      <c r="U15" s="376"/>
      <c r="V15" s="376"/>
      <c r="W15" s="376"/>
      <c r="X15" s="396"/>
      <c r="Y15" s="396"/>
      <c r="Z15" s="396"/>
      <c r="AA15" s="396"/>
      <c r="AB15" s="396"/>
      <c r="AE15" s="398"/>
      <c r="AF15" s="399"/>
      <c r="AG15" s="376"/>
      <c r="AH15" s="376"/>
      <c r="AI15" s="376"/>
      <c r="AJ15" s="376"/>
    </row>
    <row r="16" spans="1:36" ht="37.5" customHeight="1">
      <c r="A16" s="387">
        <v>2</v>
      </c>
      <c r="B16" s="400" t="s">
        <v>472</v>
      </c>
      <c r="C16" s="389">
        <f>C55+C56+C57</f>
        <v>0</v>
      </c>
      <c r="D16" s="401" t="e">
        <f>SUM(D55:G57)</f>
        <v>#REF!</v>
      </c>
      <c r="E16" s="391" t="e">
        <f t="shared" ref="E16:E33" si="0">C16+D16</f>
        <v>#REF!</v>
      </c>
      <c r="F16" s="358"/>
      <c r="G16" s="358"/>
      <c r="H16" s="395"/>
      <c r="I16" s="361"/>
      <c r="J16" s="395"/>
      <c r="K16" s="402"/>
      <c r="L16" s="403"/>
      <c r="M16" s="403"/>
      <c r="N16" s="403"/>
      <c r="O16" s="403"/>
      <c r="P16" s="394"/>
      <c r="Q16" s="395"/>
      <c r="R16" s="396"/>
      <c r="S16" s="404"/>
      <c r="T16" s="405"/>
      <c r="U16" s="406"/>
      <c r="V16" s="406"/>
      <c r="W16" s="407"/>
      <c r="X16" s="396"/>
      <c r="Y16" s="396"/>
      <c r="Z16" s="396"/>
      <c r="AA16" s="396"/>
      <c r="AB16" s="396"/>
      <c r="AE16" s="398"/>
      <c r="AF16" s="399"/>
      <c r="AG16" s="376"/>
      <c r="AH16" s="408"/>
      <c r="AI16" s="376"/>
      <c r="AJ16" s="376"/>
    </row>
    <row r="17" spans="1:36" ht="34.5" customHeight="1">
      <c r="A17" s="387">
        <v>3</v>
      </c>
      <c r="B17" s="400" t="s">
        <v>473</v>
      </c>
      <c r="C17" s="389"/>
      <c r="D17" s="409" t="e">
        <f>SUM(D58:G58)</f>
        <v>#REF!</v>
      </c>
      <c r="E17" s="391" t="e">
        <f t="shared" si="0"/>
        <v>#REF!</v>
      </c>
      <c r="F17" s="410"/>
      <c r="G17" s="410"/>
      <c r="H17" s="411"/>
      <c r="I17" s="412"/>
      <c r="J17" s="411"/>
      <c r="K17" s="412"/>
      <c r="L17" s="358"/>
      <c r="M17" s="358"/>
      <c r="N17" s="358"/>
      <c r="O17" s="358"/>
      <c r="P17" s="394"/>
      <c r="Q17" s="395"/>
      <c r="R17" s="396"/>
      <c r="S17" s="404"/>
      <c r="T17" s="413"/>
      <c r="U17" s="406"/>
      <c r="V17" s="406"/>
      <c r="W17" s="407"/>
      <c r="X17" s="396"/>
      <c r="Y17" s="396"/>
      <c r="Z17" s="396"/>
      <c r="AA17" s="396"/>
      <c r="AB17" s="396"/>
      <c r="AE17" s="376"/>
      <c r="AF17" s="376"/>
      <c r="AG17" s="376"/>
      <c r="AH17" s="376"/>
      <c r="AI17" s="376"/>
      <c r="AJ17" s="376"/>
    </row>
    <row r="18" spans="1:36" ht="23.25" customHeight="1">
      <c r="A18" s="387">
        <v>4</v>
      </c>
      <c r="B18" s="414" t="s">
        <v>474</v>
      </c>
      <c r="C18" s="389">
        <f>C59</f>
        <v>0</v>
      </c>
      <c r="D18" s="409">
        <f>SUM(D59:G59)</f>
        <v>0</v>
      </c>
      <c r="E18" s="391">
        <f t="shared" si="0"/>
        <v>0</v>
      </c>
      <c r="F18" s="410"/>
      <c r="G18" s="410"/>
      <c r="H18" s="396"/>
      <c r="I18" s="394"/>
      <c r="J18" s="396"/>
      <c r="K18" s="415"/>
      <c r="L18" s="361"/>
      <c r="M18" s="361"/>
      <c r="N18" s="361"/>
      <c r="O18" s="361"/>
      <c r="P18" s="394"/>
      <c r="Q18" s="395"/>
      <c r="R18" s="396"/>
      <c r="S18" s="416"/>
      <c r="T18" s="417"/>
      <c r="U18" s="416"/>
      <c r="V18" s="416"/>
      <c r="W18" s="416"/>
      <c r="X18" s="396"/>
      <c r="Y18" s="396"/>
      <c r="Z18" s="396"/>
      <c r="AA18" s="396"/>
      <c r="AB18" s="396"/>
      <c r="AE18" s="416"/>
      <c r="AF18" s="416"/>
      <c r="AG18" s="418"/>
      <c r="AH18" s="418"/>
      <c r="AI18" s="406"/>
      <c r="AJ18" s="376"/>
    </row>
    <row r="19" spans="1:36" ht="30" customHeight="1">
      <c r="A19" s="387">
        <v>5</v>
      </c>
      <c r="B19" s="400" t="s">
        <v>475</v>
      </c>
      <c r="C19" s="389"/>
      <c r="D19" s="409" t="e">
        <f>SUM(D61:G61)</f>
        <v>#REF!</v>
      </c>
      <c r="E19" s="391" t="e">
        <f t="shared" si="0"/>
        <v>#REF!</v>
      </c>
      <c r="F19" s="358"/>
      <c r="G19" s="410"/>
      <c r="H19" s="411"/>
      <c r="I19" s="412"/>
      <c r="J19" s="411"/>
      <c r="K19" s="412"/>
      <c r="L19" s="358"/>
      <c r="M19" s="358"/>
      <c r="N19" s="358"/>
      <c r="O19" s="358"/>
      <c r="P19" s="394"/>
      <c r="Q19" s="395"/>
      <c r="R19" s="396"/>
      <c r="S19" s="376"/>
      <c r="T19" s="376"/>
      <c r="U19" s="376"/>
      <c r="V19" s="376"/>
      <c r="W19" s="416"/>
      <c r="X19" s="396"/>
      <c r="Y19" s="396"/>
      <c r="Z19" s="396"/>
      <c r="AA19" s="396"/>
      <c r="AB19" s="396"/>
      <c r="AE19" s="416"/>
      <c r="AF19" s="416"/>
      <c r="AI19" s="419"/>
      <c r="AJ19" s="376"/>
    </row>
    <row r="20" spans="1:36" ht="30" customHeight="1">
      <c r="A20" s="387">
        <v>6</v>
      </c>
      <c r="B20" s="400" t="s">
        <v>476</v>
      </c>
      <c r="C20" s="415"/>
      <c r="D20" s="409" t="e">
        <f>SUM(D60:G60)+SUM(D62:G62)</f>
        <v>#REF!</v>
      </c>
      <c r="E20" s="391" t="e">
        <f t="shared" si="0"/>
        <v>#REF!</v>
      </c>
      <c r="F20" s="358"/>
      <c r="G20" s="410"/>
      <c r="H20" s="411"/>
      <c r="I20" s="412"/>
      <c r="J20" s="411"/>
      <c r="K20" s="412"/>
      <c r="L20" s="358"/>
      <c r="M20" s="358"/>
      <c r="N20" s="358"/>
      <c r="O20" s="358"/>
      <c r="P20" s="394"/>
      <c r="Q20" s="395"/>
      <c r="R20" s="396"/>
      <c r="S20" s="376"/>
      <c r="T20" s="376"/>
      <c r="U20" s="376"/>
      <c r="V20" s="376"/>
      <c r="W20" s="416"/>
      <c r="X20" s="396"/>
      <c r="Y20" s="396"/>
      <c r="Z20" s="396"/>
      <c r="AA20" s="396"/>
      <c r="AB20" s="396"/>
      <c r="AE20" s="416"/>
      <c r="AF20" s="416"/>
      <c r="AI20" s="419"/>
      <c r="AJ20" s="376"/>
    </row>
    <row r="21" spans="1:36" ht="48.75" customHeight="1">
      <c r="A21" s="387">
        <v>7</v>
      </c>
      <c r="B21" s="400" t="s">
        <v>477</v>
      </c>
      <c r="C21" s="420"/>
      <c r="D21" s="401" t="e">
        <f>SUM(D63:G66)</f>
        <v>#REF!</v>
      </c>
      <c r="E21" s="391" t="e">
        <f t="shared" si="0"/>
        <v>#REF!</v>
      </c>
      <c r="H21" s="411"/>
      <c r="I21" s="412"/>
      <c r="J21" s="411"/>
      <c r="K21" s="412"/>
    </row>
    <row r="22" spans="1:36" ht="42.75" customHeight="1">
      <c r="A22" s="387">
        <v>8</v>
      </c>
      <c r="B22" s="421" t="s">
        <v>478</v>
      </c>
      <c r="C22" s="422">
        <f>C67</f>
        <v>0</v>
      </c>
      <c r="D22" s="423"/>
      <c r="E22" s="391">
        <f t="shared" si="0"/>
        <v>0</v>
      </c>
      <c r="F22" s="358"/>
      <c r="G22" s="411"/>
      <c r="H22" s="411"/>
      <c r="I22" s="424"/>
      <c r="J22" s="411"/>
      <c r="K22" s="402"/>
      <c r="L22" s="361"/>
      <c r="M22" s="361"/>
      <c r="N22" s="361"/>
      <c r="O22" s="361"/>
      <c r="P22" s="394"/>
      <c r="Q22" s="395"/>
      <c r="R22" s="396"/>
      <c r="S22" s="425"/>
      <c r="T22" s="426"/>
      <c r="U22" s="427"/>
      <c r="V22" s="428"/>
      <c r="W22" s="429"/>
      <c r="X22" s="396"/>
      <c r="Y22" s="396"/>
      <c r="Z22" s="396"/>
      <c r="AA22" s="396"/>
      <c r="AB22" s="396"/>
      <c r="AE22" s="426"/>
      <c r="AF22" s="430"/>
      <c r="AG22" s="431"/>
      <c r="AH22" s="420"/>
      <c r="AI22" s="399"/>
      <c r="AJ22" s="376"/>
    </row>
    <row r="23" spans="1:36" ht="22.5" customHeight="1">
      <c r="A23" s="387">
        <v>9</v>
      </c>
      <c r="B23" s="414" t="s">
        <v>479</v>
      </c>
      <c r="C23" s="432">
        <f>C68</f>
        <v>0</v>
      </c>
      <c r="D23" s="409"/>
      <c r="E23" s="391">
        <f t="shared" si="0"/>
        <v>0</v>
      </c>
      <c r="F23" s="358"/>
      <c r="G23" s="410"/>
      <c r="H23" s="396"/>
      <c r="I23" s="394"/>
      <c r="J23" s="396"/>
      <c r="K23" s="415"/>
      <c r="L23" s="361"/>
      <c r="M23" s="361"/>
      <c r="N23" s="361"/>
      <c r="O23" s="361"/>
      <c r="P23" s="367"/>
      <c r="Q23" s="433"/>
      <c r="R23" s="410"/>
      <c r="S23" s="434"/>
      <c r="T23" s="426"/>
      <c r="U23" s="427"/>
      <c r="V23" s="428"/>
      <c r="W23" s="429"/>
      <c r="X23" s="410"/>
      <c r="Y23" s="410"/>
      <c r="Z23" s="410"/>
      <c r="AA23" s="396"/>
      <c r="AB23" s="396"/>
      <c r="AE23" s="426"/>
      <c r="AF23" s="430"/>
      <c r="AG23" s="435"/>
      <c r="AI23" s="376"/>
      <c r="AJ23" s="376"/>
    </row>
    <row r="24" spans="1:36" ht="34.5" customHeight="1">
      <c r="A24" s="387">
        <v>10</v>
      </c>
      <c r="B24" s="421" t="s">
        <v>480</v>
      </c>
      <c r="C24" s="432">
        <f>C69</f>
        <v>0</v>
      </c>
      <c r="D24" s="409">
        <f>G69</f>
        <v>0</v>
      </c>
      <c r="E24" s="391">
        <f t="shared" si="0"/>
        <v>0</v>
      </c>
      <c r="F24" s="358"/>
      <c r="G24" s="410"/>
      <c r="H24" s="411"/>
      <c r="I24" s="436"/>
      <c r="J24" s="411"/>
      <c r="K24" s="411"/>
      <c r="L24" s="361"/>
      <c r="M24" s="361"/>
      <c r="N24" s="361"/>
      <c r="O24" s="361"/>
      <c r="P24" s="367"/>
      <c r="Q24" s="433"/>
      <c r="R24" s="410"/>
      <c r="S24" s="434"/>
      <c r="T24" s="426"/>
      <c r="U24" s="427"/>
      <c r="V24" s="428"/>
      <c r="W24" s="429"/>
      <c r="X24" s="410"/>
      <c r="Y24" s="410"/>
      <c r="Z24" s="410"/>
      <c r="AA24" s="396"/>
      <c r="AB24" s="396"/>
      <c r="AE24" s="437"/>
      <c r="AF24" s="430"/>
      <c r="AG24" s="435"/>
      <c r="AI24" s="376"/>
      <c r="AJ24" s="376"/>
    </row>
    <row r="25" spans="1:36" ht="33.75" customHeight="1">
      <c r="A25" s="438">
        <v>11</v>
      </c>
      <c r="B25" s="439" t="s">
        <v>481</v>
      </c>
      <c r="C25" s="2474" t="s">
        <v>482</v>
      </c>
      <c r="D25" s="2475"/>
      <c r="E25" s="2476"/>
      <c r="F25" s="358"/>
      <c r="G25" s="410"/>
      <c r="H25" s="411"/>
      <c r="I25" s="440"/>
      <c r="J25" s="411"/>
      <c r="K25" s="441"/>
      <c r="L25" s="361"/>
      <c r="M25" s="361"/>
      <c r="N25" s="361"/>
      <c r="O25" s="361"/>
      <c r="P25" s="394"/>
      <c r="Q25" s="395"/>
      <c r="R25" s="396"/>
      <c r="S25" s="425"/>
      <c r="T25" s="442"/>
      <c r="U25" s="406"/>
      <c r="V25" s="443"/>
      <c r="W25" s="407"/>
      <c r="X25" s="396"/>
      <c r="Y25" s="396"/>
      <c r="Z25" s="396"/>
      <c r="AB25" s="396"/>
      <c r="AE25" s="444"/>
      <c r="AF25" s="430"/>
      <c r="AG25" s="435"/>
      <c r="AI25" s="376"/>
      <c r="AJ25" s="376"/>
    </row>
    <row r="26" spans="1:36" ht="15.6">
      <c r="A26" s="438">
        <v>12</v>
      </c>
      <c r="B26" s="445" t="s">
        <v>483</v>
      </c>
      <c r="C26" s="446" t="e">
        <f>SUM(C15:C24)</f>
        <v>#REF!</v>
      </c>
      <c r="D26" s="446" t="e">
        <f>SUM(D15:D24)</f>
        <v>#REF!</v>
      </c>
      <c r="E26" s="447" t="e">
        <f t="shared" si="0"/>
        <v>#REF!</v>
      </c>
      <c r="F26" s="358"/>
      <c r="G26" s="410"/>
      <c r="H26" s="448"/>
      <c r="I26" s="449"/>
      <c r="J26" s="450"/>
      <c r="K26" s="451"/>
      <c r="L26" s="358"/>
      <c r="M26" s="358"/>
      <c r="N26" s="358"/>
      <c r="O26" s="358"/>
      <c r="P26" s="394"/>
      <c r="Q26" s="395"/>
      <c r="R26" s="396"/>
      <c r="S26" s="425"/>
      <c r="T26" s="442"/>
      <c r="U26" s="406"/>
      <c r="V26" s="443"/>
      <c r="W26" s="407"/>
      <c r="X26" s="396"/>
      <c r="Y26" s="396"/>
      <c r="Z26" s="396"/>
      <c r="AB26" s="396"/>
      <c r="AE26" s="444"/>
      <c r="AF26" s="430"/>
      <c r="AG26" s="435"/>
      <c r="AI26" s="376"/>
      <c r="AJ26" s="376"/>
    </row>
    <row r="27" spans="1:36" ht="15.6">
      <c r="A27" s="387">
        <v>13</v>
      </c>
      <c r="B27" s="452" t="s">
        <v>484</v>
      </c>
      <c r="C27" s="453">
        <v>0</v>
      </c>
      <c r="D27" s="454"/>
      <c r="E27" s="454"/>
      <c r="F27" s="455"/>
      <c r="G27" s="358"/>
      <c r="H27" s="358"/>
      <c r="L27" s="358"/>
      <c r="M27" s="358"/>
      <c r="N27" s="358"/>
      <c r="O27" s="358"/>
      <c r="P27" s="358"/>
      <c r="Q27" s="358"/>
      <c r="S27" s="456"/>
      <c r="T27" s="457"/>
      <c r="U27" s="416"/>
      <c r="V27" s="458"/>
      <c r="W27" s="417"/>
      <c r="AE27" s="417"/>
      <c r="AF27" s="417"/>
      <c r="AI27" s="417"/>
      <c r="AJ27" s="376">
        <f>AE27-AI27</f>
        <v>0</v>
      </c>
    </row>
    <row r="28" spans="1:36" ht="15.6">
      <c r="A28" s="459" t="s">
        <v>298</v>
      </c>
      <c r="B28" s="460" t="s">
        <v>485</v>
      </c>
      <c r="C28" s="389"/>
      <c r="D28" s="461">
        <f>+(C16+C17+C18+C24)*0.075</f>
        <v>0</v>
      </c>
      <c r="E28" s="391">
        <f t="shared" si="0"/>
        <v>0</v>
      </c>
      <c r="F28" s="358"/>
      <c r="G28" s="358"/>
      <c r="H28" s="358"/>
      <c r="L28" s="358"/>
      <c r="M28" s="358"/>
      <c r="N28" s="358"/>
      <c r="O28" s="358"/>
      <c r="P28" s="358"/>
      <c r="Q28" s="358"/>
      <c r="S28" s="376"/>
      <c r="T28" s="462"/>
      <c r="U28" s="418"/>
      <c r="V28" s="437"/>
      <c r="W28" s="437"/>
      <c r="AE28" s="376"/>
      <c r="AF28" s="376"/>
      <c r="AI28" s="376"/>
      <c r="AJ28" s="376"/>
    </row>
    <row r="29" spans="1:36" ht="15.6">
      <c r="A29" s="459" t="s">
        <v>346</v>
      </c>
      <c r="B29" s="414" t="s">
        <v>486</v>
      </c>
      <c r="C29" s="389"/>
      <c r="D29" s="461">
        <f>+(D28)*0.1</f>
        <v>0</v>
      </c>
      <c r="E29" s="391">
        <f t="shared" si="0"/>
        <v>0</v>
      </c>
      <c r="F29" s="358"/>
      <c r="G29" s="358"/>
      <c r="H29" s="358"/>
      <c r="I29" s="358"/>
      <c r="J29" s="358"/>
      <c r="K29" s="358"/>
      <c r="L29" s="358"/>
      <c r="M29" s="358"/>
      <c r="N29" s="358"/>
      <c r="O29" s="358"/>
      <c r="P29" s="358"/>
      <c r="Q29" s="358"/>
      <c r="S29" s="430"/>
      <c r="T29" s="463"/>
      <c r="U29" s="418"/>
      <c r="V29" s="437"/>
      <c r="W29" s="437"/>
      <c r="AE29" s="376"/>
      <c r="AF29" s="376"/>
      <c r="AI29" s="376"/>
      <c r="AJ29" s="376"/>
    </row>
    <row r="30" spans="1:36" ht="15.6">
      <c r="A30" s="459" t="s">
        <v>347</v>
      </c>
      <c r="B30" s="414" t="s">
        <v>487</v>
      </c>
      <c r="C30" s="389"/>
      <c r="D30" s="461">
        <f>((C16+C17+C18+C24)+D28+D29)*0.18</f>
        <v>0</v>
      </c>
      <c r="E30" s="391">
        <f t="shared" si="0"/>
        <v>0</v>
      </c>
      <c r="F30" s="358"/>
      <c r="G30" s="358"/>
      <c r="H30" s="358"/>
      <c r="I30" s="358"/>
      <c r="J30" s="358"/>
      <c r="K30" s="358"/>
      <c r="L30" s="358"/>
      <c r="M30" s="358"/>
      <c r="N30" s="358"/>
      <c r="O30" s="358"/>
      <c r="P30" s="358"/>
      <c r="Q30" s="358"/>
      <c r="S30" s="430"/>
      <c r="T30" s="463"/>
      <c r="U30" s="418"/>
      <c r="V30" s="437"/>
      <c r="W30" s="437"/>
      <c r="AE30" s="376"/>
      <c r="AF30" s="376"/>
      <c r="AI30" s="376"/>
      <c r="AJ30" s="376"/>
    </row>
    <row r="31" spans="1:36" ht="20.25" customHeight="1">
      <c r="A31" s="464" t="s">
        <v>348</v>
      </c>
      <c r="B31" s="421" t="s">
        <v>488</v>
      </c>
      <c r="C31" s="389"/>
      <c r="D31" s="461" t="e">
        <f>+(C15+C22+C23)*0.1/(1-0.1)</f>
        <v>#REF!</v>
      </c>
      <c r="E31" s="391" t="e">
        <f t="shared" si="0"/>
        <v>#REF!</v>
      </c>
      <c r="F31" s="358"/>
      <c r="G31" s="358"/>
      <c r="H31" s="358"/>
      <c r="I31" s="358"/>
      <c r="J31" s="358"/>
      <c r="K31" s="358"/>
      <c r="L31" s="358"/>
      <c r="M31" s="358"/>
      <c r="N31" s="358"/>
      <c r="O31" s="358"/>
      <c r="P31" s="358"/>
      <c r="Q31" s="358"/>
      <c r="S31" s="376"/>
      <c r="T31" s="386"/>
      <c r="U31" s="418"/>
      <c r="V31" s="437"/>
      <c r="W31" s="437"/>
      <c r="AE31" s="465"/>
      <c r="AF31" s="376"/>
      <c r="AI31" s="465"/>
      <c r="AJ31" s="376"/>
    </row>
    <row r="32" spans="1:36" ht="15.6">
      <c r="A32" s="464" t="s">
        <v>78</v>
      </c>
      <c r="B32" s="421" t="s">
        <v>489</v>
      </c>
      <c r="C32" s="466"/>
      <c r="D32" s="467" t="e">
        <f>+(C15+C22+C23+D31)*0.18</f>
        <v>#REF!</v>
      </c>
      <c r="E32" s="468" t="e">
        <f t="shared" si="0"/>
        <v>#REF!</v>
      </c>
      <c r="F32" s="358"/>
      <c r="G32" s="358"/>
      <c r="H32" s="358"/>
      <c r="I32" s="358"/>
      <c r="J32" s="410"/>
      <c r="K32" s="358"/>
      <c r="L32" s="358"/>
      <c r="M32" s="358"/>
      <c r="N32" s="358"/>
      <c r="O32" s="358"/>
      <c r="P32" s="358"/>
      <c r="Q32" s="358"/>
      <c r="S32" s="417"/>
      <c r="T32" s="469"/>
      <c r="U32" s="418"/>
      <c r="V32" s="418"/>
      <c r="W32" s="418"/>
      <c r="AE32" s="437"/>
      <c r="AF32" s="417"/>
      <c r="AI32" s="376"/>
      <c r="AJ32" s="376"/>
    </row>
    <row r="33" spans="1:36" ht="15.6">
      <c r="A33" s="470"/>
      <c r="B33" s="471" t="s">
        <v>490</v>
      </c>
      <c r="C33" s="472">
        <f>SUM(C28:C32)</f>
        <v>0</v>
      </c>
      <c r="D33" s="461" t="e">
        <f>SUM(D28:D32)</f>
        <v>#REF!</v>
      </c>
      <c r="E33" s="391" t="e">
        <f t="shared" si="0"/>
        <v>#REF!</v>
      </c>
      <c r="F33" s="358"/>
      <c r="G33" s="358"/>
      <c r="H33" s="358"/>
      <c r="I33" s="358"/>
      <c r="J33" s="473"/>
      <c r="K33" s="410"/>
      <c r="L33" s="358"/>
      <c r="M33" s="358"/>
      <c r="N33" s="358"/>
      <c r="O33" s="358"/>
      <c r="P33" s="358"/>
      <c r="Q33" s="358"/>
      <c r="S33" s="417"/>
      <c r="T33" s="474"/>
      <c r="U33" s="475"/>
      <c r="V33" s="475"/>
      <c r="W33" s="475"/>
      <c r="AE33" s="444"/>
      <c r="AF33" s="417"/>
      <c r="AI33" s="376"/>
      <c r="AJ33" s="376"/>
    </row>
    <row r="34" spans="1:36" ht="15.6">
      <c r="A34" s="476">
        <v>14</v>
      </c>
      <c r="B34" s="477" t="s">
        <v>491</v>
      </c>
      <c r="C34" s="478" t="e">
        <f>C33+C26</f>
        <v>#REF!</v>
      </c>
      <c r="D34" s="478" t="e">
        <f>D33+D26</f>
        <v>#REF!</v>
      </c>
      <c r="E34" s="478" t="e">
        <f>E33+E26</f>
        <v>#REF!</v>
      </c>
      <c r="F34" s="358"/>
      <c r="G34" s="358"/>
      <c r="H34" s="358"/>
      <c r="I34" s="358"/>
      <c r="J34" s="473"/>
      <c r="K34" s="410"/>
      <c r="L34" s="358"/>
      <c r="M34" s="358"/>
      <c r="N34" s="358"/>
      <c r="O34" s="358"/>
      <c r="P34" s="358"/>
      <c r="Q34" s="358"/>
      <c r="S34" s="417"/>
      <c r="T34" s="474"/>
      <c r="U34" s="418"/>
      <c r="V34" s="479"/>
      <c r="W34" s="437"/>
      <c r="AE34" s="444"/>
      <c r="AF34" s="417"/>
      <c r="AI34" s="376"/>
      <c r="AJ34" s="376"/>
    </row>
    <row r="35" spans="1:36" ht="15.6">
      <c r="A35" s="480">
        <v>15</v>
      </c>
      <c r="B35" s="481" t="s">
        <v>492</v>
      </c>
      <c r="C35" s="482"/>
      <c r="D35" s="483" t="e">
        <f>I73</f>
        <v>#REF!</v>
      </c>
      <c r="E35" s="482" t="e">
        <f>C35+D35</f>
        <v>#REF!</v>
      </c>
      <c r="F35" s="358"/>
      <c r="G35" s="358"/>
      <c r="H35" s="358"/>
      <c r="I35" s="358"/>
      <c r="J35" s="473"/>
      <c r="K35" s="410"/>
      <c r="L35" s="358"/>
      <c r="M35" s="358"/>
      <c r="N35" s="358"/>
      <c r="O35" s="358"/>
      <c r="P35" s="358"/>
      <c r="Q35" s="358"/>
      <c r="S35" s="417"/>
      <c r="T35" s="474"/>
      <c r="U35" s="418"/>
      <c r="V35" s="479"/>
      <c r="W35" s="437"/>
      <c r="AE35" s="444"/>
      <c r="AF35" s="417"/>
      <c r="AI35" s="376"/>
      <c r="AJ35" s="376"/>
    </row>
    <row r="36" spans="1:36" ht="15.6">
      <c r="A36" s="476">
        <v>16</v>
      </c>
      <c r="B36" s="477" t="s">
        <v>493</v>
      </c>
      <c r="C36" s="484" t="e">
        <f>C34-C35</f>
        <v>#REF!</v>
      </c>
      <c r="D36" s="484" t="e">
        <f>D34-D35</f>
        <v>#REF!</v>
      </c>
      <c r="E36" s="484" t="e">
        <f>E34-E35</f>
        <v>#REF!</v>
      </c>
      <c r="F36" s="358"/>
      <c r="G36" s="358"/>
      <c r="H36" s="171"/>
      <c r="I36" s="485"/>
      <c r="J36" s="486"/>
      <c r="K36" s="358"/>
      <c r="L36" s="358"/>
      <c r="M36" s="358"/>
      <c r="N36" s="358"/>
      <c r="O36" s="358"/>
      <c r="P36" s="358"/>
      <c r="Q36" s="358"/>
    </row>
    <row r="37" spans="1:36" ht="15.6">
      <c r="A37" s="365"/>
      <c r="B37" s="487"/>
      <c r="C37" s="367"/>
      <c r="D37" s="358"/>
      <c r="E37" s="358"/>
      <c r="F37" s="358"/>
      <c r="G37" s="358"/>
      <c r="H37" s="358"/>
      <c r="I37" s="485"/>
      <c r="J37" s="488"/>
      <c r="K37" s="358"/>
      <c r="L37" s="358"/>
      <c r="M37" s="358"/>
      <c r="N37" s="358"/>
      <c r="O37" s="358"/>
      <c r="P37" s="358"/>
      <c r="Q37" s="358"/>
    </row>
    <row r="38" spans="1:36" ht="15.6">
      <c r="A38" s="365"/>
      <c r="B38" s="487"/>
      <c r="C38" s="367"/>
      <c r="D38" s="358"/>
      <c r="E38" s="358"/>
      <c r="F38" s="358"/>
      <c r="G38" s="358"/>
      <c r="H38" s="358"/>
      <c r="I38" s="486"/>
      <c r="J38" s="488"/>
      <c r="K38" s="358"/>
      <c r="L38" s="358"/>
      <c r="M38" s="358"/>
      <c r="N38" s="358"/>
      <c r="O38" s="358"/>
      <c r="P38" s="358"/>
      <c r="Q38" s="358"/>
    </row>
    <row r="39" spans="1:36" ht="15.6">
      <c r="A39" s="365"/>
      <c r="B39" s="487"/>
      <c r="C39" s="367"/>
      <c r="D39" s="358"/>
      <c r="E39" s="358"/>
      <c r="F39" s="358"/>
      <c r="G39" s="171"/>
      <c r="H39" s="358"/>
      <c r="I39" s="358"/>
      <c r="J39" s="488"/>
      <c r="K39" s="358"/>
      <c r="L39" s="358"/>
      <c r="M39" s="358"/>
      <c r="N39" s="358"/>
      <c r="O39" s="358"/>
      <c r="P39" s="358"/>
      <c r="Q39" s="358"/>
    </row>
    <row r="40" spans="1:36" ht="15.6">
      <c r="A40" s="365"/>
      <c r="B40" s="487"/>
      <c r="C40" s="367"/>
      <c r="D40" s="358"/>
      <c r="E40" s="489" t="s">
        <v>523</v>
      </c>
      <c r="F40" s="358"/>
      <c r="G40" s="358"/>
      <c r="H40" s="358"/>
      <c r="I40" s="486"/>
      <c r="J40" s="488"/>
      <c r="K40" s="358"/>
      <c r="L40" s="358"/>
      <c r="M40" s="358"/>
      <c r="N40" s="358"/>
      <c r="O40" s="358"/>
      <c r="P40" s="358"/>
      <c r="Q40" s="358"/>
    </row>
    <row r="41" spans="1:36" ht="15.6">
      <c r="A41" s="365"/>
      <c r="B41" s="487"/>
      <c r="C41" s="367"/>
      <c r="D41" s="358"/>
      <c r="E41" s="489" t="s">
        <v>524</v>
      </c>
      <c r="F41" s="358"/>
      <c r="G41" s="358"/>
      <c r="H41" s="358"/>
      <c r="I41" s="358"/>
      <c r="J41" s="488"/>
      <c r="K41" s="358"/>
      <c r="L41" s="358"/>
      <c r="M41" s="358"/>
      <c r="N41" s="358"/>
      <c r="O41" s="358"/>
      <c r="P41" s="358"/>
      <c r="Q41" s="358"/>
    </row>
    <row r="42" spans="1:36" ht="15.6">
      <c r="A42" s="365"/>
      <c r="B42" s="487"/>
      <c r="C42" s="367"/>
      <c r="D42" s="358"/>
      <c r="E42" s="490" t="s">
        <v>494</v>
      </c>
      <c r="F42" s="358"/>
      <c r="G42" s="358"/>
      <c r="H42" s="358"/>
      <c r="I42" s="358"/>
      <c r="J42" s="488"/>
      <c r="K42" s="358"/>
      <c r="L42" s="358"/>
      <c r="M42" s="358"/>
      <c r="N42" s="358"/>
      <c r="O42" s="358"/>
      <c r="P42" s="358"/>
      <c r="Q42" s="358"/>
    </row>
    <row r="43" spans="1:36" ht="15.6">
      <c r="A43" s="365"/>
      <c r="B43" s="487"/>
      <c r="C43" s="367"/>
      <c r="D43" s="358"/>
      <c r="E43" s="490"/>
      <c r="F43" s="358"/>
      <c r="G43" s="358"/>
      <c r="H43" s="358"/>
      <c r="I43" s="358"/>
      <c r="J43" s="488"/>
      <c r="K43" s="358"/>
      <c r="L43" s="358"/>
      <c r="M43" s="358"/>
      <c r="N43" s="358"/>
      <c r="O43" s="358"/>
      <c r="P43" s="358"/>
      <c r="Q43" s="358"/>
    </row>
    <row r="44" spans="1:36" ht="15.6">
      <c r="A44" s="365"/>
      <c r="B44" s="491" t="s">
        <v>466</v>
      </c>
      <c r="C44" s="492">
        <v>75</v>
      </c>
      <c r="D44" s="493" t="s">
        <v>495</v>
      </c>
      <c r="F44" s="358"/>
      <c r="I44" s="488"/>
      <c r="L44" s="358"/>
      <c r="M44" s="358"/>
      <c r="N44" s="358"/>
      <c r="O44" s="358"/>
      <c r="P44" s="358"/>
      <c r="Q44" s="358"/>
      <c r="S44" s="494"/>
      <c r="T44" s="420"/>
      <c r="U44" s="420"/>
      <c r="V44" s="420"/>
      <c r="W44" s="420"/>
      <c r="AF44" s="420"/>
      <c r="AG44" s="420"/>
      <c r="AH44" s="420"/>
      <c r="AI44" s="420"/>
      <c r="AJ44" s="495"/>
    </row>
    <row r="45" spans="1:36" ht="15.6">
      <c r="A45" s="365"/>
      <c r="B45" s="491" t="s">
        <v>468</v>
      </c>
      <c r="C45" s="492">
        <v>68</v>
      </c>
      <c r="D45" s="496" t="s">
        <v>496</v>
      </c>
      <c r="F45" s="358"/>
      <c r="G45" s="358"/>
      <c r="H45" s="358"/>
      <c r="I45" s="358"/>
      <c r="J45" s="488"/>
      <c r="L45" s="358"/>
      <c r="M45" s="358"/>
      <c r="N45" s="358"/>
      <c r="O45" s="358"/>
      <c r="P45" s="358"/>
      <c r="Q45" s="358"/>
      <c r="Y45" s="497"/>
      <c r="Z45" s="498"/>
      <c r="AA45" s="498"/>
      <c r="AB45" s="499"/>
      <c r="AC45" s="498"/>
    </row>
    <row r="46" spans="1:36" ht="15.6">
      <c r="A46" s="365"/>
      <c r="B46" s="500" t="s">
        <v>497</v>
      </c>
      <c r="C46" s="501">
        <v>0.06</v>
      </c>
      <c r="D46" s="502"/>
      <c r="F46" s="358"/>
      <c r="G46" s="358"/>
      <c r="H46" s="358"/>
      <c r="I46" s="358"/>
      <c r="J46" s="488"/>
      <c r="K46" s="358"/>
      <c r="L46" s="358"/>
      <c r="M46" s="358"/>
      <c r="N46" s="358"/>
      <c r="O46" s="358"/>
      <c r="P46" s="358"/>
      <c r="Q46" s="358"/>
      <c r="Y46" s="497"/>
      <c r="Z46" s="498"/>
      <c r="AA46" s="498"/>
      <c r="AB46" s="499"/>
      <c r="AC46" s="498"/>
    </row>
    <row r="47" spans="1:36" ht="15.6">
      <c r="A47" s="365"/>
      <c r="B47" s="500" t="s">
        <v>498</v>
      </c>
      <c r="C47" s="501">
        <v>0.12</v>
      </c>
      <c r="D47" s="503"/>
      <c r="E47" s="504"/>
      <c r="F47" s="358"/>
      <c r="G47" s="358"/>
      <c r="H47" s="358"/>
      <c r="I47" s="358"/>
      <c r="J47" s="488"/>
      <c r="K47" s="358"/>
      <c r="L47" s="358"/>
      <c r="M47" s="358"/>
      <c r="N47" s="358"/>
      <c r="O47" s="358"/>
      <c r="P47" s="358"/>
      <c r="Q47" s="358"/>
      <c r="Y47" s="497"/>
      <c r="Z47" s="498"/>
      <c r="AA47" s="498"/>
      <c r="AB47" s="499"/>
      <c r="AC47" s="498"/>
    </row>
    <row r="48" spans="1:36" ht="15.6">
      <c r="A48" s="365"/>
      <c r="B48" s="500" t="s">
        <v>499</v>
      </c>
      <c r="C48" s="501">
        <v>0.2</v>
      </c>
      <c r="D48" s="503"/>
      <c r="E48" s="504"/>
      <c r="F48" s="358"/>
      <c r="G48" s="358"/>
      <c r="H48" s="358"/>
      <c r="I48" s="358" t="s">
        <v>335</v>
      </c>
      <c r="K48" s="358"/>
      <c r="L48" s="358"/>
      <c r="M48" s="358"/>
      <c r="N48" s="358"/>
      <c r="O48" s="358"/>
      <c r="P48" s="358"/>
      <c r="Q48" s="358"/>
      <c r="Y48" s="497"/>
      <c r="Z48" s="498"/>
      <c r="AA48" s="498"/>
      <c r="AB48" s="499"/>
      <c r="AC48" s="498"/>
    </row>
    <row r="49" spans="1:29" ht="15.6">
      <c r="A49" s="365"/>
      <c r="B49" s="500" t="s">
        <v>500</v>
      </c>
      <c r="C49" s="501">
        <v>0.12</v>
      </c>
      <c r="D49" s="502"/>
      <c r="F49" s="358"/>
      <c r="G49" s="358"/>
      <c r="H49" s="358"/>
      <c r="I49" s="358"/>
      <c r="J49" s="488"/>
      <c r="K49" s="358"/>
      <c r="L49" s="358"/>
      <c r="M49" s="358"/>
      <c r="N49" s="358"/>
      <c r="O49" s="358"/>
      <c r="P49" s="358"/>
      <c r="Q49" s="358"/>
      <c r="Y49" s="497"/>
      <c r="Z49" s="498"/>
      <c r="AA49" s="498"/>
      <c r="AB49" s="499"/>
      <c r="AC49" s="498"/>
    </row>
    <row r="50" spans="1:29" ht="15.6">
      <c r="A50" s="365"/>
      <c r="B50" s="505" t="s">
        <v>210</v>
      </c>
      <c r="C50" s="501">
        <v>7.4999999999999997E-2</v>
      </c>
      <c r="D50" s="502"/>
      <c r="F50" s="358"/>
      <c r="G50" s="358"/>
      <c r="H50" s="358"/>
      <c r="I50" s="358"/>
      <c r="J50" s="488"/>
      <c r="K50" s="358"/>
      <c r="L50" s="358"/>
      <c r="M50" s="358"/>
      <c r="N50" s="358"/>
      <c r="O50" s="358"/>
      <c r="P50" s="358"/>
      <c r="Q50" s="358"/>
      <c r="Y50" s="497"/>
      <c r="Z50" s="498"/>
      <c r="AA50" s="498"/>
      <c r="AB50" s="499"/>
      <c r="AC50" s="498"/>
    </row>
    <row r="51" spans="1:29" ht="15.6">
      <c r="A51" s="506" t="s">
        <v>92</v>
      </c>
      <c r="B51" s="507" t="s">
        <v>8</v>
      </c>
      <c r="C51" s="2467" t="s">
        <v>501</v>
      </c>
      <c r="D51" s="2467"/>
      <c r="E51" s="2468" t="s">
        <v>502</v>
      </c>
      <c r="F51" s="2468"/>
      <c r="G51" s="2468"/>
      <c r="H51" s="508"/>
      <c r="I51" s="508"/>
      <c r="J51" s="469"/>
      <c r="K51" s="469"/>
      <c r="L51" s="358"/>
      <c r="M51" s="358"/>
      <c r="N51" s="358"/>
      <c r="O51" s="358"/>
      <c r="P51" s="358"/>
      <c r="Q51" s="358"/>
      <c r="S51" s="509"/>
      <c r="T51" s="509"/>
      <c r="U51" s="509"/>
      <c r="V51" s="509"/>
      <c r="W51" s="509"/>
      <c r="Y51" s="497"/>
      <c r="Z51" s="420"/>
      <c r="AA51" s="420"/>
      <c r="AB51" s="420"/>
      <c r="AC51" s="498"/>
    </row>
    <row r="52" spans="1:29" ht="30">
      <c r="A52" s="510"/>
      <c r="B52" s="511"/>
      <c r="C52" s="512" t="s">
        <v>503</v>
      </c>
      <c r="D52" s="513" t="s">
        <v>504</v>
      </c>
      <c r="E52" s="514" t="s">
        <v>505</v>
      </c>
      <c r="F52" s="514" t="s">
        <v>506</v>
      </c>
      <c r="G52" s="512" t="s">
        <v>507</v>
      </c>
      <c r="H52" s="515" t="s">
        <v>508</v>
      </c>
      <c r="I52" s="516" t="s">
        <v>9</v>
      </c>
      <c r="L52" s="358"/>
      <c r="M52" s="358"/>
      <c r="N52" s="358"/>
      <c r="O52" s="358"/>
      <c r="P52" s="358"/>
      <c r="Q52" s="358"/>
      <c r="S52" s="509"/>
      <c r="T52" s="509"/>
      <c r="U52" s="509"/>
      <c r="V52" s="509"/>
      <c r="W52" s="509"/>
      <c r="Y52" s="517"/>
      <c r="AC52" s="420"/>
    </row>
    <row r="53" spans="1:29" ht="15.6">
      <c r="A53" s="510"/>
      <c r="B53" s="518">
        <f>CC!BB43</f>
        <v>0.11</v>
      </c>
      <c r="C53" s="519">
        <f>CC!BB40</f>
        <v>2.5000000000000001E-2</v>
      </c>
      <c r="D53" s="520">
        <f>(B53-C53)</f>
        <v>8.4999999999999992E-2</v>
      </c>
      <c r="E53" s="521">
        <v>0.18</v>
      </c>
      <c r="F53" s="521">
        <v>0.18</v>
      </c>
      <c r="G53" s="521">
        <v>0.18</v>
      </c>
      <c r="H53" s="522"/>
      <c r="I53" s="516"/>
      <c r="L53" s="358"/>
      <c r="M53" s="358"/>
      <c r="N53" s="358"/>
      <c r="O53" s="358"/>
      <c r="P53" s="358"/>
      <c r="Q53" s="358"/>
      <c r="S53" s="509"/>
      <c r="T53" s="509"/>
      <c r="U53" s="509"/>
      <c r="V53" s="509"/>
      <c r="W53" s="509"/>
      <c r="Y53" s="517"/>
      <c r="AC53" s="420"/>
    </row>
    <row r="54" spans="1:29" ht="22.5" customHeight="1">
      <c r="A54" s="476">
        <v>1</v>
      </c>
      <c r="B54" s="523" t="s">
        <v>509</v>
      </c>
      <c r="C54" s="524" t="e">
        <f>(SUM(D55:D66)+SUM(C55:C59)*1.07-C56*1.07-D56)*C53</f>
        <v>#REF!</v>
      </c>
      <c r="D54" s="525" t="e">
        <f>(SUM(D55:D66)+SUM(C55:C59)*1.07-C56*1.07-D56)*D53</f>
        <v>#REF!</v>
      </c>
      <c r="E54" s="526"/>
      <c r="F54" s="524" t="e">
        <f>D54*F53</f>
        <v>#REF!</v>
      </c>
      <c r="G54" s="526"/>
      <c r="H54" s="526"/>
      <c r="I54" s="527" t="e">
        <f>SUM(C54:H54)</f>
        <v>#REF!</v>
      </c>
      <c r="L54" s="358"/>
      <c r="M54" s="358"/>
      <c r="N54" s="358"/>
      <c r="O54" s="358"/>
      <c r="P54" s="358"/>
      <c r="Q54" s="358"/>
      <c r="S54" s="509"/>
      <c r="T54" s="509"/>
      <c r="U54" s="509"/>
      <c r="V54" s="509"/>
      <c r="W54" s="509"/>
    </row>
    <row r="55" spans="1:29" ht="15.6">
      <c r="A55" s="528">
        <v>2</v>
      </c>
      <c r="B55" s="529" t="s">
        <v>510</v>
      </c>
      <c r="C55" s="493">
        <f>CC!D17</f>
        <v>0</v>
      </c>
      <c r="D55" s="493" t="e">
        <f>#REF!/100</f>
        <v>#REF!</v>
      </c>
      <c r="E55" s="530" t="e">
        <f>D55*E53</f>
        <v>#REF!</v>
      </c>
      <c r="F55" s="530"/>
      <c r="G55" s="531" t="e">
        <f>(D55*0.02)*(1+$G$53)</f>
        <v>#REF!</v>
      </c>
      <c r="H55" s="531"/>
      <c r="I55" s="527" t="e">
        <f t="shared" ref="I55:I71" si="1">SUM(C55:H55)</f>
        <v>#REF!</v>
      </c>
      <c r="L55" s="358"/>
      <c r="M55" s="358"/>
      <c r="N55" s="358"/>
      <c r="O55" s="358"/>
      <c r="P55" s="358"/>
      <c r="Q55" s="358"/>
      <c r="S55" s="509"/>
      <c r="T55" s="509"/>
      <c r="U55" s="509"/>
      <c r="V55" s="509"/>
      <c r="W55" s="509"/>
    </row>
    <row r="56" spans="1:29" ht="15.6">
      <c r="A56" s="528">
        <v>3</v>
      </c>
      <c r="B56" s="529" t="s">
        <v>511</v>
      </c>
      <c r="C56" s="493">
        <f>CC!E17</f>
        <v>0</v>
      </c>
      <c r="D56" s="493" t="e">
        <f>#REF!/100</f>
        <v>#REF!</v>
      </c>
      <c r="E56" s="530" t="e">
        <f>D56*E53</f>
        <v>#REF!</v>
      </c>
      <c r="F56" s="530"/>
      <c r="G56" s="531" t="e">
        <f>(D56*0.02)*(1+$G$53)*0</f>
        <v>#REF!</v>
      </c>
      <c r="H56" s="531"/>
      <c r="I56" s="527" t="e">
        <f t="shared" si="1"/>
        <v>#REF!</v>
      </c>
      <c r="L56" s="358"/>
      <c r="M56" s="358"/>
      <c r="N56" s="358"/>
      <c r="O56" s="358"/>
      <c r="P56" s="358"/>
      <c r="Q56" s="358"/>
      <c r="S56" s="509"/>
      <c r="T56" s="509"/>
      <c r="U56" s="509"/>
      <c r="V56" s="509"/>
      <c r="W56" s="509"/>
    </row>
    <row r="57" spans="1:29" ht="15.6">
      <c r="A57" s="528">
        <v>4</v>
      </c>
      <c r="B57" s="529" t="s">
        <v>512</v>
      </c>
      <c r="C57" s="493">
        <f>CC!J17</f>
        <v>0</v>
      </c>
      <c r="D57" s="493"/>
      <c r="E57" s="530">
        <f>D57*E53</f>
        <v>0</v>
      </c>
      <c r="F57" s="530"/>
      <c r="G57" s="531">
        <f>(D57*0.09)*(1+$G$53)</f>
        <v>0</v>
      </c>
      <c r="H57" s="531"/>
      <c r="I57" s="527">
        <f t="shared" si="1"/>
        <v>0</v>
      </c>
      <c r="L57" s="358"/>
      <c r="M57" s="358"/>
      <c r="N57" s="358"/>
      <c r="O57" s="358"/>
      <c r="P57" s="358"/>
      <c r="Q57" s="358"/>
    </row>
    <row r="58" spans="1:29" s="420" customFormat="1" ht="21" customHeight="1">
      <c r="A58" s="476">
        <v>5</v>
      </c>
      <c r="B58" s="523" t="s">
        <v>513</v>
      </c>
      <c r="C58" s="524"/>
      <c r="D58" s="493" t="e">
        <f>#REF!/100</f>
        <v>#REF!</v>
      </c>
      <c r="E58" s="524" t="e">
        <f>D58*E53</f>
        <v>#REF!</v>
      </c>
      <c r="F58" s="524"/>
      <c r="G58" s="531" t="e">
        <f>(D58*0.09)*(1+$G$53)</f>
        <v>#REF!</v>
      </c>
      <c r="H58" s="527"/>
      <c r="I58" s="527" t="e">
        <f t="shared" si="1"/>
        <v>#REF!</v>
      </c>
      <c r="L58" s="361"/>
      <c r="M58" s="361"/>
      <c r="N58" s="361"/>
      <c r="O58" s="361"/>
      <c r="P58" s="361"/>
      <c r="Q58" s="361"/>
      <c r="U58" s="517"/>
      <c r="W58" s="517"/>
    </row>
    <row r="59" spans="1:29" s="420" customFormat="1" ht="20.25" customHeight="1">
      <c r="A59" s="476">
        <v>6</v>
      </c>
      <c r="B59" s="523" t="s">
        <v>86</v>
      </c>
      <c r="C59" s="493">
        <f>CC!N17</f>
        <v>0</v>
      </c>
      <c r="D59" s="493"/>
      <c r="E59" s="524">
        <f>D59*E53</f>
        <v>0</v>
      </c>
      <c r="F59" s="524"/>
      <c r="G59" s="531">
        <f>(D59*0.09)*(1+$G$53)</f>
        <v>0</v>
      </c>
      <c r="H59" s="527"/>
      <c r="I59" s="527">
        <f t="shared" si="1"/>
        <v>0</v>
      </c>
      <c r="L59" s="361"/>
      <c r="M59" s="361"/>
      <c r="N59" s="361"/>
      <c r="O59" s="361"/>
      <c r="P59" s="361"/>
      <c r="Q59" s="361"/>
      <c r="S59" s="532"/>
      <c r="U59" s="533"/>
    </row>
    <row r="60" spans="1:29" s="420" customFormat="1" ht="22.5" customHeight="1">
      <c r="A60" s="476">
        <v>7</v>
      </c>
      <c r="B60" s="534" t="s">
        <v>514</v>
      </c>
      <c r="C60" s="524"/>
      <c r="D60" s="493" t="e">
        <f>#REF!/100</f>
        <v>#REF!</v>
      </c>
      <c r="E60" s="524"/>
      <c r="F60" s="527" t="e">
        <f>D60*F53</f>
        <v>#REF!</v>
      </c>
      <c r="G60" s="524"/>
      <c r="H60" s="524"/>
      <c r="I60" s="527" t="e">
        <f t="shared" si="1"/>
        <v>#REF!</v>
      </c>
      <c r="L60" s="361"/>
      <c r="M60" s="361"/>
      <c r="N60" s="361"/>
      <c r="O60" s="361"/>
      <c r="P60" s="361"/>
      <c r="Q60" s="361"/>
      <c r="S60" s="532"/>
      <c r="U60" s="533"/>
    </row>
    <row r="61" spans="1:29" s="420" customFormat="1" ht="33.75" customHeight="1">
      <c r="A61" s="476"/>
      <c r="B61" s="535" t="s">
        <v>515</v>
      </c>
      <c r="C61" s="524"/>
      <c r="D61" s="493" t="e">
        <f>#REF!/100</f>
        <v>#REF!</v>
      </c>
      <c r="E61" s="524"/>
      <c r="F61" s="527" t="e">
        <f>D61*F53</f>
        <v>#REF!</v>
      </c>
      <c r="G61" s="524"/>
      <c r="H61" s="524"/>
      <c r="I61" s="527" t="e">
        <f t="shared" si="1"/>
        <v>#REF!</v>
      </c>
      <c r="L61" s="361"/>
      <c r="M61" s="361"/>
      <c r="N61" s="361"/>
      <c r="O61" s="361"/>
      <c r="P61" s="361"/>
      <c r="Q61" s="361"/>
      <c r="S61" s="532"/>
      <c r="U61" s="533"/>
    </row>
    <row r="62" spans="1:29" s="420" customFormat="1" ht="20.25" customHeight="1">
      <c r="A62" s="476"/>
      <c r="B62" s="460" t="s">
        <v>116</v>
      </c>
      <c r="C62" s="524"/>
      <c r="D62" s="493" t="e">
        <f>(#REF!+#REF!)/100</f>
        <v>#REF!</v>
      </c>
      <c r="E62" s="524"/>
      <c r="F62" s="527" t="e">
        <f>D62*F53</f>
        <v>#REF!</v>
      </c>
      <c r="G62" s="524"/>
      <c r="H62" s="524"/>
      <c r="I62" s="527" t="e">
        <f t="shared" si="1"/>
        <v>#REF!</v>
      </c>
      <c r="L62" s="361"/>
      <c r="M62" s="361"/>
      <c r="N62" s="361"/>
      <c r="O62" s="361"/>
      <c r="P62" s="361"/>
      <c r="Q62" s="361"/>
      <c r="S62" s="532"/>
      <c r="U62" s="533"/>
    </row>
    <row r="63" spans="1:29" s="420" customFormat="1" ht="23.25" customHeight="1">
      <c r="A63" s="476">
        <v>8</v>
      </c>
      <c r="B63" s="536" t="s">
        <v>516</v>
      </c>
      <c r="C63" s="524"/>
      <c r="D63" s="537" t="e">
        <f>C55*1.07*C46+D55*C47</f>
        <v>#REF!</v>
      </c>
      <c r="E63" s="538"/>
      <c r="F63" s="527" t="e">
        <f>D63*F53</f>
        <v>#REF!</v>
      </c>
      <c r="G63" s="538"/>
      <c r="H63" s="538"/>
      <c r="I63" s="527" t="e">
        <f t="shared" si="1"/>
        <v>#REF!</v>
      </c>
      <c r="L63" s="361"/>
      <c r="M63" s="361"/>
      <c r="N63" s="361"/>
      <c r="O63" s="361"/>
      <c r="P63" s="361"/>
      <c r="Q63" s="361"/>
      <c r="S63" s="539"/>
    </row>
    <row r="64" spans="1:29" s="420" customFormat="1" ht="23.25" customHeight="1">
      <c r="A64" s="476"/>
      <c r="B64" s="536" t="s">
        <v>517</v>
      </c>
      <c r="C64" s="524"/>
      <c r="D64" s="537">
        <f>C57*1.07*C48+D57*C48</f>
        <v>0</v>
      </c>
      <c r="E64" s="538"/>
      <c r="F64" s="527">
        <f>D64*F53</f>
        <v>0</v>
      </c>
      <c r="G64" s="538"/>
      <c r="H64" s="538"/>
      <c r="I64" s="527">
        <f t="shared" si="1"/>
        <v>0</v>
      </c>
      <c r="L64" s="361"/>
      <c r="M64" s="361"/>
      <c r="N64" s="361"/>
      <c r="O64" s="361"/>
      <c r="P64" s="361"/>
      <c r="Q64" s="361"/>
      <c r="S64" s="539"/>
    </row>
    <row r="65" spans="1:25" s="420" customFormat="1" ht="23.25" customHeight="1">
      <c r="A65" s="476"/>
      <c r="B65" s="536" t="s">
        <v>518</v>
      </c>
      <c r="C65" s="524"/>
      <c r="D65" s="537" t="e">
        <f>D58*C48</f>
        <v>#REF!</v>
      </c>
      <c r="E65" s="538"/>
      <c r="F65" s="527" t="e">
        <f>D65*F53</f>
        <v>#REF!</v>
      </c>
      <c r="G65" s="538"/>
      <c r="H65" s="538"/>
      <c r="I65" s="527" t="e">
        <f t="shared" si="1"/>
        <v>#REF!</v>
      </c>
      <c r="L65" s="361"/>
      <c r="M65" s="361"/>
      <c r="N65" s="361"/>
      <c r="O65" s="361"/>
      <c r="P65" s="361"/>
      <c r="Q65" s="361"/>
      <c r="S65" s="539"/>
    </row>
    <row r="66" spans="1:25" s="420" customFormat="1" ht="23.25" customHeight="1">
      <c r="A66" s="476"/>
      <c r="B66" s="536" t="s">
        <v>519</v>
      </c>
      <c r="C66" s="524"/>
      <c r="D66" s="537">
        <f>C59*1.07*C49+D59*C49</f>
        <v>0</v>
      </c>
      <c r="E66" s="538"/>
      <c r="F66" s="527">
        <f>D66*F53</f>
        <v>0</v>
      </c>
      <c r="G66" s="538"/>
      <c r="H66" s="538"/>
      <c r="I66" s="527">
        <f t="shared" si="1"/>
        <v>0</v>
      </c>
      <c r="L66" s="361"/>
      <c r="M66" s="361"/>
      <c r="N66" s="361"/>
      <c r="O66" s="361"/>
      <c r="P66" s="361"/>
      <c r="Q66" s="361"/>
      <c r="S66" s="539"/>
    </row>
    <row r="67" spans="1:25" s="420" customFormat="1" ht="24" customHeight="1">
      <c r="A67" s="476">
        <v>9</v>
      </c>
      <c r="B67" s="523" t="s">
        <v>310</v>
      </c>
      <c r="C67" s="493">
        <f>CC!V17</f>
        <v>0</v>
      </c>
      <c r="D67" s="525"/>
      <c r="E67" s="540"/>
      <c r="F67" s="540"/>
      <c r="G67" s="540"/>
      <c r="H67" s="540"/>
      <c r="I67" s="527">
        <f t="shared" si="1"/>
        <v>0</v>
      </c>
      <c r="L67" s="361"/>
      <c r="M67" s="361"/>
      <c r="N67" s="361"/>
      <c r="O67" s="361"/>
      <c r="P67" s="361"/>
      <c r="Q67" s="361"/>
      <c r="S67" s="541"/>
    </row>
    <row r="68" spans="1:25" s="420" customFormat="1" ht="20.25" customHeight="1">
      <c r="A68" s="476">
        <v>10</v>
      </c>
      <c r="B68" s="523" t="s">
        <v>520</v>
      </c>
      <c r="C68" s="493">
        <f>CC!AM17</f>
        <v>0</v>
      </c>
      <c r="D68" s="525"/>
      <c r="E68" s="540"/>
      <c r="F68" s="540"/>
      <c r="G68" s="540"/>
      <c r="H68" s="540"/>
      <c r="I68" s="527">
        <f t="shared" si="1"/>
        <v>0</v>
      </c>
      <c r="L68" s="361"/>
      <c r="M68" s="361"/>
      <c r="N68" s="361"/>
      <c r="O68" s="361"/>
      <c r="P68" s="361"/>
      <c r="Q68" s="361"/>
      <c r="S68" s="532"/>
    </row>
    <row r="69" spans="1:25" ht="20.25" customHeight="1">
      <c r="A69" s="528">
        <v>11</v>
      </c>
      <c r="B69" s="542" t="s">
        <v>521</v>
      </c>
      <c r="C69" s="524">
        <f>+(C55+C57+C59)*0.07</f>
        <v>0</v>
      </c>
      <c r="D69" s="543"/>
      <c r="E69" s="544"/>
      <c r="F69" s="544"/>
      <c r="G69" s="545">
        <f>((C55+C56)*1.07*0.03+(C57+C59)*1.07*0.1)*(1+$G$53)</f>
        <v>0</v>
      </c>
      <c r="H69" s="544"/>
      <c r="I69" s="527">
        <f t="shared" si="1"/>
        <v>0</v>
      </c>
      <c r="L69" s="358"/>
      <c r="M69" s="358"/>
      <c r="N69" s="358"/>
      <c r="O69" s="358"/>
      <c r="P69" s="358"/>
      <c r="Q69" s="358"/>
      <c r="S69" s="532"/>
      <c r="T69" s="420"/>
      <c r="V69" s="420"/>
      <c r="W69" s="420"/>
    </row>
    <row r="70" spans="1:25" s="420" customFormat="1" ht="21.75" hidden="1" customHeight="1">
      <c r="A70" s="476"/>
      <c r="B70" s="546" t="s">
        <v>522</v>
      </c>
      <c r="C70" s="524"/>
      <c r="D70" s="525"/>
      <c r="E70" s="547"/>
      <c r="F70" s="547"/>
      <c r="H70" s="527">
        <f>((C55*1.07)*0.03+(C57+C59)*1.07*0.1)*(1+C50)*0</f>
        <v>0</v>
      </c>
      <c r="I70" s="527">
        <f t="shared" si="1"/>
        <v>0</v>
      </c>
      <c r="L70" s="361"/>
      <c r="M70" s="361"/>
      <c r="N70" s="361"/>
      <c r="O70" s="361"/>
      <c r="P70" s="361"/>
      <c r="Q70" s="361"/>
      <c r="S70" s="532"/>
    </row>
    <row r="71" spans="1:25" s="420" customFormat="1" ht="23.25" customHeight="1">
      <c r="A71" s="476">
        <v>12</v>
      </c>
      <c r="B71" s="548" t="s">
        <v>508</v>
      </c>
      <c r="C71" s="524"/>
      <c r="D71" s="525"/>
      <c r="E71" s="547"/>
      <c r="F71" s="547"/>
      <c r="G71" s="527"/>
      <c r="H71" s="549" t="e">
        <f>E33</f>
        <v>#REF!</v>
      </c>
      <c r="I71" s="527" t="e">
        <f t="shared" si="1"/>
        <v>#REF!</v>
      </c>
      <c r="L71" s="361"/>
      <c r="M71" s="361"/>
      <c r="N71" s="361"/>
      <c r="O71" s="361"/>
      <c r="P71" s="361"/>
      <c r="Q71" s="361"/>
      <c r="S71" s="532"/>
    </row>
    <row r="72" spans="1:25" ht="18.75" customHeight="1">
      <c r="A72" s="528"/>
      <c r="B72" s="550" t="s">
        <v>9</v>
      </c>
      <c r="C72" s="551" t="e">
        <f t="shared" ref="C72:I72" si="2">SUM(C54:C71)</f>
        <v>#REF!</v>
      </c>
      <c r="D72" s="551" t="e">
        <f t="shared" si="2"/>
        <v>#REF!</v>
      </c>
      <c r="E72" s="551" t="e">
        <f t="shared" si="2"/>
        <v>#REF!</v>
      </c>
      <c r="F72" s="551" t="e">
        <f t="shared" si="2"/>
        <v>#REF!</v>
      </c>
      <c r="G72" s="551" t="e">
        <f t="shared" si="2"/>
        <v>#REF!</v>
      </c>
      <c r="H72" s="551" t="e">
        <f t="shared" si="2"/>
        <v>#REF!</v>
      </c>
      <c r="I72" s="551" t="e">
        <f t="shared" si="2"/>
        <v>#REF!</v>
      </c>
      <c r="K72" s="552">
        <v>250.11093963847523</v>
      </c>
      <c r="L72" s="358"/>
      <c r="M72" s="358"/>
      <c r="N72" s="358"/>
      <c r="O72" s="358"/>
      <c r="P72" s="358"/>
      <c r="Q72" s="358"/>
      <c r="S72" s="532"/>
      <c r="T72" s="420"/>
      <c r="V72" s="420"/>
      <c r="W72" s="420"/>
    </row>
    <row r="73" spans="1:25" ht="19.5" customHeight="1">
      <c r="A73" s="528"/>
      <c r="B73" s="507" t="s">
        <v>438</v>
      </c>
      <c r="C73" s="530"/>
      <c r="D73" s="543"/>
      <c r="E73" s="530" t="e">
        <f>E55+E56+E57+E59</f>
        <v>#REF!</v>
      </c>
      <c r="F73" s="530" t="e">
        <f>F54+F56+F61+F63+F64+F66</f>
        <v>#REF!</v>
      </c>
      <c r="G73" s="530" t="e">
        <f>(G55+G56+G57+G59+G69)/(1+$G$53)*G53</f>
        <v>#REF!</v>
      </c>
      <c r="H73" s="530" t="e">
        <f>D30+D32</f>
        <v>#REF!</v>
      </c>
      <c r="I73" s="531" t="e">
        <f>SUM(C73:H73)</f>
        <v>#REF!</v>
      </c>
      <c r="K73" s="552">
        <v>19.574179666083797</v>
      </c>
      <c r="L73" s="358"/>
      <c r="M73" s="358"/>
      <c r="N73" s="358"/>
      <c r="O73" s="358"/>
      <c r="P73" s="358"/>
      <c r="Q73" s="358"/>
      <c r="S73" s="532"/>
      <c r="T73" s="420"/>
      <c r="V73" s="420"/>
      <c r="W73" s="420"/>
    </row>
    <row r="74" spans="1:25" ht="21" customHeight="1">
      <c r="A74" s="553"/>
      <c r="B74" s="376"/>
      <c r="C74" s="376"/>
      <c r="D74" s="376"/>
      <c r="E74" s="376"/>
      <c r="F74" s="376"/>
      <c r="G74" s="376"/>
      <c r="H74" s="376"/>
      <c r="I74" s="376" t="e">
        <f>I72-I73</f>
        <v>#REF!</v>
      </c>
      <c r="J74" s="376"/>
      <c r="K74" s="552">
        <v>230.53675997239142</v>
      </c>
      <c r="L74" s="358"/>
      <c r="M74" s="358"/>
      <c r="N74" s="358"/>
      <c r="O74" s="358"/>
      <c r="P74" s="358"/>
      <c r="Q74" s="358"/>
      <c r="S74" s="532"/>
      <c r="T74" s="420"/>
      <c r="V74" s="420"/>
      <c r="W74" s="420"/>
    </row>
    <row r="75" spans="1:25">
      <c r="A75" s="465"/>
      <c r="P75" s="376"/>
      <c r="Q75" s="554"/>
      <c r="R75" s="376"/>
      <c r="X75" s="376"/>
      <c r="Y75" s="376"/>
    </row>
    <row r="76" spans="1:25" ht="15" customHeight="1">
      <c r="A76" s="375"/>
      <c r="B76" s="555"/>
      <c r="C76" s="376"/>
      <c r="D76" s="377"/>
      <c r="E76" s="376"/>
      <c r="F76" s="376"/>
      <c r="G76" s="376"/>
      <c r="H76" s="376"/>
      <c r="I76" s="376"/>
      <c r="J76" s="376"/>
      <c r="K76" s="376"/>
      <c r="P76" s="376"/>
      <c r="Q76" s="554"/>
      <c r="R76" s="376"/>
      <c r="X76" s="376"/>
      <c r="Y76" s="376"/>
    </row>
    <row r="77" spans="1:25" ht="15.6">
      <c r="A77" s="384"/>
      <c r="B77" s="376"/>
      <c r="C77" s="376"/>
      <c r="D77" s="376"/>
      <c r="E77" s="376"/>
      <c r="F77" s="386"/>
      <c r="G77" s="376"/>
      <c r="H77" s="376"/>
      <c r="I77" s="376"/>
      <c r="J77" s="376"/>
      <c r="K77" s="376"/>
      <c r="P77" s="408"/>
      <c r="Q77" s="376"/>
      <c r="R77" s="376"/>
      <c r="X77" s="376"/>
      <c r="Y77" s="376"/>
    </row>
    <row r="78" spans="1:25" ht="15.6">
      <c r="A78" s="397"/>
      <c r="B78" s="376"/>
      <c r="C78" s="376"/>
      <c r="D78" s="376"/>
      <c r="E78" s="376"/>
      <c r="F78" s="398"/>
      <c r="G78" s="399"/>
      <c r="H78" s="376"/>
      <c r="I78" s="376"/>
      <c r="J78" s="376"/>
      <c r="K78" s="376"/>
      <c r="P78" s="376"/>
      <c r="Q78" s="376"/>
      <c r="R78" s="376"/>
      <c r="X78" s="376"/>
      <c r="Y78" s="376"/>
    </row>
    <row r="79" spans="1:25">
      <c r="A79" s="417"/>
      <c r="B79" s="417"/>
      <c r="C79" s="416"/>
      <c r="D79" s="416"/>
      <c r="E79" s="416"/>
      <c r="F79" s="416"/>
      <c r="G79" s="416"/>
      <c r="H79" s="406"/>
      <c r="J79" s="376"/>
      <c r="K79" s="376"/>
      <c r="P79" s="376"/>
      <c r="Q79" s="376"/>
      <c r="R79" s="376"/>
      <c r="X79" s="376"/>
      <c r="Y79" s="376"/>
    </row>
    <row r="80" spans="1:25">
      <c r="A80" s="376"/>
      <c r="B80" s="376"/>
      <c r="C80" s="376"/>
      <c r="D80" s="376"/>
      <c r="E80" s="416"/>
      <c r="F80" s="416"/>
      <c r="G80" s="416"/>
      <c r="H80" s="419"/>
      <c r="J80" s="376"/>
      <c r="K80" s="376"/>
      <c r="P80" s="376"/>
      <c r="Q80" s="376"/>
      <c r="R80" s="376"/>
      <c r="X80" s="376"/>
      <c r="Y80" s="376"/>
    </row>
    <row r="81" spans="1:25">
      <c r="A81" s="556"/>
      <c r="B81" s="557"/>
      <c r="C81" s="558"/>
      <c r="D81" s="430"/>
      <c r="E81" s="554"/>
      <c r="F81" s="416"/>
      <c r="G81" s="430"/>
      <c r="H81" s="376"/>
      <c r="J81" s="376"/>
      <c r="K81" s="376"/>
      <c r="P81" s="376"/>
      <c r="Q81" s="554"/>
      <c r="R81" s="376"/>
      <c r="X81" s="376"/>
      <c r="Y81" s="376"/>
    </row>
    <row r="82" spans="1:25">
      <c r="A82" s="434"/>
      <c r="B82" s="559"/>
      <c r="C82" s="418"/>
      <c r="D82" s="479"/>
      <c r="E82" s="437"/>
      <c r="F82" s="560"/>
      <c r="G82" s="561"/>
      <c r="H82" s="376"/>
      <c r="J82" s="554"/>
      <c r="K82" s="376"/>
      <c r="P82" s="408"/>
      <c r="Q82" s="376"/>
      <c r="R82" s="376"/>
      <c r="X82" s="376"/>
      <c r="Y82" s="376"/>
    </row>
    <row r="83" spans="1:25">
      <c r="A83" s="434"/>
      <c r="B83" s="559"/>
      <c r="C83" s="418"/>
      <c r="D83" s="479"/>
      <c r="E83" s="437"/>
      <c r="F83" s="560"/>
      <c r="G83" s="562"/>
      <c r="H83" s="376"/>
      <c r="J83" s="554"/>
      <c r="K83" s="376"/>
      <c r="P83" s="408"/>
      <c r="Q83" s="376"/>
      <c r="R83" s="376"/>
      <c r="X83" s="376"/>
      <c r="Y83" s="376"/>
    </row>
    <row r="84" spans="1:25">
      <c r="A84" s="434"/>
      <c r="B84" s="559"/>
      <c r="C84" s="418"/>
      <c r="D84" s="479"/>
      <c r="E84" s="437"/>
      <c r="F84" s="560"/>
      <c r="G84" s="562"/>
      <c r="H84" s="376"/>
      <c r="J84" s="554"/>
      <c r="K84" s="376"/>
      <c r="P84" s="408"/>
      <c r="Q84" s="376"/>
      <c r="R84" s="376"/>
      <c r="X84" s="376"/>
      <c r="Y84" s="376"/>
    </row>
    <row r="85" spans="1:25">
      <c r="A85" s="434"/>
      <c r="B85" s="559"/>
      <c r="C85" s="418"/>
      <c r="D85" s="479"/>
      <c r="E85" s="437"/>
      <c r="F85" s="560"/>
      <c r="G85" s="469"/>
      <c r="H85" s="376"/>
      <c r="J85" s="554"/>
      <c r="K85" s="376"/>
      <c r="P85" s="408"/>
      <c r="Q85" s="376"/>
      <c r="R85" s="376"/>
      <c r="X85" s="376"/>
      <c r="Y85" s="376"/>
    </row>
    <row r="86" spans="1:25">
      <c r="A86" s="456"/>
      <c r="B86" s="563"/>
      <c r="C86" s="416"/>
      <c r="D86" s="458"/>
      <c r="E86" s="417"/>
      <c r="F86" s="417"/>
      <c r="G86" s="417"/>
      <c r="H86" s="417">
        <f>SUM(H82:H84)</f>
        <v>0</v>
      </c>
      <c r="J86" s="554"/>
      <c r="K86" s="376"/>
      <c r="P86" s="408"/>
      <c r="Q86" s="376"/>
      <c r="R86" s="376"/>
      <c r="X86" s="376"/>
      <c r="Y86" s="376"/>
    </row>
    <row r="87" spans="1:25">
      <c r="A87" s="376"/>
      <c r="B87" s="462"/>
      <c r="C87" s="418"/>
      <c r="D87" s="437"/>
      <c r="E87" s="437"/>
      <c r="F87" s="376"/>
      <c r="G87" s="376"/>
      <c r="H87" s="376"/>
      <c r="J87" s="376"/>
      <c r="K87" s="376"/>
      <c r="P87" s="376"/>
      <c r="Q87" s="376"/>
      <c r="R87" s="376"/>
      <c r="X87" s="376"/>
      <c r="Y87" s="376"/>
    </row>
    <row r="88" spans="1:25">
      <c r="A88" s="430"/>
      <c r="B88" s="463"/>
      <c r="C88" s="418"/>
      <c r="D88" s="437"/>
      <c r="E88" s="437"/>
      <c r="F88" s="376"/>
      <c r="G88" s="564"/>
      <c r="H88" s="376"/>
      <c r="J88" s="376"/>
      <c r="K88" s="376"/>
      <c r="P88" s="376"/>
      <c r="Q88" s="376"/>
      <c r="R88" s="376"/>
      <c r="X88" s="376"/>
      <c r="Y88" s="376"/>
    </row>
    <row r="89" spans="1:25">
      <c r="A89" s="430"/>
      <c r="B89" s="463"/>
      <c r="C89" s="418"/>
      <c r="D89" s="437"/>
      <c r="E89" s="437"/>
      <c r="F89" s="376"/>
      <c r="G89" s="564"/>
      <c r="H89" s="376"/>
      <c r="J89" s="376"/>
      <c r="K89" s="376"/>
      <c r="P89" s="376"/>
      <c r="Q89" s="376"/>
      <c r="R89" s="376"/>
      <c r="X89" s="376"/>
      <c r="Y89" s="376"/>
    </row>
    <row r="90" spans="1:25">
      <c r="A90" s="376"/>
      <c r="B90" s="416"/>
      <c r="C90" s="416"/>
      <c r="D90" s="386"/>
      <c r="E90" s="386"/>
      <c r="F90" s="465"/>
      <c r="G90" s="376"/>
      <c r="H90" s="376"/>
      <c r="J90" s="376"/>
      <c r="K90" s="376"/>
      <c r="P90" s="376"/>
      <c r="Q90" s="376"/>
      <c r="R90" s="376"/>
      <c r="X90" s="376"/>
      <c r="Y90" s="376"/>
    </row>
    <row r="91" spans="1:25" ht="18.75" customHeight="1">
      <c r="A91" s="376"/>
      <c r="B91" s="386"/>
      <c r="C91" s="418"/>
      <c r="D91" s="437"/>
      <c r="E91" s="437"/>
      <c r="F91" s="465"/>
      <c r="G91" s="376"/>
      <c r="H91" s="465">
        <f>H90+H86</f>
        <v>0</v>
      </c>
      <c r="J91" s="376"/>
      <c r="K91" s="376"/>
      <c r="P91" s="376"/>
      <c r="Q91" s="376"/>
      <c r="R91" s="376"/>
      <c r="X91" s="376"/>
      <c r="Y91" s="376"/>
    </row>
    <row r="92" spans="1:25" ht="38.25" customHeight="1">
      <c r="A92" s="425"/>
      <c r="B92" s="442"/>
      <c r="C92" s="406"/>
      <c r="D92" s="443"/>
      <c r="E92" s="407"/>
      <c r="F92" s="444"/>
      <c r="G92" s="430"/>
      <c r="H92" s="431"/>
      <c r="I92" s="425"/>
      <c r="J92" s="442"/>
      <c r="K92" s="406"/>
      <c r="L92" s="443"/>
      <c r="M92" s="443"/>
      <c r="N92" s="443"/>
      <c r="O92" s="443"/>
      <c r="P92" s="444"/>
      <c r="R92" s="420"/>
      <c r="X92" s="399"/>
      <c r="Y92" s="376"/>
    </row>
    <row r="93" spans="1:25">
      <c r="A93" s="456"/>
      <c r="B93" s="457"/>
      <c r="C93" s="416"/>
      <c r="D93" s="458"/>
      <c r="E93" s="417"/>
      <c r="F93" s="417"/>
      <c r="G93" s="417"/>
      <c r="I93" s="434"/>
      <c r="J93" s="565"/>
      <c r="K93" s="406"/>
      <c r="L93" s="443"/>
      <c r="M93" s="443"/>
      <c r="N93" s="443"/>
      <c r="O93" s="443"/>
      <c r="P93" s="444"/>
      <c r="X93" s="417"/>
      <c r="Y93" s="376"/>
    </row>
    <row r="94" spans="1:25">
      <c r="A94" s="376"/>
      <c r="B94" s="462"/>
      <c r="C94" s="418"/>
      <c r="D94" s="437"/>
      <c r="E94" s="437"/>
      <c r="F94" s="376"/>
      <c r="G94" s="376"/>
      <c r="I94" s="456"/>
      <c r="J94" s="457"/>
      <c r="K94" s="416"/>
      <c r="L94" s="458"/>
      <c r="M94" s="458"/>
      <c r="N94" s="458"/>
      <c r="O94" s="458"/>
      <c r="P94" s="417"/>
      <c r="X94" s="376"/>
      <c r="Y94" s="376"/>
    </row>
    <row r="95" spans="1:25">
      <c r="A95" s="430"/>
      <c r="B95" s="463"/>
      <c r="C95" s="418"/>
      <c r="D95" s="437"/>
      <c r="E95" s="437"/>
      <c r="F95" s="376"/>
      <c r="G95" s="376"/>
      <c r="I95" s="376"/>
      <c r="J95" s="462"/>
      <c r="K95" s="418"/>
      <c r="L95" s="437"/>
      <c r="M95" s="437"/>
      <c r="N95" s="437"/>
      <c r="O95" s="437"/>
      <c r="P95" s="376"/>
      <c r="X95" s="376"/>
      <c r="Y95" s="376"/>
    </row>
    <row r="96" spans="1:25">
      <c r="A96" s="430"/>
      <c r="B96" s="463"/>
      <c r="C96" s="418"/>
      <c r="D96" s="437"/>
      <c r="E96" s="437"/>
      <c r="F96" s="376"/>
      <c r="G96" s="376"/>
      <c r="I96" s="430"/>
      <c r="J96" s="463"/>
      <c r="K96" s="418"/>
      <c r="L96" s="437"/>
      <c r="M96" s="437"/>
      <c r="N96" s="437"/>
      <c r="O96" s="437"/>
      <c r="P96" s="376"/>
      <c r="X96" s="376"/>
      <c r="Y96" s="376"/>
    </row>
    <row r="97" spans="1:25">
      <c r="A97" s="376"/>
      <c r="B97" s="462"/>
      <c r="C97" s="416"/>
      <c r="D97" s="386"/>
      <c r="E97" s="386"/>
      <c r="F97" s="465"/>
      <c r="G97" s="376"/>
      <c r="I97" s="430"/>
      <c r="J97" s="463"/>
      <c r="K97" s="418"/>
      <c r="L97" s="437"/>
      <c r="M97" s="437"/>
      <c r="N97" s="437"/>
      <c r="O97" s="437"/>
      <c r="P97" s="376"/>
      <c r="X97" s="376"/>
      <c r="Y97" s="376"/>
    </row>
    <row r="98" spans="1:25">
      <c r="A98" s="376"/>
      <c r="B98" s="386"/>
      <c r="C98" s="418"/>
      <c r="D98" s="437"/>
      <c r="E98" s="437"/>
      <c r="F98" s="465"/>
      <c r="G98" s="376"/>
      <c r="I98" s="376"/>
      <c r="J98" s="462"/>
      <c r="K98" s="416"/>
      <c r="L98" s="386"/>
      <c r="M98" s="386"/>
      <c r="N98" s="386"/>
      <c r="O98" s="386"/>
      <c r="P98" s="465"/>
      <c r="X98" s="465"/>
      <c r="Y98" s="376"/>
    </row>
    <row r="99" spans="1:25">
      <c r="A99" s="417"/>
      <c r="B99" s="469"/>
      <c r="C99" s="418"/>
      <c r="D99" s="418"/>
      <c r="E99" s="418"/>
      <c r="F99" s="437"/>
      <c r="G99" s="417"/>
      <c r="I99" s="376"/>
      <c r="J99" s="386"/>
      <c r="K99" s="418"/>
      <c r="L99" s="437"/>
      <c r="M99" s="437"/>
      <c r="N99" s="437"/>
      <c r="O99" s="437"/>
      <c r="P99" s="465"/>
      <c r="X99" s="376"/>
      <c r="Y99" s="376"/>
    </row>
    <row r="100" spans="1:25">
      <c r="A100" s="417"/>
      <c r="B100" s="474"/>
      <c r="C100" s="475"/>
      <c r="D100" s="475"/>
      <c r="E100" s="475"/>
      <c r="F100" s="444"/>
      <c r="G100" s="417"/>
      <c r="I100" s="417"/>
      <c r="J100" s="469"/>
      <c r="K100" s="418"/>
      <c r="L100" s="418"/>
      <c r="M100" s="418"/>
      <c r="N100" s="418"/>
      <c r="O100" s="418"/>
      <c r="P100" s="437"/>
      <c r="Q100" s="376"/>
      <c r="R100" s="376"/>
      <c r="X100" s="376"/>
      <c r="Y100" s="376"/>
    </row>
    <row r="101" spans="1:25">
      <c r="A101" s="417"/>
      <c r="B101" s="566"/>
      <c r="C101" s="561"/>
      <c r="D101" s="567"/>
      <c r="E101" s="568"/>
      <c r="F101" s="568"/>
      <c r="G101" s="417"/>
      <c r="I101" s="417"/>
      <c r="J101" s="474"/>
      <c r="K101" s="475"/>
      <c r="L101" s="569"/>
      <c r="M101" s="569"/>
      <c r="N101" s="569"/>
      <c r="O101" s="569"/>
      <c r="P101" s="444"/>
      <c r="Q101" s="376"/>
      <c r="R101" s="376"/>
      <c r="X101" s="376"/>
      <c r="Y101" s="376"/>
    </row>
    <row r="102" spans="1:25">
      <c r="A102" s="417"/>
      <c r="B102" s="469"/>
      <c r="C102" s="418"/>
      <c r="D102" s="479"/>
      <c r="E102" s="437"/>
      <c r="F102" s="560"/>
      <c r="G102" s="417"/>
      <c r="H102" s="376"/>
      <c r="I102" s="417"/>
      <c r="J102" s="474"/>
      <c r="K102" s="561"/>
      <c r="L102" s="570"/>
      <c r="M102" s="570"/>
      <c r="N102" s="570"/>
      <c r="O102" s="570"/>
      <c r="P102" s="444"/>
      <c r="Q102" s="376"/>
      <c r="R102" s="376"/>
      <c r="X102" s="376"/>
      <c r="Y102" s="376"/>
    </row>
    <row r="103" spans="1:25" ht="60.75" customHeight="1">
      <c r="A103" s="417"/>
      <c r="B103" s="469"/>
      <c r="C103" s="418"/>
      <c r="D103" s="437"/>
      <c r="E103" s="437"/>
      <c r="F103" s="560"/>
      <c r="G103" s="417"/>
      <c r="H103" s="376"/>
      <c r="J103" s="571"/>
      <c r="K103" s="572"/>
      <c r="L103" s="573"/>
      <c r="M103" s="573"/>
      <c r="N103" s="573"/>
      <c r="O103" s="573"/>
      <c r="P103" s="561"/>
      <c r="Q103" s="574"/>
      <c r="R103" s="376"/>
      <c r="X103" s="376"/>
      <c r="Y103" s="376"/>
    </row>
    <row r="104" spans="1:25">
      <c r="A104" s="417"/>
      <c r="B104" s="417"/>
      <c r="C104" s="416"/>
      <c r="D104" s="416"/>
      <c r="E104" s="416"/>
      <c r="F104" s="416"/>
      <c r="G104" s="417"/>
      <c r="H104" s="376"/>
      <c r="J104" s="376"/>
      <c r="K104" s="376"/>
      <c r="P104" s="376"/>
      <c r="Q104" s="376"/>
      <c r="R104" s="376"/>
      <c r="X104" s="376"/>
      <c r="Y104" s="376"/>
    </row>
    <row r="105" spans="1:25">
      <c r="A105" s="417"/>
      <c r="B105" s="417"/>
      <c r="C105" s="416"/>
      <c r="D105" s="416"/>
      <c r="E105" s="416"/>
      <c r="F105" s="416"/>
      <c r="G105" s="417"/>
      <c r="H105" s="376"/>
      <c r="J105" s="376"/>
      <c r="K105" s="376"/>
      <c r="P105" s="376"/>
      <c r="Q105" s="376"/>
      <c r="R105" s="376"/>
      <c r="X105" s="376"/>
      <c r="Y105" s="376"/>
    </row>
    <row r="106" spans="1:25">
      <c r="A106" s="417"/>
      <c r="B106" s="417"/>
      <c r="C106" s="416"/>
      <c r="D106" s="416"/>
      <c r="E106" s="416"/>
      <c r="F106" s="416"/>
      <c r="G106" s="417"/>
      <c r="H106" s="376"/>
      <c r="J106" s="376"/>
      <c r="K106" s="376"/>
      <c r="P106" s="376"/>
      <c r="Q106" s="376"/>
      <c r="R106" s="376"/>
      <c r="X106" s="376"/>
      <c r="Y106" s="376"/>
    </row>
    <row r="107" spans="1:25">
      <c r="A107" s="417"/>
      <c r="B107" s="417"/>
      <c r="C107" s="416"/>
      <c r="D107" s="416"/>
      <c r="E107" s="416"/>
      <c r="F107" s="416"/>
      <c r="G107" s="417"/>
      <c r="H107" s="376"/>
      <c r="J107" s="376"/>
      <c r="K107" s="376"/>
      <c r="P107" s="376"/>
      <c r="Q107" s="376"/>
      <c r="R107" s="376"/>
      <c r="X107" s="376"/>
      <c r="Y107" s="376"/>
    </row>
    <row r="108" spans="1:25">
      <c r="A108" s="417"/>
      <c r="B108" s="417"/>
      <c r="C108" s="416"/>
      <c r="D108" s="416"/>
      <c r="E108" s="416"/>
      <c r="F108" s="416"/>
      <c r="G108" s="417"/>
      <c r="H108" s="376"/>
      <c r="J108" s="376"/>
      <c r="K108" s="376"/>
      <c r="L108" s="376"/>
      <c r="M108" s="376"/>
      <c r="N108" s="376"/>
      <c r="O108" s="376"/>
      <c r="P108" s="376"/>
      <c r="Q108" s="376"/>
      <c r="R108" s="376"/>
      <c r="X108" s="376"/>
      <c r="Y108" s="376"/>
    </row>
    <row r="109" spans="1:25">
      <c r="A109" s="417"/>
      <c r="B109" s="417"/>
      <c r="C109" s="416"/>
      <c r="D109" s="416"/>
      <c r="E109" s="416"/>
      <c r="F109" s="416"/>
      <c r="G109" s="417"/>
      <c r="H109" s="376"/>
      <c r="J109" s="376"/>
      <c r="K109" s="376"/>
      <c r="L109" s="376"/>
      <c r="M109" s="376"/>
      <c r="N109" s="376"/>
      <c r="O109" s="376"/>
      <c r="P109" s="376"/>
      <c r="Q109" s="376"/>
      <c r="R109" s="376"/>
      <c r="X109" s="376"/>
      <c r="Y109" s="376"/>
    </row>
    <row r="110" spans="1:25">
      <c r="A110" s="376"/>
      <c r="B110" s="376"/>
      <c r="C110" s="554"/>
      <c r="D110" s="408"/>
      <c r="E110" s="376"/>
      <c r="F110" s="416"/>
      <c r="G110" s="417"/>
      <c r="H110" s="376"/>
      <c r="J110" s="376"/>
      <c r="K110" s="376"/>
      <c r="L110" s="376"/>
      <c r="M110" s="376"/>
      <c r="N110" s="376"/>
      <c r="O110" s="376"/>
      <c r="P110" s="376"/>
      <c r="Q110" s="376"/>
      <c r="R110" s="376"/>
      <c r="X110" s="376"/>
      <c r="Y110" s="376"/>
    </row>
    <row r="111" spans="1:25">
      <c r="A111" s="456"/>
      <c r="B111" s="376"/>
      <c r="F111" s="417"/>
      <c r="G111" s="469"/>
      <c r="H111" s="376"/>
      <c r="J111" s="376"/>
      <c r="K111" s="376"/>
      <c r="L111" s="376"/>
      <c r="M111" s="376"/>
      <c r="N111" s="376"/>
      <c r="O111" s="376"/>
      <c r="P111" s="376"/>
      <c r="Q111" s="376"/>
      <c r="R111" s="376"/>
      <c r="X111" s="376"/>
      <c r="Y111" s="376"/>
    </row>
    <row r="112" spans="1:25">
      <c r="A112" s="556"/>
      <c r="B112" s="559"/>
      <c r="C112" s="575"/>
      <c r="D112" s="469"/>
      <c r="E112" s="469"/>
      <c r="F112" s="376"/>
      <c r="G112" s="558"/>
      <c r="H112" s="376"/>
      <c r="J112" s="376"/>
      <c r="K112" s="376"/>
      <c r="L112" s="376"/>
      <c r="M112" s="376"/>
      <c r="N112" s="376"/>
      <c r="O112" s="376"/>
      <c r="P112" s="376"/>
      <c r="Q112" s="376"/>
      <c r="R112" s="376"/>
      <c r="X112" s="376"/>
      <c r="Y112" s="376"/>
    </row>
    <row r="113" spans="1:25">
      <c r="A113" s="576"/>
      <c r="B113" s="559"/>
      <c r="C113" s="418"/>
      <c r="D113" s="469"/>
      <c r="E113" s="469"/>
      <c r="F113" s="437"/>
      <c r="G113" s="558"/>
      <c r="L113" s="376"/>
      <c r="M113" s="376"/>
      <c r="N113" s="376"/>
      <c r="O113" s="376"/>
      <c r="P113" s="376"/>
      <c r="Q113" s="376"/>
      <c r="R113" s="376"/>
      <c r="X113" s="376"/>
      <c r="Y113" s="376"/>
    </row>
    <row r="114" spans="1:25">
      <c r="A114" s="376"/>
      <c r="B114" s="577"/>
      <c r="C114" s="418"/>
      <c r="D114" s="437"/>
      <c r="E114" s="437"/>
      <c r="F114" s="417"/>
      <c r="G114" s="463"/>
    </row>
    <row r="115" spans="1:25">
      <c r="A115" s="576"/>
      <c r="B115" s="559"/>
      <c r="C115" s="418"/>
      <c r="D115" s="479"/>
      <c r="E115" s="479"/>
      <c r="F115" s="437"/>
      <c r="G115" s="463"/>
    </row>
    <row r="116" spans="1:25">
      <c r="A116" s="376"/>
      <c r="B116" s="559"/>
      <c r="C116" s="418"/>
      <c r="D116" s="479"/>
      <c r="E116" s="479"/>
      <c r="F116" s="437"/>
      <c r="G116" s="463"/>
      <c r="H116" s="552"/>
    </row>
    <row r="117" spans="1:25">
      <c r="A117" s="376"/>
      <c r="B117" s="559"/>
      <c r="C117" s="418"/>
      <c r="D117" s="479"/>
      <c r="E117" s="479"/>
      <c r="F117" s="437"/>
      <c r="G117" s="463"/>
      <c r="H117" s="376"/>
      <c r="I117" s="376"/>
    </row>
    <row r="118" spans="1:25">
      <c r="A118" s="376"/>
      <c r="B118" s="469"/>
      <c r="C118" s="558"/>
      <c r="D118" s="377"/>
      <c r="E118" s="377"/>
      <c r="F118" s="417"/>
      <c r="G118" s="463"/>
      <c r="H118" s="376"/>
      <c r="I118" s="376"/>
    </row>
    <row r="119" spans="1:25">
      <c r="A119" s="576"/>
      <c r="B119" s="559"/>
      <c r="C119" s="418"/>
      <c r="D119" s="479"/>
      <c r="E119" s="479"/>
      <c r="F119" s="437"/>
      <c r="G119" s="463"/>
      <c r="H119" s="376"/>
      <c r="I119" s="376"/>
    </row>
    <row r="120" spans="1:25">
      <c r="A120" s="576"/>
      <c r="B120" s="559"/>
      <c r="D120" s="377"/>
      <c r="E120" s="479"/>
      <c r="F120" s="437"/>
      <c r="G120" s="463"/>
      <c r="H120" s="376"/>
      <c r="I120" s="376"/>
    </row>
    <row r="121" spans="1:25">
      <c r="A121" s="576"/>
      <c r="B121" s="559"/>
      <c r="C121" s="418"/>
      <c r="D121" s="479"/>
      <c r="E121" s="479"/>
      <c r="F121" s="437"/>
      <c r="G121" s="463"/>
      <c r="H121" s="376"/>
      <c r="I121" s="376"/>
    </row>
    <row r="122" spans="1:25">
      <c r="A122" s="576"/>
      <c r="B122" s="399"/>
      <c r="C122" s="407"/>
      <c r="D122" s="407"/>
      <c r="E122" s="376"/>
      <c r="F122" s="437"/>
      <c r="G122" s="463"/>
      <c r="H122" s="376"/>
      <c r="I122" s="376"/>
    </row>
    <row r="123" spans="1:25">
      <c r="A123" s="576"/>
      <c r="B123" s="376"/>
      <c r="C123" s="554"/>
      <c r="D123" s="554"/>
      <c r="E123" s="376"/>
      <c r="F123" s="437"/>
      <c r="G123" s="463"/>
      <c r="H123" s="376"/>
      <c r="I123" s="376"/>
      <c r="J123" s="376"/>
      <c r="K123" s="376"/>
    </row>
    <row r="124" spans="1:25">
      <c r="B124" s="376"/>
      <c r="C124" s="554"/>
      <c r="D124" s="554"/>
      <c r="E124" s="376"/>
      <c r="G124" s="376"/>
      <c r="H124" s="376"/>
      <c r="I124" s="376"/>
      <c r="J124" s="376"/>
      <c r="K124" s="376"/>
    </row>
    <row r="125" spans="1:25">
      <c r="A125" s="376"/>
      <c r="B125" s="376"/>
      <c r="C125" s="376"/>
      <c r="D125" s="376"/>
      <c r="E125" s="376"/>
      <c r="F125" s="376"/>
      <c r="G125" s="376"/>
      <c r="H125" s="376"/>
      <c r="I125" s="376"/>
      <c r="J125" s="376"/>
      <c r="K125" s="376"/>
    </row>
    <row r="126" spans="1:25">
      <c r="B126" s="376"/>
      <c r="C126" s="376"/>
      <c r="D126" s="376"/>
      <c r="E126" s="376"/>
      <c r="G126" s="376"/>
      <c r="H126" s="376"/>
      <c r="I126" s="376"/>
      <c r="J126" s="376"/>
      <c r="K126" s="376"/>
    </row>
    <row r="127" spans="1:25">
      <c r="B127" s="376"/>
      <c r="C127" s="376"/>
      <c r="D127" s="376"/>
      <c r="E127" s="376"/>
      <c r="G127" s="376"/>
      <c r="H127" s="376"/>
      <c r="I127" s="376"/>
      <c r="J127" s="376"/>
      <c r="K127" s="376"/>
    </row>
    <row r="128" spans="1:25">
      <c r="B128" s="376"/>
      <c r="C128" s="376"/>
      <c r="D128" s="376"/>
      <c r="E128" s="376"/>
      <c r="G128" s="376"/>
      <c r="H128" s="376"/>
      <c r="I128" s="376"/>
      <c r="J128" s="376"/>
      <c r="K128" s="376"/>
    </row>
    <row r="129" spans="2:5">
      <c r="B129" s="376"/>
      <c r="C129" s="376"/>
      <c r="D129" s="376"/>
      <c r="E129" s="376"/>
    </row>
    <row r="130" spans="2:5">
      <c r="B130" s="376"/>
      <c r="C130" s="376"/>
      <c r="D130" s="376"/>
      <c r="E130" s="376"/>
    </row>
  </sheetData>
  <mergeCells count="8">
    <mergeCell ref="C51:D51"/>
    <mergeCell ref="E51:G51"/>
    <mergeCell ref="A6:E6"/>
    <mergeCell ref="A7:E7"/>
    <mergeCell ref="A8:E8"/>
    <mergeCell ref="A9:E9"/>
    <mergeCell ref="A10:E10"/>
    <mergeCell ref="C25:E2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C37"/>
  <sheetViews>
    <sheetView zoomScale="72" zoomScaleNormal="72" workbookViewId="0">
      <selection activeCell="G29" sqref="G29"/>
    </sheetView>
  </sheetViews>
  <sheetFormatPr defaultRowHeight="15"/>
  <cols>
    <col min="2" max="2" width="41.1796875" customWidth="1"/>
    <col min="3" max="3" width="12.36328125" customWidth="1"/>
  </cols>
  <sheetData>
    <row r="2" spans="2:3" ht="30" customHeight="1">
      <c r="B2" s="1079" t="s">
        <v>116</v>
      </c>
    </row>
    <row r="4" spans="2:3">
      <c r="B4" t="s">
        <v>55</v>
      </c>
      <c r="C4" s="22">
        <v>10000</v>
      </c>
    </row>
    <row r="5" spans="2:3">
      <c r="B5" t="s">
        <v>115</v>
      </c>
      <c r="C5" s="22">
        <v>8000</v>
      </c>
    </row>
    <row r="6" spans="2:3">
      <c r="B6" t="s">
        <v>901</v>
      </c>
      <c r="C6" s="22">
        <v>4000</v>
      </c>
    </row>
    <row r="8" spans="2:3" ht="19.5" customHeight="1">
      <c r="B8" s="1079" t="s">
        <v>568</v>
      </c>
    </row>
    <row r="10" spans="2:3">
      <c r="B10" s="4" t="s">
        <v>916</v>
      </c>
      <c r="C10" s="22">
        <v>10000</v>
      </c>
    </row>
    <row r="11" spans="2:3">
      <c r="B11" s="4" t="s">
        <v>918</v>
      </c>
      <c r="C11" s="22">
        <v>6500</v>
      </c>
    </row>
    <row r="12" spans="2:3">
      <c r="B12" s="4"/>
      <c r="C12" s="22"/>
    </row>
    <row r="13" spans="2:3" ht="15.6">
      <c r="B13" s="14" t="s">
        <v>915</v>
      </c>
      <c r="C13" s="22"/>
    </row>
    <row r="14" spans="2:3" ht="15.6">
      <c r="B14" s="14"/>
      <c r="C14" s="22"/>
    </row>
    <row r="15" spans="2:3">
      <c r="B15" s="4" t="s">
        <v>914</v>
      </c>
      <c r="C15" s="22">
        <v>4000</v>
      </c>
    </row>
    <row r="16" spans="2:3">
      <c r="B16" s="4" t="s">
        <v>917</v>
      </c>
      <c r="C16" s="22">
        <v>10000</v>
      </c>
    </row>
    <row r="17" spans="2:3">
      <c r="B17" s="4"/>
      <c r="C17" s="22"/>
    </row>
    <row r="18" spans="2:3" ht="15.6">
      <c r="B18" s="1079" t="s">
        <v>781</v>
      </c>
    </row>
    <row r="20" spans="2:3">
      <c r="B20" s="4" t="s">
        <v>115</v>
      </c>
      <c r="C20" s="22">
        <v>110000</v>
      </c>
    </row>
    <row r="21" spans="2:3">
      <c r="B21" s="4" t="s">
        <v>902</v>
      </c>
      <c r="C21" s="22">
        <v>120000</v>
      </c>
    </row>
    <row r="23" spans="2:3" ht="15.6">
      <c r="B23" s="1079" t="s">
        <v>903</v>
      </c>
    </row>
    <row r="25" spans="2:3">
      <c r="B25" s="4" t="s">
        <v>812</v>
      </c>
      <c r="C25" s="22">
        <v>150000</v>
      </c>
    </row>
    <row r="26" spans="2:3">
      <c r="B26" s="4" t="s">
        <v>904</v>
      </c>
      <c r="C26" s="22">
        <v>200000</v>
      </c>
    </row>
    <row r="28" spans="2:3" ht="19.5" customHeight="1">
      <c r="B28" s="1079" t="s">
        <v>905</v>
      </c>
    </row>
    <row r="30" spans="2:3">
      <c r="B30" s="4" t="s">
        <v>906</v>
      </c>
      <c r="C30" s="22">
        <v>120000</v>
      </c>
    </row>
    <row r="31" spans="2:3">
      <c r="B31" s="4" t="s">
        <v>907</v>
      </c>
      <c r="C31" s="22">
        <v>110000</v>
      </c>
    </row>
    <row r="32" spans="2:3">
      <c r="B32" s="4" t="s">
        <v>908</v>
      </c>
      <c r="C32" s="22">
        <v>100000</v>
      </c>
    </row>
    <row r="33" spans="2:3">
      <c r="B33" s="4" t="s">
        <v>909</v>
      </c>
      <c r="C33" s="22">
        <v>300000</v>
      </c>
    </row>
    <row r="34" spans="2:3">
      <c r="B34" s="4" t="s">
        <v>911</v>
      </c>
      <c r="C34" s="22">
        <v>120000</v>
      </c>
    </row>
    <row r="35" spans="2:3">
      <c r="B35" s="4" t="s">
        <v>910</v>
      </c>
      <c r="C35" s="22">
        <v>100000</v>
      </c>
    </row>
    <row r="36" spans="2:3">
      <c r="B36" s="4" t="s">
        <v>912</v>
      </c>
      <c r="C36" s="22">
        <v>120000</v>
      </c>
    </row>
    <row r="37" spans="2:3">
      <c r="B37" s="4" t="s">
        <v>913</v>
      </c>
      <c r="C37" s="22">
        <v>400000</v>
      </c>
    </row>
  </sheetData>
  <pageMargins left="0.7" right="0.7" top="0.75" bottom="0.75" header="0.3" footer="0.3"/>
  <pageSetup paperSize="9"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O23"/>
  <sheetViews>
    <sheetView showZeros="0" topLeftCell="A17" zoomScale="50" zoomScaleNormal="50" workbookViewId="0">
      <selection activeCell="C19" sqref="C19"/>
    </sheetView>
  </sheetViews>
  <sheetFormatPr defaultColWidth="8.90625" defaultRowHeight="14.4"/>
  <cols>
    <col min="1" max="1" width="8.90625" style="1597"/>
    <col min="2" max="2" width="67.36328125" style="1597" customWidth="1"/>
    <col min="3" max="4" width="8.90625" style="1597"/>
    <col min="5" max="5" width="11.08984375" style="1597" customWidth="1"/>
    <col min="6" max="6" width="9.6328125" style="1597" hidden="1" customWidth="1"/>
    <col min="7" max="12" width="8.90625" style="1597"/>
    <col min="13" max="13" width="14.36328125" style="1597" customWidth="1"/>
    <col min="14" max="14" width="14.6328125" style="1597" customWidth="1"/>
    <col min="15" max="16384" width="8.90625" style="1597"/>
  </cols>
  <sheetData>
    <row r="1" spans="1:14" ht="15.6">
      <c r="A1" s="2477" t="s">
        <v>1</v>
      </c>
      <c r="B1" s="2477"/>
      <c r="C1" s="2477"/>
      <c r="D1" s="2477"/>
      <c r="E1" s="2477"/>
      <c r="F1" s="2477"/>
      <c r="G1" s="2477"/>
      <c r="H1" s="2477"/>
      <c r="I1" s="2477"/>
    </row>
    <row r="2" spans="1:14">
      <c r="A2" s="2478" t="s">
        <v>1084</v>
      </c>
      <c r="B2" s="2478"/>
      <c r="C2" s="2478"/>
      <c r="D2" s="2478"/>
      <c r="E2" s="2478"/>
      <c r="F2" s="2478"/>
      <c r="G2" s="2478"/>
      <c r="H2" s="2478"/>
      <c r="I2" s="2478"/>
    </row>
    <row r="3" spans="1:14" ht="17.25" customHeight="1">
      <c r="A3" s="2479" t="s">
        <v>987</v>
      </c>
      <c r="B3" s="2479"/>
      <c r="C3" s="2479"/>
      <c r="D3" s="2479"/>
      <c r="E3" s="2479"/>
      <c r="F3" s="2479"/>
      <c r="G3" s="2479"/>
      <c r="H3" s="2479"/>
      <c r="I3" s="2479"/>
    </row>
    <row r="4" spans="1:14">
      <c r="A4" s="2478" t="s">
        <v>988</v>
      </c>
      <c r="B4" s="2478"/>
      <c r="C4" s="2478"/>
      <c r="D4" s="2478"/>
      <c r="E4" s="2478"/>
      <c r="F4" s="2478"/>
      <c r="G4" s="2478"/>
      <c r="H4" s="2478"/>
      <c r="I4" s="2478"/>
    </row>
    <row r="5" spans="1:14">
      <c r="A5" s="2480" t="s">
        <v>1315</v>
      </c>
      <c r="B5" s="2480"/>
      <c r="C5" s="2480"/>
      <c r="D5" s="2480"/>
      <c r="E5" s="2480"/>
      <c r="F5" s="2480"/>
      <c r="G5" s="2480"/>
      <c r="H5" s="2480"/>
      <c r="I5" s="2480"/>
    </row>
    <row r="13" spans="1:14" ht="110.25" customHeight="1">
      <c r="A13" s="1599" t="s">
        <v>1179</v>
      </c>
      <c r="B13" s="1599" t="s">
        <v>294</v>
      </c>
      <c r="C13" s="1599" t="s">
        <v>198</v>
      </c>
      <c r="D13" s="1599" t="s">
        <v>1180</v>
      </c>
      <c r="E13" s="1599" t="s">
        <v>1181</v>
      </c>
      <c r="F13" s="1652" t="s">
        <v>1182</v>
      </c>
      <c r="G13" s="1651" t="s">
        <v>1292</v>
      </c>
      <c r="H13" s="1651" t="s">
        <v>1317</v>
      </c>
      <c r="I13" s="1651" t="s">
        <v>1293</v>
      </c>
      <c r="J13" s="1651" t="s">
        <v>1294</v>
      </c>
      <c r="K13" s="1651" t="s">
        <v>1295</v>
      </c>
      <c r="L13" s="1651" t="s">
        <v>1296</v>
      </c>
      <c r="M13" s="1699"/>
      <c r="N13" s="1728" t="s">
        <v>1320</v>
      </c>
    </row>
    <row r="14" spans="1:14" ht="24" customHeight="1">
      <c r="A14" s="1600" t="s">
        <v>197</v>
      </c>
      <c r="B14" s="1600" t="s">
        <v>61</v>
      </c>
      <c r="C14" s="1600" t="s">
        <v>62</v>
      </c>
      <c r="D14" s="1600" t="s">
        <v>63</v>
      </c>
      <c r="E14" s="1600" t="s">
        <v>64</v>
      </c>
      <c r="F14" s="1600"/>
      <c r="G14" s="1666" t="s">
        <v>65</v>
      </c>
      <c r="H14" s="1666" t="s">
        <v>1309</v>
      </c>
      <c r="I14" s="1666" t="s">
        <v>67</v>
      </c>
      <c r="J14" s="1666" t="s">
        <v>1310</v>
      </c>
      <c r="K14" s="1666" t="s">
        <v>1311</v>
      </c>
      <c r="L14" s="1666" t="s">
        <v>1312</v>
      </c>
    </row>
    <row r="15" spans="1:14" ht="19.2">
      <c r="A15" s="1600"/>
      <c r="B15" s="1600"/>
      <c r="C15" s="1600"/>
      <c r="D15" s="1600"/>
      <c r="E15" s="1600"/>
      <c r="F15" s="1600"/>
      <c r="G15" s="1671">
        <v>0.18</v>
      </c>
      <c r="H15" s="1666"/>
      <c r="I15" s="1666"/>
      <c r="J15" s="1666"/>
      <c r="K15" s="1666"/>
      <c r="L15" s="1666"/>
    </row>
    <row r="16" spans="1:14" ht="221.25" customHeight="1">
      <c r="A16" s="1606" t="s">
        <v>1209</v>
      </c>
      <c r="B16" s="1612" t="s">
        <v>1210</v>
      </c>
      <c r="C16" s="1606" t="s">
        <v>1211</v>
      </c>
      <c r="D16" s="1606">
        <v>300</v>
      </c>
      <c r="E16" s="1697">
        <f>85000+85000*5%</f>
        <v>89250</v>
      </c>
      <c r="F16" s="1698">
        <f>D16*E16/10^5</f>
        <v>267.75</v>
      </c>
      <c r="G16" s="1698">
        <f>E16*$G$15</f>
        <v>16065</v>
      </c>
      <c r="H16" s="1698">
        <f>E16+G16</f>
        <v>105315</v>
      </c>
      <c r="I16" s="1698">
        <f>G16</f>
        <v>16065</v>
      </c>
      <c r="J16" s="1698">
        <f>H16-I16</f>
        <v>89250</v>
      </c>
      <c r="K16" s="1698">
        <f>H16*D16</f>
        <v>31594500</v>
      </c>
      <c r="L16" s="1698">
        <f>J16*D16</f>
        <v>26775000</v>
      </c>
      <c r="M16" s="1699" t="s">
        <v>1306</v>
      </c>
      <c r="N16" s="1613"/>
    </row>
    <row r="17" spans="1:15" ht="171.75" customHeight="1">
      <c r="A17" s="1606" t="s">
        <v>1212</v>
      </c>
      <c r="B17" s="1605" t="s">
        <v>1213</v>
      </c>
      <c r="C17" s="1606" t="s">
        <v>1211</v>
      </c>
      <c r="D17" s="1606">
        <v>300</v>
      </c>
      <c r="E17" s="1698">
        <f>17440</f>
        <v>17440</v>
      </c>
      <c r="F17" s="1698">
        <f t="shared" ref="F17:F22" si="0">D17*E17/10^5</f>
        <v>52.32</v>
      </c>
      <c r="G17" s="1698">
        <f t="shared" ref="G17:G22" si="1">E17*$G$15</f>
        <v>3139.2</v>
      </c>
      <c r="H17" s="1698">
        <f t="shared" ref="H17:H22" si="2">E17+G17</f>
        <v>20579.2</v>
      </c>
      <c r="I17" s="1698">
        <f t="shared" ref="I17:I22" si="3">G17</f>
        <v>3139.2</v>
      </c>
      <c r="J17" s="1698">
        <f t="shared" ref="J17:J22" si="4">H17-I17</f>
        <v>17440</v>
      </c>
      <c r="K17" s="1698">
        <f t="shared" ref="K17:K22" si="5">H17*D17</f>
        <v>6173760</v>
      </c>
      <c r="L17" s="1698">
        <f t="shared" ref="L17:L22" si="6">J17*D17</f>
        <v>5232000</v>
      </c>
      <c r="M17" s="1700" t="s">
        <v>1308</v>
      </c>
      <c r="N17" s="1725" t="s">
        <v>1321</v>
      </c>
      <c r="O17" s="1728" t="s">
        <v>1319</v>
      </c>
    </row>
    <row r="18" spans="1:15" ht="272.25" customHeight="1">
      <c r="A18" s="1606" t="s">
        <v>1214</v>
      </c>
      <c r="B18" s="1701" t="s">
        <v>1215</v>
      </c>
      <c r="C18" s="1606" t="s">
        <v>1211</v>
      </c>
      <c r="D18" s="1606">
        <v>3</v>
      </c>
      <c r="E18" s="1698">
        <v>92650</v>
      </c>
      <c r="F18" s="1698">
        <f t="shared" si="0"/>
        <v>2.7795000000000001</v>
      </c>
      <c r="G18" s="1698">
        <f t="shared" si="1"/>
        <v>16677</v>
      </c>
      <c r="H18" s="1698">
        <f t="shared" si="2"/>
        <v>109327</v>
      </c>
      <c r="I18" s="1698">
        <f t="shared" si="3"/>
        <v>16677</v>
      </c>
      <c r="J18" s="1698">
        <f t="shared" si="4"/>
        <v>92650</v>
      </c>
      <c r="K18" s="1698">
        <f t="shared" si="5"/>
        <v>327981</v>
      </c>
      <c r="L18" s="1698">
        <f t="shared" si="6"/>
        <v>277950</v>
      </c>
      <c r="M18" s="1702" t="s">
        <v>808</v>
      </c>
      <c r="N18" s="1729"/>
      <c r="O18" s="1730" t="s">
        <v>808</v>
      </c>
    </row>
    <row r="19" spans="1:15" ht="115.2">
      <c r="A19" s="1606" t="s">
        <v>1216</v>
      </c>
      <c r="B19" s="1612" t="s">
        <v>1217</v>
      </c>
      <c r="C19" s="1606" t="s">
        <v>1218</v>
      </c>
      <c r="D19" s="1606">
        <v>3500</v>
      </c>
      <c r="E19" s="1698">
        <v>1635</v>
      </c>
      <c r="F19" s="1698">
        <f t="shared" si="0"/>
        <v>57.225000000000001</v>
      </c>
      <c r="G19" s="1698">
        <f t="shared" si="1"/>
        <v>294.3</v>
      </c>
      <c r="H19" s="1698">
        <f t="shared" si="2"/>
        <v>1929.3</v>
      </c>
      <c r="I19" s="1698">
        <f t="shared" si="3"/>
        <v>294.3</v>
      </c>
      <c r="J19" s="1698">
        <f t="shared" si="4"/>
        <v>1635</v>
      </c>
      <c r="K19" s="1698">
        <f t="shared" si="5"/>
        <v>6752550</v>
      </c>
      <c r="L19" s="1698">
        <f t="shared" si="6"/>
        <v>5722500</v>
      </c>
      <c r="M19" s="1700" t="s">
        <v>808</v>
      </c>
      <c r="N19" s="1727" t="s">
        <v>1307</v>
      </c>
    </row>
    <row r="20" spans="1:15" ht="132" customHeight="1">
      <c r="A20" s="1606" t="s">
        <v>1219</v>
      </c>
      <c r="B20" s="1612" t="s">
        <v>1220</v>
      </c>
      <c r="C20" s="1606" t="s">
        <v>1218</v>
      </c>
      <c r="D20" s="1629">
        <v>100</v>
      </c>
      <c r="E20" s="1613"/>
      <c r="F20" s="1698">
        <f t="shared" si="0"/>
        <v>0</v>
      </c>
      <c r="G20" s="1698">
        <f t="shared" si="1"/>
        <v>0</v>
      </c>
      <c r="H20" s="1698">
        <f t="shared" si="2"/>
        <v>0</v>
      </c>
      <c r="I20" s="1698">
        <f t="shared" si="3"/>
        <v>0</v>
      </c>
      <c r="J20" s="1698">
        <f t="shared" si="4"/>
        <v>0</v>
      </c>
      <c r="K20" s="1698">
        <f t="shared" si="5"/>
        <v>0</v>
      </c>
      <c r="L20" s="1698">
        <f t="shared" si="6"/>
        <v>0</v>
      </c>
      <c r="M20" s="1613"/>
      <c r="N20" s="1726" t="s">
        <v>1313</v>
      </c>
    </row>
    <row r="21" spans="1:15" ht="141.75" customHeight="1">
      <c r="A21" s="1606" t="s">
        <v>1221</v>
      </c>
      <c r="B21" s="1612" t="s">
        <v>1222</v>
      </c>
      <c r="C21" s="1606" t="s">
        <v>1211</v>
      </c>
      <c r="D21" s="1629">
        <v>130</v>
      </c>
      <c r="E21" s="1698">
        <v>13080</v>
      </c>
      <c r="F21" s="1698">
        <f t="shared" si="0"/>
        <v>17.004000000000001</v>
      </c>
      <c r="G21" s="1698">
        <f t="shared" si="1"/>
        <v>2354.4</v>
      </c>
      <c r="H21" s="1698">
        <f t="shared" si="2"/>
        <v>15434.4</v>
      </c>
      <c r="I21" s="1698">
        <f t="shared" si="3"/>
        <v>2354.4</v>
      </c>
      <c r="J21" s="1698">
        <f t="shared" si="4"/>
        <v>13080</v>
      </c>
      <c r="K21" s="1698">
        <f t="shared" si="5"/>
        <v>2006472</v>
      </c>
      <c r="L21" s="1698">
        <f t="shared" si="6"/>
        <v>1700400</v>
      </c>
      <c r="M21" s="1700" t="s">
        <v>1308</v>
      </c>
      <c r="N21" s="1613"/>
      <c r="O21" s="1728" t="s">
        <v>1319</v>
      </c>
    </row>
    <row r="22" spans="1:15" ht="135" thickBot="1">
      <c r="A22" s="1629" t="s">
        <v>1223</v>
      </c>
      <c r="B22" s="1612" t="s">
        <v>1224</v>
      </c>
      <c r="C22" s="1606" t="s">
        <v>1225</v>
      </c>
      <c r="D22" s="1629">
        <v>2500</v>
      </c>
      <c r="E22" s="1697">
        <v>300</v>
      </c>
      <c r="F22" s="1698">
        <f t="shared" si="0"/>
        <v>7.5</v>
      </c>
      <c r="G22" s="1698">
        <f t="shared" si="1"/>
        <v>54</v>
      </c>
      <c r="H22" s="1698">
        <f t="shared" si="2"/>
        <v>354</v>
      </c>
      <c r="I22" s="1698">
        <f t="shared" si="3"/>
        <v>54</v>
      </c>
      <c r="J22" s="1698">
        <f t="shared" si="4"/>
        <v>300</v>
      </c>
      <c r="K22" s="1731">
        <f t="shared" si="5"/>
        <v>885000</v>
      </c>
      <c r="L22" s="1698">
        <f t="shared" si="6"/>
        <v>750000</v>
      </c>
      <c r="M22" s="1699" t="s">
        <v>1314</v>
      </c>
      <c r="N22" s="1613"/>
    </row>
    <row r="23" spans="1:15" ht="23.25" customHeight="1" thickBot="1">
      <c r="K23" s="1732">
        <f>SUM(K16:K22)</f>
        <v>47740263</v>
      </c>
      <c r="L23" s="1732">
        <f>SUM(L16:L22)</f>
        <v>40457850</v>
      </c>
    </row>
  </sheetData>
  <mergeCells count="5">
    <mergeCell ref="A1:I1"/>
    <mergeCell ref="A2:I2"/>
    <mergeCell ref="A3:I3"/>
    <mergeCell ref="A4:I4"/>
    <mergeCell ref="A5:I5"/>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W44"/>
  <sheetViews>
    <sheetView showZeros="0" topLeftCell="D43" zoomScale="77" zoomScaleNormal="77" workbookViewId="0">
      <selection activeCell="L13" sqref="L13"/>
    </sheetView>
  </sheetViews>
  <sheetFormatPr defaultColWidth="8.90625" defaultRowHeight="14.4"/>
  <cols>
    <col min="1" max="1" width="8.90625" style="1673"/>
    <col min="2" max="2" width="67.36328125" style="1673" customWidth="1"/>
    <col min="3" max="3" width="8.90625" style="1673"/>
    <col min="4" max="4" width="8.90625" style="1696"/>
    <col min="5" max="5" width="11.08984375" style="1673" customWidth="1"/>
    <col min="6" max="6" width="9.6328125" style="1673" hidden="1" customWidth="1"/>
    <col min="7" max="7" width="9.6328125" style="1673" customWidth="1"/>
    <col min="8" max="8" width="14.36328125" style="1673" customWidth="1"/>
    <col min="9" max="11" width="8.90625" style="1673"/>
    <col min="12" max="12" width="11" style="1673" customWidth="1"/>
    <col min="13" max="13" width="11.54296875" style="1673" customWidth="1"/>
    <col min="14" max="14" width="15.08984375" style="1673" customWidth="1"/>
    <col min="15" max="15" width="18.54296875" style="1673" customWidth="1"/>
    <col min="16" max="19" width="8.90625" style="1673"/>
    <col min="20" max="20" width="8.90625" style="1673" customWidth="1"/>
    <col min="21" max="21" width="14.36328125" style="1673" customWidth="1"/>
    <col min="22" max="22" width="9.36328125" style="1673" bestFit="1" customWidth="1"/>
    <col min="23" max="16384" width="8.90625" style="1673"/>
  </cols>
  <sheetData>
    <row r="1" spans="1:23" ht="15.6">
      <c r="A1" s="2477" t="s">
        <v>1</v>
      </c>
      <c r="B1" s="2477"/>
      <c r="C1" s="2477"/>
      <c r="D1" s="2477"/>
      <c r="E1" s="2477"/>
      <c r="F1" s="2477"/>
      <c r="G1" s="2477"/>
      <c r="H1" s="2477"/>
      <c r="I1" s="2477"/>
      <c r="J1" s="2477"/>
    </row>
    <row r="2" spans="1:23">
      <c r="A2" s="2478" t="s">
        <v>1084</v>
      </c>
      <c r="B2" s="2478"/>
      <c r="C2" s="2478"/>
      <c r="D2" s="2478"/>
      <c r="E2" s="2478"/>
      <c r="F2" s="2478"/>
      <c r="G2" s="2478"/>
      <c r="H2" s="2478"/>
      <c r="I2" s="2478"/>
      <c r="J2" s="2478"/>
    </row>
    <row r="3" spans="1:23" ht="17.25" customHeight="1">
      <c r="A3" s="2479" t="s">
        <v>987</v>
      </c>
      <c r="B3" s="2479"/>
      <c r="C3" s="2479"/>
      <c r="D3" s="2479"/>
      <c r="E3" s="2479"/>
      <c r="F3" s="2479"/>
      <c r="G3" s="2479"/>
      <c r="H3" s="2479"/>
      <c r="I3" s="2479"/>
      <c r="J3" s="2479"/>
    </row>
    <row r="4" spans="1:23">
      <c r="A4" s="2478" t="s">
        <v>988</v>
      </c>
      <c r="B4" s="2478"/>
      <c r="C4" s="2478"/>
      <c r="D4" s="2478"/>
      <c r="E4" s="2478"/>
      <c r="F4" s="2478"/>
      <c r="G4" s="2478"/>
      <c r="H4" s="2478"/>
      <c r="I4" s="2478"/>
      <c r="J4" s="2478"/>
    </row>
    <row r="5" spans="1:23">
      <c r="A5" s="2480" t="s">
        <v>1316</v>
      </c>
      <c r="B5" s="2480"/>
      <c r="C5" s="2480"/>
      <c r="D5" s="2480"/>
      <c r="E5" s="2480"/>
      <c r="F5" s="2480"/>
      <c r="G5" s="2480"/>
      <c r="H5" s="2480"/>
      <c r="I5" s="2480"/>
      <c r="J5" s="2480"/>
    </row>
    <row r="9" spans="1:23" ht="93.6">
      <c r="A9" s="1672" t="s">
        <v>1179</v>
      </c>
      <c r="B9" s="1672" t="s">
        <v>294</v>
      </c>
      <c r="C9" s="1672" t="s">
        <v>198</v>
      </c>
      <c r="D9" s="1672" t="s">
        <v>1180</v>
      </c>
      <c r="E9" s="1599" t="s">
        <v>1299</v>
      </c>
      <c r="F9" s="1703" t="s">
        <v>1182</v>
      </c>
      <c r="G9" s="1651" t="s">
        <v>1297</v>
      </c>
      <c r="H9" s="1651" t="s">
        <v>1292</v>
      </c>
      <c r="I9" s="1651" t="s">
        <v>1317</v>
      </c>
      <c r="J9" s="1651" t="s">
        <v>1293</v>
      </c>
      <c r="K9" s="1651" t="s">
        <v>1294</v>
      </c>
      <c r="L9" s="1651" t="s">
        <v>1295</v>
      </c>
      <c r="M9" s="1651" t="s">
        <v>1296</v>
      </c>
      <c r="N9" s="1672" t="s">
        <v>1226</v>
      </c>
      <c r="O9" s="1728" t="s">
        <v>1318</v>
      </c>
      <c r="R9" s="1599" t="s">
        <v>1299</v>
      </c>
      <c r="S9" s="1599" t="s">
        <v>538</v>
      </c>
      <c r="T9" s="1599" t="s">
        <v>1291</v>
      </c>
      <c r="U9" s="1707" t="s">
        <v>824</v>
      </c>
      <c r="V9" s="1599" t="s">
        <v>1298</v>
      </c>
      <c r="W9" s="1600"/>
    </row>
    <row r="10" spans="1:23" ht="19.2">
      <c r="A10" s="1600" t="s">
        <v>197</v>
      </c>
      <c r="B10" s="1600" t="s">
        <v>61</v>
      </c>
      <c r="C10" s="1600" t="s">
        <v>62</v>
      </c>
      <c r="D10" s="1600" t="s">
        <v>63</v>
      </c>
      <c r="E10" s="1600" t="s">
        <v>64</v>
      </c>
      <c r="F10" s="1600"/>
      <c r="G10" s="1600" t="s">
        <v>65</v>
      </c>
      <c r="H10" s="1600" t="s">
        <v>66</v>
      </c>
      <c r="I10" s="1600" t="s">
        <v>1300</v>
      </c>
      <c r="J10" s="1600" t="s">
        <v>298</v>
      </c>
      <c r="K10" s="1600" t="s">
        <v>1301</v>
      </c>
      <c r="L10" s="1600" t="s">
        <v>1302</v>
      </c>
      <c r="M10" s="1600" t="s">
        <v>1303</v>
      </c>
      <c r="N10" s="1672"/>
      <c r="O10" s="1597"/>
      <c r="R10" s="1600" t="str">
        <f>E10</f>
        <v>e</v>
      </c>
      <c r="S10" s="1600"/>
      <c r="T10" s="1600"/>
      <c r="U10" s="1600"/>
      <c r="V10" s="1600" t="str">
        <f>G10</f>
        <v>f</v>
      </c>
    </row>
    <row r="11" spans="1:23" ht="19.2">
      <c r="A11" s="1600"/>
      <c r="B11" s="1600"/>
      <c r="C11" s="1600"/>
      <c r="D11" s="1600"/>
      <c r="E11" s="1600"/>
      <c r="F11" s="1600"/>
      <c r="G11" s="1600"/>
      <c r="H11" s="1671">
        <v>0.18</v>
      </c>
      <c r="I11" s="1666"/>
      <c r="J11" s="1666"/>
      <c r="K11" s="1666"/>
      <c r="L11" s="1666"/>
      <c r="M11" s="1666"/>
      <c r="N11" s="1672"/>
      <c r="O11" s="1597"/>
      <c r="S11" s="1649">
        <v>0.12</v>
      </c>
      <c r="T11" s="1649">
        <v>0.05</v>
      </c>
      <c r="U11" s="1649">
        <v>0.02</v>
      </c>
    </row>
    <row r="12" spans="1:23" ht="19.2">
      <c r="A12" s="2481" t="s">
        <v>33</v>
      </c>
      <c r="B12" s="2481"/>
      <c r="C12" s="2481"/>
      <c r="D12" s="2481"/>
      <c r="E12" s="2481"/>
      <c r="F12" s="2481"/>
      <c r="G12" s="1675"/>
      <c r="H12" s="1674"/>
      <c r="N12" s="1674"/>
    </row>
    <row r="13" spans="1:23" ht="96">
      <c r="A13" s="1675" t="s">
        <v>1227</v>
      </c>
      <c r="B13" s="1676" t="s">
        <v>1228</v>
      </c>
      <c r="C13" s="1677" t="s">
        <v>673</v>
      </c>
      <c r="D13" s="1678">
        <v>70</v>
      </c>
      <c r="E13" s="1705">
        <f>2928.1/1.15</f>
        <v>2546.1739130434785</v>
      </c>
      <c r="F13" s="1717">
        <f>E13*D13</f>
        <v>178232.17391304349</v>
      </c>
      <c r="G13" s="1704">
        <f>V13</f>
        <v>2673.4826086956523</v>
      </c>
      <c r="H13" s="1704">
        <f>G13*$H$11</f>
        <v>481.22686956521738</v>
      </c>
      <c r="I13" s="1704">
        <f>G13+H13</f>
        <v>3154.7094782608697</v>
      </c>
      <c r="J13" s="1704">
        <f>H13</f>
        <v>481.22686956521738</v>
      </c>
      <c r="K13" s="1704">
        <f>I13-J13</f>
        <v>2673.4826086956523</v>
      </c>
      <c r="L13" s="1704">
        <f>I13*D13</f>
        <v>220829.66347826089</v>
      </c>
      <c r="M13" s="1704">
        <f>K13*D13</f>
        <v>187143.78260869565</v>
      </c>
      <c r="N13" s="1679" t="s">
        <v>1229</v>
      </c>
      <c r="R13" s="1705">
        <f>E13</f>
        <v>2546.1739130434785</v>
      </c>
      <c r="S13" s="1674"/>
      <c r="T13" s="1706">
        <f>R13*5%</f>
        <v>127.30869565217392</v>
      </c>
      <c r="U13" s="1708"/>
      <c r="V13" s="1706">
        <f>R13+S13+T13+U13</f>
        <v>2673.4826086956523</v>
      </c>
    </row>
    <row r="14" spans="1:23" ht="96">
      <c r="A14" s="1675" t="s">
        <v>1230</v>
      </c>
      <c r="B14" s="1676" t="s">
        <v>1231</v>
      </c>
      <c r="C14" s="1677" t="s">
        <v>673</v>
      </c>
      <c r="D14" s="1678">
        <v>2</v>
      </c>
      <c r="E14" s="1705">
        <f>2007.1/1.15</f>
        <v>1745.304347826087</v>
      </c>
      <c r="F14" s="1717">
        <f t="shared" ref="F14:F26" si="0">E14*D14</f>
        <v>3490.608695652174</v>
      </c>
      <c r="G14" s="1704">
        <f t="shared" ref="G14:G43" si="1">V14</f>
        <v>1832.5695652173913</v>
      </c>
      <c r="H14" s="1704">
        <f t="shared" ref="H14:H43" si="2">G14*$H$11</f>
        <v>329.86252173913044</v>
      </c>
      <c r="I14" s="1704">
        <f t="shared" ref="I14:I43" si="3">G14+H14</f>
        <v>2162.4320869565217</v>
      </c>
      <c r="J14" s="1704">
        <f t="shared" ref="J14:J43" si="4">H14</f>
        <v>329.86252173913044</v>
      </c>
      <c r="K14" s="1704">
        <f t="shared" ref="K14:K43" si="5">I14-J14</f>
        <v>1832.5695652173913</v>
      </c>
      <c r="L14" s="1704">
        <f t="shared" ref="L14:L43" si="6">I14*D14</f>
        <v>4324.8641739130435</v>
      </c>
      <c r="M14" s="1704">
        <f t="shared" ref="M14:M43" si="7">K14*D14</f>
        <v>3665.1391304347826</v>
      </c>
      <c r="N14" s="1679" t="s">
        <v>1232</v>
      </c>
      <c r="R14" s="1705">
        <f t="shared" ref="R14:R43" si="8">E14</f>
        <v>1745.304347826087</v>
      </c>
      <c r="S14" s="1674"/>
      <c r="T14" s="1706">
        <f t="shared" ref="T14:T43" si="9">R14*5%</f>
        <v>87.265217391304361</v>
      </c>
      <c r="U14" s="1708"/>
      <c r="V14" s="1706">
        <f t="shared" ref="V14:V43" si="10">R14+S14+T14+U14</f>
        <v>1832.5695652173913</v>
      </c>
    </row>
    <row r="15" spans="1:23" ht="96">
      <c r="A15" s="1675" t="s">
        <v>1233</v>
      </c>
      <c r="B15" s="1676" t="s">
        <v>1234</v>
      </c>
      <c r="C15" s="1677" t="s">
        <v>673</v>
      </c>
      <c r="D15" s="1678">
        <v>10</v>
      </c>
      <c r="E15" s="1705">
        <f>2619.45/1.15</f>
        <v>2277.782608695652</v>
      </c>
      <c r="F15" s="1717">
        <f t="shared" si="0"/>
        <v>22777.82608695652</v>
      </c>
      <c r="G15" s="1704">
        <f t="shared" si="1"/>
        <v>2391.6717391304346</v>
      </c>
      <c r="H15" s="1704">
        <f t="shared" si="2"/>
        <v>430.50091304347819</v>
      </c>
      <c r="I15" s="1704">
        <f t="shared" si="3"/>
        <v>2822.1726521739129</v>
      </c>
      <c r="J15" s="1704">
        <f t="shared" si="4"/>
        <v>430.50091304347819</v>
      </c>
      <c r="K15" s="1704">
        <f t="shared" si="5"/>
        <v>2391.6717391304346</v>
      </c>
      <c r="L15" s="1704">
        <f t="shared" si="6"/>
        <v>28221.726521739129</v>
      </c>
      <c r="M15" s="1704">
        <f t="shared" si="7"/>
        <v>23916.717391304344</v>
      </c>
      <c r="N15" s="1679" t="s">
        <v>1067</v>
      </c>
      <c r="R15" s="1705">
        <f t="shared" si="8"/>
        <v>2277.782608695652</v>
      </c>
      <c r="S15" s="1674"/>
      <c r="T15" s="1706">
        <f t="shared" si="9"/>
        <v>113.8891304347826</v>
      </c>
      <c r="U15" s="1708"/>
      <c r="V15" s="1706">
        <f t="shared" si="10"/>
        <v>2391.6717391304346</v>
      </c>
    </row>
    <row r="16" spans="1:23" ht="17.25" customHeight="1">
      <c r="A16" s="2482" t="s">
        <v>1235</v>
      </c>
      <c r="B16" s="2483"/>
      <c r="C16" s="1680"/>
      <c r="D16" s="1680"/>
      <c r="E16" s="1680"/>
      <c r="F16" s="1718"/>
      <c r="G16" s="1704">
        <f t="shared" si="1"/>
        <v>0</v>
      </c>
      <c r="H16" s="1704">
        <f t="shared" si="2"/>
        <v>0</v>
      </c>
      <c r="I16" s="1704">
        <f t="shared" si="3"/>
        <v>0</v>
      </c>
      <c r="J16" s="1704">
        <f t="shared" si="4"/>
        <v>0</v>
      </c>
      <c r="K16" s="1704">
        <f t="shared" si="5"/>
        <v>0</v>
      </c>
      <c r="L16" s="1704">
        <f t="shared" si="6"/>
        <v>0</v>
      </c>
      <c r="M16" s="1704">
        <f t="shared" si="7"/>
        <v>0</v>
      </c>
      <c r="N16" s="1674"/>
      <c r="R16" s="1705">
        <f t="shared" si="8"/>
        <v>0</v>
      </c>
      <c r="S16" s="1674"/>
      <c r="T16" s="1706">
        <f t="shared" si="9"/>
        <v>0</v>
      </c>
      <c r="U16" s="1709"/>
      <c r="V16" s="1706">
        <f t="shared" si="10"/>
        <v>0</v>
      </c>
    </row>
    <row r="17" spans="1:22" ht="172.8">
      <c r="A17" s="1675" t="s">
        <v>1236</v>
      </c>
      <c r="B17" s="1676" t="s">
        <v>1237</v>
      </c>
      <c r="C17" s="1677" t="s">
        <v>673</v>
      </c>
      <c r="D17" s="1678">
        <v>200</v>
      </c>
      <c r="E17" s="1705">
        <f>286.85/1.15</f>
        <v>249.43478260869568</v>
      </c>
      <c r="F17" s="1717">
        <f t="shared" si="0"/>
        <v>49886.956521739135</v>
      </c>
      <c r="G17" s="1704">
        <f t="shared" si="1"/>
        <v>261.90652173913048</v>
      </c>
      <c r="H17" s="1704">
        <f t="shared" si="2"/>
        <v>47.143173913043483</v>
      </c>
      <c r="I17" s="1704">
        <f t="shared" si="3"/>
        <v>309.04969565217397</v>
      </c>
      <c r="J17" s="1704">
        <f t="shared" si="4"/>
        <v>47.143173913043483</v>
      </c>
      <c r="K17" s="1704">
        <f t="shared" si="5"/>
        <v>261.90652173913048</v>
      </c>
      <c r="L17" s="1704">
        <f t="shared" si="6"/>
        <v>61809.939130434796</v>
      </c>
      <c r="M17" s="1704">
        <f t="shared" si="7"/>
        <v>52381.304347826095</v>
      </c>
      <c r="N17" s="1679" t="s">
        <v>1238</v>
      </c>
      <c r="R17" s="1705">
        <f t="shared" si="8"/>
        <v>249.43478260869568</v>
      </c>
      <c r="S17" s="1674"/>
      <c r="T17" s="1706">
        <f t="shared" si="9"/>
        <v>12.471739130434784</v>
      </c>
      <c r="U17" s="1708"/>
      <c r="V17" s="1706">
        <f t="shared" si="10"/>
        <v>261.90652173913048</v>
      </c>
    </row>
    <row r="18" spans="1:22" ht="57.6">
      <c r="A18" s="1675" t="s">
        <v>1239</v>
      </c>
      <c r="B18" s="1675" t="s">
        <v>1240</v>
      </c>
      <c r="C18" s="1677" t="s">
        <v>673</v>
      </c>
      <c r="D18" s="1678">
        <v>80</v>
      </c>
      <c r="E18" s="1705">
        <f>253.95/1.15</f>
        <v>220.82608695652175</v>
      </c>
      <c r="F18" s="1717">
        <f t="shared" si="0"/>
        <v>17666.08695652174</v>
      </c>
      <c r="G18" s="1704">
        <f t="shared" si="1"/>
        <v>231.86739130434785</v>
      </c>
      <c r="H18" s="1704">
        <f t="shared" si="2"/>
        <v>41.736130434782609</v>
      </c>
      <c r="I18" s="1704">
        <f t="shared" si="3"/>
        <v>273.60352173913043</v>
      </c>
      <c r="J18" s="1704">
        <f t="shared" si="4"/>
        <v>41.736130434782609</v>
      </c>
      <c r="K18" s="1704">
        <f t="shared" si="5"/>
        <v>231.86739130434782</v>
      </c>
      <c r="L18" s="1704">
        <f t="shared" si="6"/>
        <v>21888.281739130434</v>
      </c>
      <c r="M18" s="1704">
        <f t="shared" si="7"/>
        <v>18549.391304347824</v>
      </c>
      <c r="N18" s="1679" t="s">
        <v>1241</v>
      </c>
      <c r="R18" s="1705">
        <f t="shared" si="8"/>
        <v>220.82608695652175</v>
      </c>
      <c r="S18" s="1674"/>
      <c r="T18" s="1706">
        <f t="shared" si="9"/>
        <v>11.041304347826088</v>
      </c>
      <c r="U18" s="1708"/>
      <c r="V18" s="1706">
        <f t="shared" si="10"/>
        <v>231.86739130434785</v>
      </c>
    </row>
    <row r="19" spans="1:22" ht="96">
      <c r="A19" s="1676" t="s">
        <v>1242</v>
      </c>
      <c r="B19" s="1676" t="s">
        <v>1243</v>
      </c>
      <c r="C19" s="1678" t="s">
        <v>673</v>
      </c>
      <c r="D19" s="1678">
        <v>120</v>
      </c>
      <c r="E19" s="1705">
        <f>271.45/1.15</f>
        <v>236.04347826086956</v>
      </c>
      <c r="F19" s="1717">
        <f t="shared" si="0"/>
        <v>28325.217391304348</v>
      </c>
      <c r="G19" s="1704">
        <f t="shared" si="1"/>
        <v>247.84565217391304</v>
      </c>
      <c r="H19" s="1704">
        <f t="shared" si="2"/>
        <v>44.612217391304348</v>
      </c>
      <c r="I19" s="1704">
        <f t="shared" si="3"/>
        <v>292.45786956521738</v>
      </c>
      <c r="J19" s="1704">
        <f t="shared" si="4"/>
        <v>44.612217391304348</v>
      </c>
      <c r="K19" s="1704">
        <f t="shared" si="5"/>
        <v>247.84565217391304</v>
      </c>
      <c r="L19" s="1704">
        <f t="shared" si="6"/>
        <v>35094.944347826087</v>
      </c>
      <c r="M19" s="1704">
        <f t="shared" si="7"/>
        <v>29741.478260869564</v>
      </c>
      <c r="N19" s="1679" t="s">
        <v>1244</v>
      </c>
      <c r="R19" s="1705">
        <f t="shared" si="8"/>
        <v>236.04347826086956</v>
      </c>
      <c r="S19" s="1674"/>
      <c r="T19" s="1706">
        <f t="shared" si="9"/>
        <v>11.802173913043479</v>
      </c>
      <c r="U19" s="1708"/>
      <c r="V19" s="1706">
        <f t="shared" si="10"/>
        <v>247.84565217391304</v>
      </c>
    </row>
    <row r="20" spans="1:22" ht="38.4">
      <c r="A20" s="1676" t="s">
        <v>1245</v>
      </c>
      <c r="B20" s="1676" t="s">
        <v>1246</v>
      </c>
      <c r="C20" s="1678" t="s">
        <v>673</v>
      </c>
      <c r="D20" s="1678">
        <v>5</v>
      </c>
      <c r="E20" s="1705">
        <f>2161.2/1.15</f>
        <v>1879.304347826087</v>
      </c>
      <c r="F20" s="1717">
        <f t="shared" si="0"/>
        <v>9396.5217391304359</v>
      </c>
      <c r="G20" s="1704">
        <f t="shared" si="1"/>
        <v>1973.2695652173913</v>
      </c>
      <c r="H20" s="1704">
        <f t="shared" si="2"/>
        <v>355.18852173913041</v>
      </c>
      <c r="I20" s="1704">
        <f t="shared" si="3"/>
        <v>2328.4580869565216</v>
      </c>
      <c r="J20" s="1704">
        <f t="shared" si="4"/>
        <v>355.18852173913041</v>
      </c>
      <c r="K20" s="1704">
        <f t="shared" si="5"/>
        <v>1973.2695652173911</v>
      </c>
      <c r="L20" s="1704">
        <f t="shared" si="6"/>
        <v>11642.290434782608</v>
      </c>
      <c r="M20" s="1704">
        <f t="shared" si="7"/>
        <v>9866.347826086956</v>
      </c>
      <c r="N20" s="1679" t="s">
        <v>1247</v>
      </c>
      <c r="R20" s="1705">
        <f t="shared" si="8"/>
        <v>1879.304347826087</v>
      </c>
      <c r="S20" s="1674"/>
      <c r="T20" s="1706">
        <f t="shared" si="9"/>
        <v>93.96521739130435</v>
      </c>
      <c r="U20" s="1708"/>
      <c r="V20" s="1706">
        <f t="shared" si="10"/>
        <v>1973.2695652173913</v>
      </c>
    </row>
    <row r="21" spans="1:22" ht="57.6">
      <c r="A21" s="1676" t="s">
        <v>1248</v>
      </c>
      <c r="B21" s="1676" t="s">
        <v>1249</v>
      </c>
      <c r="C21" s="1678" t="s">
        <v>1225</v>
      </c>
      <c r="D21" s="1678">
        <v>200</v>
      </c>
      <c r="E21" s="1705">
        <f>28.15/1.15</f>
        <v>24.478260869565219</v>
      </c>
      <c r="F21" s="1717">
        <f t="shared" si="0"/>
        <v>4895.652173913044</v>
      </c>
      <c r="G21" s="1704">
        <f t="shared" si="1"/>
        <v>25.702173913043481</v>
      </c>
      <c r="H21" s="1704">
        <f t="shared" si="2"/>
        <v>4.626391304347826</v>
      </c>
      <c r="I21" s="1704">
        <f t="shared" si="3"/>
        <v>30.328565217391308</v>
      </c>
      <c r="J21" s="1704">
        <f t="shared" si="4"/>
        <v>4.626391304347826</v>
      </c>
      <c r="K21" s="1704">
        <f t="shared" si="5"/>
        <v>25.702173913043481</v>
      </c>
      <c r="L21" s="1704">
        <f t="shared" si="6"/>
        <v>6065.7130434782612</v>
      </c>
      <c r="M21" s="1704">
        <f t="shared" si="7"/>
        <v>5140.434782608696</v>
      </c>
      <c r="N21" s="1679" t="s">
        <v>1250</v>
      </c>
      <c r="R21" s="1705">
        <f t="shared" si="8"/>
        <v>24.478260869565219</v>
      </c>
      <c r="S21" s="1674"/>
      <c r="T21" s="1706">
        <f t="shared" si="9"/>
        <v>1.223913043478261</v>
      </c>
      <c r="U21" s="1708"/>
      <c r="V21" s="1706">
        <f t="shared" si="10"/>
        <v>25.702173913043481</v>
      </c>
    </row>
    <row r="22" spans="1:22" ht="17.25" customHeight="1">
      <c r="A22" s="2482" t="s">
        <v>1251</v>
      </c>
      <c r="B22" s="2483"/>
      <c r="C22" s="1680"/>
      <c r="D22" s="1680"/>
      <c r="E22" s="1680"/>
      <c r="F22" s="1718"/>
      <c r="G22" s="1677">
        <f t="shared" si="1"/>
        <v>0</v>
      </c>
      <c r="H22" s="1704">
        <f t="shared" si="2"/>
        <v>0</v>
      </c>
      <c r="I22" s="1704">
        <f t="shared" si="3"/>
        <v>0</v>
      </c>
      <c r="J22" s="1704">
        <f t="shared" si="4"/>
        <v>0</v>
      </c>
      <c r="K22" s="1704">
        <f t="shared" si="5"/>
        <v>0</v>
      </c>
      <c r="L22" s="1704">
        <f t="shared" si="6"/>
        <v>0</v>
      </c>
      <c r="M22" s="1704">
        <f t="shared" si="7"/>
        <v>0</v>
      </c>
      <c r="N22" s="1674"/>
      <c r="R22" s="1705">
        <f t="shared" si="8"/>
        <v>0</v>
      </c>
      <c r="S22" s="1674"/>
      <c r="T22" s="1706">
        <f t="shared" si="9"/>
        <v>0</v>
      </c>
      <c r="U22" s="1709"/>
      <c r="V22" s="1706">
        <f t="shared" si="10"/>
        <v>0</v>
      </c>
    </row>
    <row r="23" spans="1:22" ht="115.2">
      <c r="A23" s="1676" t="s">
        <v>1252</v>
      </c>
      <c r="B23" s="1676" t="s">
        <v>1253</v>
      </c>
      <c r="C23" s="1678" t="s">
        <v>564</v>
      </c>
      <c r="D23" s="1678">
        <v>1</v>
      </c>
      <c r="E23" s="1705">
        <v>50000</v>
      </c>
      <c r="F23" s="1717">
        <f t="shared" si="0"/>
        <v>50000</v>
      </c>
      <c r="G23" s="1704">
        <f t="shared" si="1"/>
        <v>52500</v>
      </c>
      <c r="H23" s="1704">
        <f t="shared" si="2"/>
        <v>9450</v>
      </c>
      <c r="I23" s="1704">
        <f t="shared" si="3"/>
        <v>61950</v>
      </c>
      <c r="J23" s="1704">
        <f t="shared" si="4"/>
        <v>9450</v>
      </c>
      <c r="K23" s="1704">
        <f t="shared" si="5"/>
        <v>52500</v>
      </c>
      <c r="L23" s="1704">
        <f t="shared" si="6"/>
        <v>61950</v>
      </c>
      <c r="M23" s="1704">
        <f t="shared" si="7"/>
        <v>52500</v>
      </c>
      <c r="N23" s="1679" t="s">
        <v>1254</v>
      </c>
      <c r="R23" s="1705">
        <f t="shared" si="8"/>
        <v>50000</v>
      </c>
      <c r="S23" s="1674"/>
      <c r="T23" s="1706">
        <f t="shared" si="9"/>
        <v>2500</v>
      </c>
      <c r="U23" s="1708"/>
      <c r="V23" s="1706">
        <f t="shared" si="10"/>
        <v>52500</v>
      </c>
    </row>
    <row r="24" spans="1:22" ht="192">
      <c r="A24" s="1675" t="s">
        <v>1255</v>
      </c>
      <c r="B24" s="1681" t="s">
        <v>1256</v>
      </c>
      <c r="C24" s="1677" t="s">
        <v>1039</v>
      </c>
      <c r="D24" s="1678">
        <v>360</v>
      </c>
      <c r="E24" s="1705">
        <f>3060.1/1.15</f>
        <v>2660.9565217391305</v>
      </c>
      <c r="F24" s="1717">
        <f t="shared" si="0"/>
        <v>957944.34782608703</v>
      </c>
      <c r="G24" s="1704">
        <f t="shared" si="1"/>
        <v>2794.0043478260868</v>
      </c>
      <c r="H24" s="1704">
        <f t="shared" si="2"/>
        <v>502.92078260869562</v>
      </c>
      <c r="I24" s="1704">
        <f t="shared" si="3"/>
        <v>3296.9251304347827</v>
      </c>
      <c r="J24" s="1704">
        <f t="shared" si="4"/>
        <v>502.92078260869562</v>
      </c>
      <c r="K24" s="1704">
        <f t="shared" si="5"/>
        <v>2794.0043478260868</v>
      </c>
      <c r="L24" s="1704">
        <f t="shared" si="6"/>
        <v>1186893.0469565217</v>
      </c>
      <c r="M24" s="1704">
        <f t="shared" si="7"/>
        <v>1005841.5652173912</v>
      </c>
      <c r="N24" s="1683" t="s">
        <v>1080</v>
      </c>
      <c r="R24" s="1705">
        <f t="shared" si="8"/>
        <v>2660.9565217391305</v>
      </c>
      <c r="S24" s="1674"/>
      <c r="T24" s="1706">
        <f t="shared" si="9"/>
        <v>133.04782608695652</v>
      </c>
      <c r="U24" s="1710"/>
      <c r="V24" s="1706">
        <f t="shared" si="10"/>
        <v>2794.0043478260868</v>
      </c>
    </row>
    <row r="25" spans="1:22" ht="154.19999999999999">
      <c r="A25" s="1676" t="s">
        <v>1257</v>
      </c>
      <c r="B25" s="1684" t="s">
        <v>1258</v>
      </c>
      <c r="C25" s="1685" t="s">
        <v>1259</v>
      </c>
      <c r="D25" s="1678">
        <v>8</v>
      </c>
      <c r="E25" s="1705">
        <f>89.65/1.15</f>
        <v>77.956521739130451</v>
      </c>
      <c r="F25" s="1717">
        <f t="shared" si="0"/>
        <v>623.65217391304361</v>
      </c>
      <c r="G25" s="1704">
        <f t="shared" si="1"/>
        <v>81.854347826086979</v>
      </c>
      <c r="H25" s="1704">
        <f t="shared" si="2"/>
        <v>14.733782608695655</v>
      </c>
      <c r="I25" s="1704">
        <f t="shared" si="3"/>
        <v>96.588130434782641</v>
      </c>
      <c r="J25" s="1704">
        <f t="shared" si="4"/>
        <v>14.733782608695655</v>
      </c>
      <c r="K25" s="1704">
        <f t="shared" si="5"/>
        <v>81.854347826086979</v>
      </c>
      <c r="L25" s="1704">
        <f t="shared" si="6"/>
        <v>772.70504347826113</v>
      </c>
      <c r="M25" s="1704">
        <f t="shared" si="7"/>
        <v>654.83478260869583</v>
      </c>
      <c r="N25" s="1686" t="s">
        <v>750</v>
      </c>
      <c r="R25" s="1705">
        <f t="shared" si="8"/>
        <v>77.956521739130451</v>
      </c>
      <c r="S25" s="1674"/>
      <c r="T25" s="1706">
        <f t="shared" si="9"/>
        <v>3.8978260869565227</v>
      </c>
      <c r="U25" s="1711"/>
      <c r="V25" s="1706">
        <f t="shared" si="10"/>
        <v>81.854347826086979</v>
      </c>
    </row>
    <row r="26" spans="1:22" ht="57.6">
      <c r="A26" s="1687" t="s">
        <v>1260</v>
      </c>
      <c r="B26" s="1688" t="s">
        <v>1261</v>
      </c>
      <c r="C26" s="1689" t="s">
        <v>1259</v>
      </c>
      <c r="D26" s="1690">
        <v>3</v>
      </c>
      <c r="E26" s="1705">
        <f>93.05/1.15</f>
        <v>80.913043478260875</v>
      </c>
      <c r="F26" s="1717">
        <f t="shared" si="0"/>
        <v>242.73913043478262</v>
      </c>
      <c r="G26" s="1704">
        <f t="shared" si="1"/>
        <v>84.958695652173915</v>
      </c>
      <c r="H26" s="1704">
        <f t="shared" si="2"/>
        <v>15.292565217391305</v>
      </c>
      <c r="I26" s="1704">
        <f t="shared" si="3"/>
        <v>100.25126086956521</v>
      </c>
      <c r="J26" s="1704">
        <f t="shared" si="4"/>
        <v>15.292565217391305</v>
      </c>
      <c r="K26" s="1704">
        <f t="shared" si="5"/>
        <v>84.958695652173915</v>
      </c>
      <c r="L26" s="1704">
        <f t="shared" si="6"/>
        <v>300.75378260869564</v>
      </c>
      <c r="M26" s="1704">
        <f t="shared" si="7"/>
        <v>254.87608695652176</v>
      </c>
      <c r="N26" s="1686" t="s">
        <v>1078</v>
      </c>
      <c r="R26" s="1705">
        <f t="shared" si="8"/>
        <v>80.913043478260875</v>
      </c>
      <c r="S26" s="1674"/>
      <c r="T26" s="1706">
        <f t="shared" si="9"/>
        <v>4.0456521739130435</v>
      </c>
      <c r="U26" s="1711"/>
      <c r="V26" s="1706">
        <f t="shared" si="10"/>
        <v>84.958695652173915</v>
      </c>
    </row>
    <row r="27" spans="1:22" ht="115.2">
      <c r="A27" s="1687" t="s">
        <v>1262</v>
      </c>
      <c r="B27" s="1691" t="s">
        <v>1263</v>
      </c>
      <c r="C27" s="1689"/>
      <c r="D27" s="1690"/>
      <c r="E27" s="1692"/>
      <c r="F27" s="1719"/>
      <c r="G27" s="1677">
        <f t="shared" si="1"/>
        <v>0</v>
      </c>
      <c r="H27" s="1704">
        <f t="shared" si="2"/>
        <v>0</v>
      </c>
      <c r="I27" s="1704">
        <f t="shared" si="3"/>
        <v>0</v>
      </c>
      <c r="J27" s="1704">
        <f t="shared" si="4"/>
        <v>0</v>
      </c>
      <c r="K27" s="1704">
        <f t="shared" si="5"/>
        <v>0</v>
      </c>
      <c r="L27" s="1704">
        <f t="shared" si="6"/>
        <v>0</v>
      </c>
      <c r="M27" s="1704">
        <f t="shared" si="7"/>
        <v>0</v>
      </c>
      <c r="N27" s="1674"/>
      <c r="R27" s="1705">
        <f t="shared" si="8"/>
        <v>0</v>
      </c>
      <c r="S27" s="1674"/>
      <c r="T27" s="1706">
        <f t="shared" si="9"/>
        <v>0</v>
      </c>
      <c r="U27" s="1709"/>
      <c r="V27" s="1706">
        <f t="shared" si="10"/>
        <v>0</v>
      </c>
    </row>
    <row r="28" spans="1:22" ht="38.4">
      <c r="A28" s="1687"/>
      <c r="B28" s="1691" t="s">
        <v>1264</v>
      </c>
      <c r="C28" s="1689"/>
      <c r="D28" s="1690"/>
      <c r="E28" s="1692"/>
      <c r="F28" s="1719"/>
      <c r="G28" s="1677">
        <f t="shared" si="1"/>
        <v>0</v>
      </c>
      <c r="H28" s="1704">
        <f t="shared" si="2"/>
        <v>0</v>
      </c>
      <c r="I28" s="1704">
        <f t="shared" si="3"/>
        <v>0</v>
      </c>
      <c r="J28" s="1704">
        <f t="shared" si="4"/>
        <v>0</v>
      </c>
      <c r="K28" s="1704">
        <f t="shared" si="5"/>
        <v>0</v>
      </c>
      <c r="L28" s="1704">
        <f t="shared" si="6"/>
        <v>0</v>
      </c>
      <c r="M28" s="1704">
        <f t="shared" si="7"/>
        <v>0</v>
      </c>
      <c r="N28" s="1674"/>
      <c r="R28" s="1705">
        <f t="shared" si="8"/>
        <v>0</v>
      </c>
      <c r="S28" s="1674"/>
      <c r="T28" s="1706">
        <f t="shared" si="9"/>
        <v>0</v>
      </c>
      <c r="U28" s="1709"/>
      <c r="V28" s="1706">
        <f t="shared" si="10"/>
        <v>0</v>
      </c>
    </row>
    <row r="29" spans="1:22" ht="38.4">
      <c r="A29" s="1687"/>
      <c r="B29" s="1691" t="s">
        <v>1265</v>
      </c>
      <c r="C29" s="1689"/>
      <c r="D29" s="1690"/>
      <c r="E29" s="1692"/>
      <c r="F29" s="1719"/>
      <c r="G29" s="1677">
        <f t="shared" si="1"/>
        <v>0</v>
      </c>
      <c r="H29" s="1704">
        <f t="shared" si="2"/>
        <v>0</v>
      </c>
      <c r="I29" s="1704">
        <f t="shared" si="3"/>
        <v>0</v>
      </c>
      <c r="J29" s="1704">
        <f t="shared" si="4"/>
        <v>0</v>
      </c>
      <c r="K29" s="1704">
        <f t="shared" si="5"/>
        <v>0</v>
      </c>
      <c r="L29" s="1704">
        <f t="shared" si="6"/>
        <v>0</v>
      </c>
      <c r="M29" s="1704">
        <f t="shared" si="7"/>
        <v>0</v>
      </c>
      <c r="N29" s="1674"/>
      <c r="R29" s="1705">
        <f t="shared" si="8"/>
        <v>0</v>
      </c>
      <c r="S29" s="1674"/>
      <c r="T29" s="1706">
        <f t="shared" si="9"/>
        <v>0</v>
      </c>
      <c r="U29" s="1709"/>
      <c r="V29" s="1706">
        <f t="shared" si="10"/>
        <v>0</v>
      </c>
    </row>
    <row r="30" spans="1:22" ht="57.6">
      <c r="A30" s="1687"/>
      <c r="B30" s="1691" t="s">
        <v>1266</v>
      </c>
      <c r="C30" s="1689"/>
      <c r="D30" s="1690"/>
      <c r="E30" s="1692"/>
      <c r="F30" s="1719"/>
      <c r="G30" s="1677">
        <f t="shared" si="1"/>
        <v>0</v>
      </c>
      <c r="H30" s="1704">
        <f t="shared" si="2"/>
        <v>0</v>
      </c>
      <c r="I30" s="1704">
        <f t="shared" si="3"/>
        <v>0</v>
      </c>
      <c r="J30" s="1704">
        <f t="shared" si="4"/>
        <v>0</v>
      </c>
      <c r="K30" s="1704">
        <f t="shared" si="5"/>
        <v>0</v>
      </c>
      <c r="L30" s="1704">
        <f t="shared" si="6"/>
        <v>0</v>
      </c>
      <c r="M30" s="1704">
        <f t="shared" si="7"/>
        <v>0</v>
      </c>
      <c r="N30" s="1674"/>
      <c r="R30" s="1705">
        <f t="shared" si="8"/>
        <v>0</v>
      </c>
      <c r="S30" s="1674"/>
      <c r="T30" s="1706">
        <f t="shared" si="9"/>
        <v>0</v>
      </c>
      <c r="U30" s="1709"/>
      <c r="V30" s="1706">
        <f t="shared" si="10"/>
        <v>0</v>
      </c>
    </row>
    <row r="31" spans="1:22" ht="38.4">
      <c r="A31" s="1687"/>
      <c r="B31" s="1691" t="s">
        <v>1267</v>
      </c>
      <c r="C31" s="1689"/>
      <c r="D31" s="1690"/>
      <c r="E31" s="1692"/>
      <c r="F31" s="1719"/>
      <c r="G31" s="1677">
        <f t="shared" si="1"/>
        <v>0</v>
      </c>
      <c r="H31" s="1704">
        <f t="shared" si="2"/>
        <v>0</v>
      </c>
      <c r="I31" s="1704">
        <f t="shared" si="3"/>
        <v>0</v>
      </c>
      <c r="J31" s="1704">
        <f t="shared" si="4"/>
        <v>0</v>
      </c>
      <c r="K31" s="1704">
        <f t="shared" si="5"/>
        <v>0</v>
      </c>
      <c r="L31" s="1704">
        <f t="shared" si="6"/>
        <v>0</v>
      </c>
      <c r="M31" s="1704">
        <f t="shared" si="7"/>
        <v>0</v>
      </c>
      <c r="N31" s="1674"/>
      <c r="R31" s="1705">
        <f t="shared" si="8"/>
        <v>0</v>
      </c>
      <c r="S31" s="1674"/>
      <c r="T31" s="1706">
        <f t="shared" si="9"/>
        <v>0</v>
      </c>
      <c r="U31" s="1709"/>
      <c r="V31" s="1706">
        <f t="shared" si="10"/>
        <v>0</v>
      </c>
    </row>
    <row r="32" spans="1:22" ht="19.2">
      <c r="A32" s="1693" t="s">
        <v>937</v>
      </c>
      <c r="B32" s="1688" t="s">
        <v>1268</v>
      </c>
      <c r="C32" s="1690" t="s">
        <v>768</v>
      </c>
      <c r="D32" s="1690">
        <v>1</v>
      </c>
      <c r="E32" s="1705">
        <f>57531.3/1.15</f>
        <v>50027.217391304352</v>
      </c>
      <c r="F32" s="1717">
        <f t="shared" ref="F32:F43" si="11">E32*D32</f>
        <v>50027.217391304352</v>
      </c>
      <c r="G32" s="1704">
        <f t="shared" si="1"/>
        <v>52528.578260869566</v>
      </c>
      <c r="H32" s="1704">
        <f t="shared" si="2"/>
        <v>9455.1440869565213</v>
      </c>
      <c r="I32" s="1704">
        <f t="shared" si="3"/>
        <v>61983.722347826086</v>
      </c>
      <c r="J32" s="1704">
        <f t="shared" si="4"/>
        <v>9455.1440869565213</v>
      </c>
      <c r="K32" s="1704">
        <f t="shared" si="5"/>
        <v>52528.578260869566</v>
      </c>
      <c r="L32" s="1704">
        <f t="shared" si="6"/>
        <v>61983.722347826086</v>
      </c>
      <c r="M32" s="1704">
        <f t="shared" si="7"/>
        <v>52528.578260869566</v>
      </c>
      <c r="N32" s="1686" t="s">
        <v>1269</v>
      </c>
      <c r="R32" s="1705">
        <f t="shared" si="8"/>
        <v>50027.217391304352</v>
      </c>
      <c r="S32" s="1674"/>
      <c r="T32" s="1706">
        <f t="shared" si="9"/>
        <v>2501.3608695652179</v>
      </c>
      <c r="U32" s="1711"/>
      <c r="V32" s="1706">
        <f t="shared" si="10"/>
        <v>52528.578260869566</v>
      </c>
    </row>
    <row r="33" spans="1:22" ht="19.2">
      <c r="A33" s="1693" t="s">
        <v>938</v>
      </c>
      <c r="B33" s="1688" t="s">
        <v>1270</v>
      </c>
      <c r="C33" s="1690" t="s">
        <v>768</v>
      </c>
      <c r="D33" s="1690">
        <v>1</v>
      </c>
      <c r="E33" s="1705">
        <f>30505/1.15</f>
        <v>26526.08695652174</v>
      </c>
      <c r="F33" s="1717">
        <f t="shared" si="11"/>
        <v>26526.08695652174</v>
      </c>
      <c r="G33" s="1704">
        <f t="shared" si="1"/>
        <v>27852.391304347828</v>
      </c>
      <c r="H33" s="1704">
        <f t="shared" si="2"/>
        <v>5013.4304347826092</v>
      </c>
      <c r="I33" s="1704">
        <f t="shared" si="3"/>
        <v>32865.821739130435</v>
      </c>
      <c r="J33" s="1704">
        <f t="shared" si="4"/>
        <v>5013.4304347826092</v>
      </c>
      <c r="K33" s="1704">
        <f t="shared" si="5"/>
        <v>27852.391304347824</v>
      </c>
      <c r="L33" s="1704">
        <f t="shared" si="6"/>
        <v>32865.821739130435</v>
      </c>
      <c r="M33" s="1704">
        <f t="shared" si="7"/>
        <v>27852.391304347824</v>
      </c>
      <c r="N33" s="1686" t="s">
        <v>1271</v>
      </c>
      <c r="R33" s="1705">
        <f t="shared" si="8"/>
        <v>26526.08695652174</v>
      </c>
      <c r="S33" s="1674"/>
      <c r="T33" s="1706">
        <f t="shared" si="9"/>
        <v>1326.304347826087</v>
      </c>
      <c r="U33" s="1711"/>
      <c r="V33" s="1706">
        <f t="shared" si="10"/>
        <v>27852.391304347828</v>
      </c>
    </row>
    <row r="34" spans="1:22" ht="19.2">
      <c r="A34" s="1693" t="s">
        <v>939</v>
      </c>
      <c r="B34" s="1688" t="s">
        <v>1272</v>
      </c>
      <c r="C34" s="1690" t="s">
        <v>768</v>
      </c>
      <c r="D34" s="1690">
        <v>1</v>
      </c>
      <c r="E34" s="1705">
        <v>45000</v>
      </c>
      <c r="F34" s="1717">
        <f t="shared" si="11"/>
        <v>45000</v>
      </c>
      <c r="G34" s="1704">
        <f t="shared" si="1"/>
        <v>47250</v>
      </c>
      <c r="H34" s="1704">
        <f t="shared" si="2"/>
        <v>8505</v>
      </c>
      <c r="I34" s="1704">
        <f t="shared" si="3"/>
        <v>55755</v>
      </c>
      <c r="J34" s="1704">
        <f t="shared" si="4"/>
        <v>8505</v>
      </c>
      <c r="K34" s="1704">
        <f t="shared" si="5"/>
        <v>47250</v>
      </c>
      <c r="L34" s="1704">
        <f t="shared" si="6"/>
        <v>55755</v>
      </c>
      <c r="M34" s="1704">
        <f t="shared" si="7"/>
        <v>47250</v>
      </c>
      <c r="N34" s="1686" t="s">
        <v>1254</v>
      </c>
      <c r="R34" s="1705">
        <f t="shared" si="8"/>
        <v>45000</v>
      </c>
      <c r="S34" s="1674"/>
      <c r="T34" s="1706">
        <f t="shared" si="9"/>
        <v>2250</v>
      </c>
      <c r="U34" s="1711"/>
      <c r="V34" s="1706">
        <f t="shared" si="10"/>
        <v>47250</v>
      </c>
    </row>
    <row r="35" spans="1:22" ht="17.25" customHeight="1">
      <c r="A35" s="2482" t="s">
        <v>1273</v>
      </c>
      <c r="B35" s="2483"/>
      <c r="C35" s="1680"/>
      <c r="D35" s="1680"/>
      <c r="E35" s="1680"/>
      <c r="F35" s="1718"/>
      <c r="G35" s="1677">
        <f t="shared" si="1"/>
        <v>0</v>
      </c>
      <c r="H35" s="1704">
        <f t="shared" si="2"/>
        <v>0</v>
      </c>
      <c r="I35" s="1704">
        <f t="shared" si="3"/>
        <v>0</v>
      </c>
      <c r="J35" s="1704">
        <f t="shared" si="4"/>
        <v>0</v>
      </c>
      <c r="K35" s="1704">
        <f t="shared" si="5"/>
        <v>0</v>
      </c>
      <c r="L35" s="1704">
        <f t="shared" si="6"/>
        <v>0</v>
      </c>
      <c r="M35" s="1704">
        <f t="shared" si="7"/>
        <v>0</v>
      </c>
      <c r="N35" s="1674"/>
      <c r="R35" s="1705">
        <f t="shared" si="8"/>
        <v>0</v>
      </c>
      <c r="S35" s="1674"/>
      <c r="T35" s="1706">
        <f t="shared" si="9"/>
        <v>0</v>
      </c>
      <c r="U35" s="1709"/>
      <c r="V35" s="1706">
        <f t="shared" si="10"/>
        <v>0</v>
      </c>
    </row>
    <row r="36" spans="1:22" ht="96">
      <c r="A36" s="1675" t="s">
        <v>1274</v>
      </c>
      <c r="B36" s="1684" t="s">
        <v>1275</v>
      </c>
      <c r="C36" s="1677" t="s">
        <v>673</v>
      </c>
      <c r="D36" s="1678">
        <v>10</v>
      </c>
      <c r="E36" s="1705">
        <f>6833.4/1.15</f>
        <v>5942.086956521739</v>
      </c>
      <c r="F36" s="1717">
        <f t="shared" si="11"/>
        <v>59420.869565217392</v>
      </c>
      <c r="G36" s="1704">
        <f t="shared" si="1"/>
        <v>6239.1913043478262</v>
      </c>
      <c r="H36" s="1704">
        <f t="shared" si="2"/>
        <v>1123.0544347826087</v>
      </c>
      <c r="I36" s="1704">
        <f t="shared" si="3"/>
        <v>7362.2457391304351</v>
      </c>
      <c r="J36" s="1704">
        <f t="shared" si="4"/>
        <v>1123.0544347826087</v>
      </c>
      <c r="K36" s="1704">
        <f t="shared" si="5"/>
        <v>6239.1913043478262</v>
      </c>
      <c r="L36" s="1704">
        <f t="shared" si="6"/>
        <v>73622.457391304357</v>
      </c>
      <c r="M36" s="1704">
        <f t="shared" si="7"/>
        <v>62391.913043478264</v>
      </c>
      <c r="N36" s="1686" t="s">
        <v>1069</v>
      </c>
      <c r="R36" s="1705">
        <f t="shared" si="8"/>
        <v>5942.086956521739</v>
      </c>
      <c r="S36" s="1674"/>
      <c r="T36" s="1706">
        <f t="shared" si="9"/>
        <v>297.10434782608695</v>
      </c>
      <c r="U36" s="1711"/>
      <c r="V36" s="1706">
        <f t="shared" si="10"/>
        <v>6239.1913043478262</v>
      </c>
    </row>
    <row r="37" spans="1:22" ht="78.75" customHeight="1">
      <c r="A37" s="1675" t="s">
        <v>1276</v>
      </c>
      <c r="B37" s="1681" t="s">
        <v>1277</v>
      </c>
      <c r="C37" s="1677" t="s">
        <v>673</v>
      </c>
      <c r="D37" s="1678">
        <v>2</v>
      </c>
      <c r="E37" s="1705">
        <f>(1.1*8599.35)/1.15</f>
        <v>8225.4652173913073</v>
      </c>
      <c r="F37" s="1717">
        <f t="shared" si="11"/>
        <v>16450.930434782615</v>
      </c>
      <c r="G37" s="1704">
        <f t="shared" si="1"/>
        <v>8636.7384782608733</v>
      </c>
      <c r="H37" s="1704">
        <f t="shared" si="2"/>
        <v>1554.612926086957</v>
      </c>
      <c r="I37" s="1704">
        <f t="shared" si="3"/>
        <v>10191.35140434783</v>
      </c>
      <c r="J37" s="1704">
        <f t="shared" si="4"/>
        <v>1554.612926086957</v>
      </c>
      <c r="K37" s="1704">
        <f t="shared" si="5"/>
        <v>8636.7384782608733</v>
      </c>
      <c r="L37" s="1704">
        <f t="shared" si="6"/>
        <v>20382.70280869566</v>
      </c>
      <c r="M37" s="1704">
        <f t="shared" si="7"/>
        <v>17273.476956521747</v>
      </c>
      <c r="N37" s="1694" t="s">
        <v>1073</v>
      </c>
      <c r="R37" s="1705">
        <f t="shared" si="8"/>
        <v>8225.4652173913073</v>
      </c>
      <c r="S37" s="1674"/>
      <c r="T37" s="1706">
        <f t="shared" si="9"/>
        <v>411.27326086956538</v>
      </c>
      <c r="U37" s="1712"/>
      <c r="V37" s="1706">
        <f t="shared" si="10"/>
        <v>8636.7384782608733</v>
      </c>
    </row>
    <row r="38" spans="1:22" ht="172.8">
      <c r="A38" s="1675" t="s">
        <v>1278</v>
      </c>
      <c r="B38" s="1684" t="s">
        <v>1279</v>
      </c>
      <c r="C38" s="1677" t="s">
        <v>673</v>
      </c>
      <c r="D38" s="1678">
        <v>90</v>
      </c>
      <c r="E38" s="1705">
        <f>7997.3/1.15</f>
        <v>6954.1739130434789</v>
      </c>
      <c r="F38" s="1717">
        <f t="shared" si="11"/>
        <v>625875.65217391308</v>
      </c>
      <c r="G38" s="1704">
        <f t="shared" si="1"/>
        <v>7301.8826086956533</v>
      </c>
      <c r="H38" s="1704">
        <f t="shared" si="2"/>
        <v>1314.3388695652175</v>
      </c>
      <c r="I38" s="1704">
        <f t="shared" si="3"/>
        <v>8616.2214782608717</v>
      </c>
      <c r="J38" s="1704">
        <f t="shared" si="4"/>
        <v>1314.3388695652175</v>
      </c>
      <c r="K38" s="1704">
        <f t="shared" si="5"/>
        <v>7301.8826086956542</v>
      </c>
      <c r="L38" s="1704">
        <f t="shared" si="6"/>
        <v>775459.93304347841</v>
      </c>
      <c r="M38" s="1704">
        <f t="shared" si="7"/>
        <v>657169.43478260888</v>
      </c>
      <c r="N38" s="1679" t="s">
        <v>1280</v>
      </c>
      <c r="R38" s="1705">
        <f t="shared" si="8"/>
        <v>6954.1739130434789</v>
      </c>
      <c r="S38" s="1674"/>
      <c r="T38" s="1706">
        <f t="shared" si="9"/>
        <v>347.70869565217396</v>
      </c>
      <c r="U38" s="1708"/>
      <c r="V38" s="1706">
        <f t="shared" si="10"/>
        <v>7301.8826086956533</v>
      </c>
    </row>
    <row r="39" spans="1:22" ht="96.6">
      <c r="A39" s="1676" t="s">
        <v>1281</v>
      </c>
      <c r="B39" s="1684" t="s">
        <v>1282</v>
      </c>
      <c r="C39" s="1678" t="s">
        <v>1259</v>
      </c>
      <c r="D39" s="1678">
        <v>10</v>
      </c>
      <c r="E39" s="1705">
        <f>89.65/1.15</f>
        <v>77.956521739130451</v>
      </c>
      <c r="F39" s="1717">
        <f t="shared" si="11"/>
        <v>779.56521739130449</v>
      </c>
      <c r="G39" s="1704">
        <f t="shared" si="1"/>
        <v>81.854347826086979</v>
      </c>
      <c r="H39" s="1704">
        <f t="shared" si="2"/>
        <v>14.733782608695655</v>
      </c>
      <c r="I39" s="1704">
        <f t="shared" si="3"/>
        <v>96.588130434782641</v>
      </c>
      <c r="J39" s="1704">
        <f t="shared" si="4"/>
        <v>14.733782608695655</v>
      </c>
      <c r="K39" s="1704">
        <f t="shared" si="5"/>
        <v>81.854347826086979</v>
      </c>
      <c r="L39" s="1704">
        <f t="shared" si="6"/>
        <v>965.88130434782647</v>
      </c>
      <c r="M39" s="1704">
        <f t="shared" si="7"/>
        <v>818.54347826086973</v>
      </c>
      <c r="N39" s="1686" t="s">
        <v>750</v>
      </c>
      <c r="R39" s="1705">
        <f t="shared" si="8"/>
        <v>77.956521739130451</v>
      </c>
      <c r="S39" s="1674"/>
      <c r="T39" s="1706">
        <f t="shared" si="9"/>
        <v>3.8978260869565227</v>
      </c>
      <c r="U39" s="1711"/>
      <c r="V39" s="1706">
        <f t="shared" si="10"/>
        <v>81.854347826086979</v>
      </c>
    </row>
    <row r="40" spans="1:22" ht="17.25" customHeight="1">
      <c r="A40" s="2482" t="s">
        <v>1283</v>
      </c>
      <c r="B40" s="2483"/>
      <c r="C40" s="1680"/>
      <c r="D40" s="1680"/>
      <c r="E40" s="1680"/>
      <c r="F40" s="1718"/>
      <c r="G40" s="1677">
        <f t="shared" si="1"/>
        <v>0</v>
      </c>
      <c r="H40" s="1704">
        <f t="shared" si="2"/>
        <v>0</v>
      </c>
      <c r="I40" s="1704">
        <f t="shared" si="3"/>
        <v>0</v>
      </c>
      <c r="J40" s="1704">
        <f t="shared" si="4"/>
        <v>0</v>
      </c>
      <c r="K40" s="1704">
        <f t="shared" si="5"/>
        <v>0</v>
      </c>
      <c r="L40" s="1704">
        <f t="shared" si="6"/>
        <v>0</v>
      </c>
      <c r="M40" s="1704">
        <f t="shared" si="7"/>
        <v>0</v>
      </c>
      <c r="N40" s="1674"/>
      <c r="R40" s="1705">
        <f t="shared" si="8"/>
        <v>0</v>
      </c>
      <c r="S40" s="1674"/>
      <c r="T40" s="1706">
        <f t="shared" si="9"/>
        <v>0</v>
      </c>
      <c r="U40" s="1709"/>
      <c r="V40" s="1706">
        <f t="shared" si="10"/>
        <v>0</v>
      </c>
    </row>
    <row r="41" spans="1:22" ht="57.6">
      <c r="A41" s="1676" t="s">
        <v>1284</v>
      </c>
      <c r="B41" s="1684" t="s">
        <v>1285</v>
      </c>
      <c r="C41" s="1678" t="s">
        <v>1225</v>
      </c>
      <c r="D41" s="1678">
        <v>75</v>
      </c>
      <c r="E41" s="1682">
        <f>76.4/1.15</f>
        <v>66.434782608695656</v>
      </c>
      <c r="F41" s="1717">
        <f t="shared" si="11"/>
        <v>4982.608695652174</v>
      </c>
      <c r="G41" s="1677">
        <f t="shared" si="1"/>
        <v>69.756521739130434</v>
      </c>
      <c r="H41" s="1704">
        <f t="shared" si="2"/>
        <v>12.556173913043478</v>
      </c>
      <c r="I41" s="1704">
        <f t="shared" si="3"/>
        <v>82.312695652173915</v>
      </c>
      <c r="J41" s="1704">
        <f t="shared" si="4"/>
        <v>12.556173913043478</v>
      </c>
      <c r="K41" s="1704">
        <f t="shared" si="5"/>
        <v>69.756521739130434</v>
      </c>
      <c r="L41" s="1704">
        <f t="shared" si="6"/>
        <v>6173.4521739130432</v>
      </c>
      <c r="M41" s="1704">
        <f t="shared" si="7"/>
        <v>5231.739130434783</v>
      </c>
      <c r="N41" s="1683" t="s">
        <v>1286</v>
      </c>
      <c r="R41" s="1705">
        <f t="shared" si="8"/>
        <v>66.434782608695656</v>
      </c>
      <c r="S41" s="1674"/>
      <c r="T41" s="1706">
        <f t="shared" si="9"/>
        <v>3.321739130434783</v>
      </c>
      <c r="U41" s="1710"/>
      <c r="V41" s="1706">
        <f t="shared" si="10"/>
        <v>69.756521739130434</v>
      </c>
    </row>
    <row r="42" spans="1:22" ht="153.6">
      <c r="A42" s="1676" t="s">
        <v>1287</v>
      </c>
      <c r="B42" s="1684" t="s">
        <v>1288</v>
      </c>
      <c r="C42" s="1678" t="s">
        <v>673</v>
      </c>
      <c r="D42" s="1678">
        <v>5</v>
      </c>
      <c r="E42" s="1682">
        <f>27763.65/1.15</f>
        <v>24142.304347826092</v>
      </c>
      <c r="F42" s="1717">
        <f t="shared" si="11"/>
        <v>120711.52173913046</v>
      </c>
      <c r="G42" s="1677">
        <f t="shared" si="1"/>
        <v>25349.419565217395</v>
      </c>
      <c r="H42" s="1704">
        <f t="shared" si="2"/>
        <v>4562.8955217391313</v>
      </c>
      <c r="I42" s="1704">
        <f t="shared" si="3"/>
        <v>29912.315086956525</v>
      </c>
      <c r="J42" s="1704">
        <f t="shared" si="4"/>
        <v>4562.8955217391313</v>
      </c>
      <c r="K42" s="1704">
        <f t="shared" si="5"/>
        <v>25349.419565217395</v>
      </c>
      <c r="L42" s="1704">
        <f t="shared" si="6"/>
        <v>149561.57543478263</v>
      </c>
      <c r="M42" s="1704">
        <f t="shared" si="7"/>
        <v>126747.09782608697</v>
      </c>
      <c r="N42" s="1695">
        <v>5.36</v>
      </c>
      <c r="R42" s="1705">
        <f t="shared" si="8"/>
        <v>24142.304347826092</v>
      </c>
      <c r="S42" s="1674"/>
      <c r="T42" s="1706">
        <f t="shared" si="9"/>
        <v>1207.1152173913047</v>
      </c>
      <c r="U42" s="1713"/>
      <c r="V42" s="1706">
        <f t="shared" si="10"/>
        <v>25349.419565217395</v>
      </c>
    </row>
    <row r="43" spans="1:22" ht="123.75" customHeight="1" thickBot="1">
      <c r="A43" s="1676" t="s">
        <v>1289</v>
      </c>
      <c r="B43" s="1684" t="s">
        <v>1290</v>
      </c>
      <c r="C43" s="1678" t="s">
        <v>1259</v>
      </c>
      <c r="D43" s="1678">
        <v>2</v>
      </c>
      <c r="E43" s="1705">
        <f>93.05/1.15</f>
        <v>80.913043478260875</v>
      </c>
      <c r="F43" s="1717">
        <f t="shared" si="11"/>
        <v>161.82608695652175</v>
      </c>
      <c r="G43" s="1704">
        <f t="shared" si="1"/>
        <v>84.958695652173915</v>
      </c>
      <c r="H43" s="1704">
        <f t="shared" si="2"/>
        <v>15.292565217391305</v>
      </c>
      <c r="I43" s="1704">
        <f t="shared" si="3"/>
        <v>100.25126086956521</v>
      </c>
      <c r="J43" s="1704">
        <f t="shared" si="4"/>
        <v>15.292565217391305</v>
      </c>
      <c r="K43" s="1704">
        <f t="shared" si="5"/>
        <v>84.958695652173915</v>
      </c>
      <c r="L43" s="1722">
        <f t="shared" si="6"/>
        <v>200.50252173913043</v>
      </c>
      <c r="M43" s="1722">
        <f t="shared" si="7"/>
        <v>169.91739130434783</v>
      </c>
      <c r="N43" s="1679" t="s">
        <v>1078</v>
      </c>
      <c r="R43" s="1705">
        <f t="shared" si="8"/>
        <v>80.913043478260875</v>
      </c>
      <c r="S43" s="1674"/>
      <c r="T43" s="1706">
        <f t="shared" si="9"/>
        <v>4.0456521739130435</v>
      </c>
      <c r="U43" s="1708"/>
      <c r="V43" s="1706">
        <f t="shared" si="10"/>
        <v>84.958695652173915</v>
      </c>
    </row>
    <row r="44" spans="1:22" ht="29.25" customHeight="1" thickBot="1">
      <c r="E44" s="1714"/>
      <c r="F44" s="1715"/>
      <c r="G44" s="1716"/>
      <c r="L44" s="1723">
        <f>SUM(L13:L43)</f>
        <v>2816764.9774173913</v>
      </c>
      <c r="M44" s="1724">
        <f>SUM(M13:M43)</f>
        <v>2387088.9639130435</v>
      </c>
    </row>
  </sheetData>
  <mergeCells count="10">
    <mergeCell ref="A12:F12"/>
    <mergeCell ref="A16:B16"/>
    <mergeCell ref="A22:B22"/>
    <mergeCell ref="A35:B35"/>
    <mergeCell ref="A40:B40"/>
    <mergeCell ref="A1:J1"/>
    <mergeCell ref="A2:J2"/>
    <mergeCell ref="A3:J3"/>
    <mergeCell ref="A4:J4"/>
    <mergeCell ref="A5:J5"/>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D116"/>
  <sheetViews>
    <sheetView topLeftCell="A28" zoomScale="64" zoomScaleNormal="64" workbookViewId="0">
      <selection activeCell="B52" sqref="B52"/>
    </sheetView>
  </sheetViews>
  <sheetFormatPr defaultColWidth="8.90625" defaultRowHeight="14.4"/>
  <cols>
    <col min="1" max="1" width="8.90625" style="1597"/>
    <col min="2" max="2" width="67.36328125" style="1597" customWidth="1"/>
    <col min="3" max="4" width="8.90625" style="1597"/>
    <col min="5" max="5" width="11.08984375" style="1597" customWidth="1"/>
    <col min="6" max="6" width="9.6328125" style="1597" hidden="1" customWidth="1"/>
    <col min="7" max="7" width="8.90625" style="1597"/>
    <col min="8" max="8" width="9.36328125" style="1597" bestFit="1" customWidth="1"/>
    <col min="9" max="11" width="8.90625" style="1597"/>
    <col min="12" max="12" width="13.08984375" style="1597" bestFit="1" customWidth="1"/>
    <col min="13" max="13" width="12.81640625" style="1597" bestFit="1" customWidth="1"/>
    <col min="14" max="16384" width="8.90625" style="1597"/>
  </cols>
  <sheetData>
    <row r="1" spans="1:20" ht="15.6">
      <c r="A1" s="2477" t="s">
        <v>1</v>
      </c>
      <c r="B1" s="2477"/>
      <c r="C1" s="2477"/>
      <c r="D1" s="2477"/>
      <c r="E1" s="2477"/>
      <c r="F1" s="2477"/>
      <c r="G1" s="2477"/>
      <c r="H1" s="2477"/>
      <c r="I1" s="2477"/>
    </row>
    <row r="2" spans="1:20">
      <c r="A2" s="2478" t="s">
        <v>1084</v>
      </c>
      <c r="B2" s="2478"/>
      <c r="C2" s="2478"/>
      <c r="D2" s="2478"/>
      <c r="E2" s="2478"/>
      <c r="F2" s="2478"/>
      <c r="G2" s="2478"/>
      <c r="H2" s="2478"/>
      <c r="I2" s="2478"/>
    </row>
    <row r="3" spans="1:20" ht="17.25" customHeight="1">
      <c r="A3" s="2479" t="s">
        <v>987</v>
      </c>
      <c r="B3" s="2479"/>
      <c r="C3" s="2479"/>
      <c r="D3" s="2479"/>
      <c r="E3" s="2479"/>
      <c r="F3" s="2479"/>
      <c r="G3" s="2479"/>
      <c r="H3" s="2479"/>
      <c r="I3" s="2479"/>
    </row>
    <row r="4" spans="1:20">
      <c r="A4" s="2478" t="s">
        <v>988</v>
      </c>
      <c r="B4" s="2478"/>
      <c r="C4" s="2478"/>
      <c r="D4" s="2478"/>
      <c r="E4" s="2478"/>
      <c r="F4" s="2478"/>
      <c r="G4" s="2478"/>
      <c r="H4" s="2478"/>
      <c r="I4" s="2478"/>
    </row>
    <row r="5" spans="1:20">
      <c r="A5" s="2480" t="s">
        <v>1178</v>
      </c>
      <c r="B5" s="2480"/>
      <c r="C5" s="2480"/>
      <c r="D5" s="2480"/>
      <c r="E5" s="2480"/>
      <c r="F5" s="2480"/>
      <c r="G5" s="2480"/>
      <c r="H5" s="2480"/>
      <c r="I5" s="2480"/>
    </row>
    <row r="6" spans="1:20">
      <c r="A6" s="1598"/>
      <c r="B6" s="1598"/>
      <c r="C6" s="1598"/>
      <c r="D6" s="1598"/>
      <c r="E6" s="1598"/>
      <c r="F6" s="1598"/>
      <c r="G6" s="1598"/>
      <c r="H6" s="1598"/>
      <c r="I6" s="1598"/>
    </row>
    <row r="7" spans="1:20" ht="14.25" customHeight="1">
      <c r="A7" s="1598"/>
      <c r="B7" s="1598"/>
      <c r="C7" s="1598"/>
      <c r="D7" s="1598"/>
      <c r="E7" s="1598"/>
      <c r="F7" s="1598"/>
      <c r="G7" s="1598"/>
      <c r="H7" s="1598"/>
      <c r="I7" s="1598"/>
    </row>
    <row r="8" spans="1:20" ht="106.5" customHeight="1">
      <c r="A8" s="1599" t="s">
        <v>1179</v>
      </c>
      <c r="B8" s="1599" t="s">
        <v>294</v>
      </c>
      <c r="C8" s="1599" t="s">
        <v>198</v>
      </c>
      <c r="D8" s="1599" t="s">
        <v>1180</v>
      </c>
      <c r="E8" s="1599" t="s">
        <v>1299</v>
      </c>
      <c r="F8" s="1652" t="s">
        <v>1182</v>
      </c>
      <c r="G8" s="1651" t="s">
        <v>1297</v>
      </c>
      <c r="H8" s="1651" t="s">
        <v>1292</v>
      </c>
      <c r="I8" s="1651" t="s">
        <v>1317</v>
      </c>
      <c r="J8" s="1651" t="s">
        <v>1293</v>
      </c>
      <c r="K8" s="1651" t="s">
        <v>1294</v>
      </c>
      <c r="L8" s="1651" t="s">
        <v>1295</v>
      </c>
      <c r="M8" s="1651" t="s">
        <v>1296</v>
      </c>
      <c r="O8" s="1599" t="s">
        <v>1299</v>
      </c>
      <c r="P8" s="1599" t="s">
        <v>538</v>
      </c>
      <c r="Q8" s="1599" t="s">
        <v>1291</v>
      </c>
      <c r="R8" s="1599" t="s">
        <v>824</v>
      </c>
      <c r="S8" s="1599" t="s">
        <v>1298</v>
      </c>
      <c r="T8" s="1599" t="s">
        <v>991</v>
      </c>
    </row>
    <row r="9" spans="1:20" ht="19.2">
      <c r="A9" s="1600" t="s">
        <v>197</v>
      </c>
      <c r="B9" s="1600" t="s">
        <v>61</v>
      </c>
      <c r="C9" s="1600" t="s">
        <v>62</v>
      </c>
      <c r="D9" s="1600" t="s">
        <v>63</v>
      </c>
      <c r="E9" s="1600" t="s">
        <v>64</v>
      </c>
      <c r="F9" s="1600"/>
      <c r="G9" s="1600" t="s">
        <v>65</v>
      </c>
      <c r="H9" s="1600" t="s">
        <v>66</v>
      </c>
      <c r="I9" s="1600" t="s">
        <v>1300</v>
      </c>
      <c r="J9" s="1600" t="s">
        <v>298</v>
      </c>
      <c r="K9" s="1600" t="s">
        <v>1301</v>
      </c>
      <c r="L9" s="1600" t="s">
        <v>1302</v>
      </c>
      <c r="M9" s="1600" t="s">
        <v>1303</v>
      </c>
      <c r="N9" s="1600"/>
      <c r="O9" s="1600" t="str">
        <f>E9</f>
        <v>e</v>
      </c>
      <c r="P9" s="1600"/>
      <c r="Q9" s="1600"/>
      <c r="R9" s="1600"/>
      <c r="S9" s="1600" t="str">
        <f>G9</f>
        <v>f</v>
      </c>
      <c r="T9" s="1600"/>
    </row>
    <row r="10" spans="1:20" ht="19.2">
      <c r="A10" s="1600"/>
      <c r="B10" s="1600"/>
      <c r="C10" s="1600"/>
      <c r="D10" s="1600"/>
      <c r="E10" s="1600"/>
      <c r="F10" s="1600"/>
      <c r="G10" s="1600"/>
      <c r="H10" s="1600"/>
      <c r="I10" s="1600"/>
      <c r="J10" s="1600"/>
      <c r="K10" s="1600"/>
      <c r="L10" s="1600"/>
      <c r="M10" s="1600"/>
      <c r="O10" s="1600"/>
      <c r="P10" s="1600"/>
      <c r="Q10" s="1600"/>
      <c r="R10" s="1600"/>
      <c r="S10" s="1600"/>
      <c r="T10" s="1600"/>
    </row>
    <row r="11" spans="1:20" ht="19.8" thickBot="1">
      <c r="A11" s="1600" t="s">
        <v>93</v>
      </c>
      <c r="B11" s="1600" t="s">
        <v>1183</v>
      </c>
      <c r="C11" s="1600"/>
      <c r="D11" s="1600"/>
      <c r="E11" s="1600"/>
      <c r="F11" s="1600"/>
      <c r="G11" s="1649"/>
      <c r="H11" s="1649">
        <v>0.18</v>
      </c>
      <c r="I11" s="1649"/>
      <c r="J11" s="1649"/>
      <c r="O11" s="1600"/>
      <c r="P11" s="1649">
        <v>0.12</v>
      </c>
      <c r="Q11" s="1649">
        <v>0.05</v>
      </c>
      <c r="R11" s="1649">
        <v>0.02</v>
      </c>
    </row>
    <row r="12" spans="1:20" ht="34.5" customHeight="1">
      <c r="A12" s="2487" t="s">
        <v>1184</v>
      </c>
      <c r="B12" s="1601" t="s">
        <v>1185</v>
      </c>
      <c r="C12" s="2487" t="s">
        <v>1039</v>
      </c>
      <c r="D12" s="2487">
        <v>1600</v>
      </c>
      <c r="E12" s="2487">
        <v>24</v>
      </c>
      <c r="F12" s="2496">
        <f>D12*E12/100000</f>
        <v>0.38400000000000001</v>
      </c>
      <c r="G12" s="2487">
        <f>S12</f>
        <v>28.704000000000001</v>
      </c>
      <c r="H12" s="2487">
        <f>G12*$H$11</f>
        <v>5.1667199999999998</v>
      </c>
      <c r="I12" s="2487">
        <f>G12+H12</f>
        <v>33.870719999999999</v>
      </c>
      <c r="J12" s="2487">
        <f>H12</f>
        <v>5.1667199999999998</v>
      </c>
      <c r="K12" s="2487">
        <f>I12-J12</f>
        <v>28.704000000000001</v>
      </c>
      <c r="L12" s="2487">
        <f>I12*D12</f>
        <v>54193.151999999995</v>
      </c>
      <c r="M12" s="2487">
        <f>K12*D12</f>
        <v>45926.400000000001</v>
      </c>
      <c r="O12" s="2487">
        <f>E12</f>
        <v>24</v>
      </c>
      <c r="P12" s="2487">
        <f>O12*$P$11</f>
        <v>2.88</v>
      </c>
      <c r="Q12" s="2487">
        <f>(O12+P12)*$Q$11</f>
        <v>1.3440000000000001</v>
      </c>
      <c r="R12" s="2487">
        <f>O12*$R$11</f>
        <v>0.48</v>
      </c>
      <c r="S12" s="2487">
        <f>SUM(O12:R18)</f>
        <v>28.704000000000001</v>
      </c>
      <c r="T12" s="2487" t="s">
        <v>1019</v>
      </c>
    </row>
    <row r="13" spans="1:20" ht="16.5" customHeight="1">
      <c r="A13" s="2488"/>
      <c r="B13" s="1650"/>
      <c r="C13" s="2488"/>
      <c r="D13" s="2488"/>
      <c r="E13" s="2488"/>
      <c r="F13" s="2497"/>
      <c r="G13" s="2488"/>
      <c r="H13" s="2488"/>
      <c r="I13" s="2488"/>
      <c r="J13" s="2488"/>
      <c r="K13" s="2488"/>
      <c r="L13" s="2488"/>
      <c r="M13" s="2488"/>
      <c r="O13" s="2488"/>
      <c r="P13" s="2488"/>
      <c r="Q13" s="2488"/>
      <c r="R13" s="2488"/>
      <c r="S13" s="2488"/>
      <c r="T13" s="2488"/>
    </row>
    <row r="14" spans="1:20" ht="19.2">
      <c r="A14" s="2488"/>
      <c r="B14" s="1602"/>
      <c r="C14" s="2488"/>
      <c r="D14" s="2488"/>
      <c r="E14" s="2488"/>
      <c r="F14" s="2497"/>
      <c r="G14" s="2488"/>
      <c r="H14" s="2488"/>
      <c r="I14" s="2488"/>
      <c r="J14" s="2488"/>
      <c r="K14" s="2488"/>
      <c r="L14" s="2488"/>
      <c r="M14" s="2488"/>
      <c r="O14" s="2488"/>
      <c r="P14" s="2488"/>
      <c r="Q14" s="2488"/>
      <c r="R14" s="2488"/>
      <c r="S14" s="2488"/>
      <c r="T14" s="2488"/>
    </row>
    <row r="15" spans="1:20" ht="19.2">
      <c r="A15" s="2488"/>
      <c r="B15" s="1602" t="s">
        <v>1186</v>
      </c>
      <c r="C15" s="2488"/>
      <c r="D15" s="2488"/>
      <c r="E15" s="2488"/>
      <c r="F15" s="2497"/>
      <c r="G15" s="2488"/>
      <c r="H15" s="2488"/>
      <c r="I15" s="2488"/>
      <c r="J15" s="2488"/>
      <c r="K15" s="2488"/>
      <c r="L15" s="2488"/>
      <c r="M15" s="2488"/>
      <c r="O15" s="2488"/>
      <c r="P15" s="2488"/>
      <c r="Q15" s="2488"/>
      <c r="R15" s="2488"/>
      <c r="S15" s="2488"/>
      <c r="T15" s="2488"/>
    </row>
    <row r="16" spans="1:20" ht="19.2">
      <c r="A16" s="2488"/>
      <c r="B16" s="1602"/>
      <c r="C16" s="2488"/>
      <c r="D16" s="2488"/>
      <c r="E16" s="2488"/>
      <c r="F16" s="2497"/>
      <c r="G16" s="2488"/>
      <c r="H16" s="2488"/>
      <c r="I16" s="2488"/>
      <c r="J16" s="2488"/>
      <c r="K16" s="2488"/>
      <c r="L16" s="2488"/>
      <c r="M16" s="2488"/>
      <c r="O16" s="2488"/>
      <c r="P16" s="2488"/>
      <c r="Q16" s="2488"/>
      <c r="R16" s="2488"/>
      <c r="S16" s="2488"/>
      <c r="T16" s="2488"/>
    </row>
    <row r="17" spans="1:20" ht="19.2">
      <c r="A17" s="2488"/>
      <c r="B17" s="1603" t="s">
        <v>1187</v>
      </c>
      <c r="C17" s="2488"/>
      <c r="D17" s="2488"/>
      <c r="E17" s="2488"/>
      <c r="F17" s="2497"/>
      <c r="G17" s="2488"/>
      <c r="H17" s="2488"/>
      <c r="I17" s="2488"/>
      <c r="J17" s="2488"/>
      <c r="K17" s="2488"/>
      <c r="L17" s="2488"/>
      <c r="M17" s="2488"/>
      <c r="O17" s="2488"/>
      <c r="P17" s="2488"/>
      <c r="Q17" s="2488"/>
      <c r="R17" s="2488"/>
      <c r="S17" s="2488"/>
      <c r="T17" s="2488"/>
    </row>
    <row r="18" spans="1:20" ht="19.8" thickBot="1">
      <c r="A18" s="2489"/>
      <c r="B18" s="1604" t="s">
        <v>1188</v>
      </c>
      <c r="C18" s="2489"/>
      <c r="D18" s="2489"/>
      <c r="E18" s="2489"/>
      <c r="F18" s="2498"/>
      <c r="G18" s="2488"/>
      <c r="H18" s="2488"/>
      <c r="I18" s="2488"/>
      <c r="J18" s="2488"/>
      <c r="K18" s="2488"/>
      <c r="L18" s="2488"/>
      <c r="M18" s="2488"/>
      <c r="O18" s="2489"/>
      <c r="P18" s="2488"/>
      <c r="Q18" s="2488"/>
      <c r="R18" s="2488"/>
      <c r="S18" s="2488"/>
      <c r="T18" s="2488"/>
    </row>
    <row r="19" spans="1:20" ht="51.75" customHeight="1">
      <c r="A19" s="2487" t="s">
        <v>1189</v>
      </c>
      <c r="B19" s="1602" t="s">
        <v>1190</v>
      </c>
      <c r="C19" s="2487" t="s">
        <v>1039</v>
      </c>
      <c r="D19" s="2487">
        <v>1760</v>
      </c>
      <c r="E19" s="2487">
        <f>2463*0.75*1.05</f>
        <v>1939.6125000000002</v>
      </c>
      <c r="F19" s="2496">
        <f>D19*E19/100000</f>
        <v>34.137180000000008</v>
      </c>
      <c r="G19" s="2487">
        <f t="shared" ref="G19" si="0">S19</f>
        <v>2319.77655</v>
      </c>
      <c r="H19" s="2487">
        <f t="shared" ref="H19" si="1">G19*$H$11</f>
        <v>417.55977899999999</v>
      </c>
      <c r="I19" s="2487">
        <f t="shared" ref="I19" si="2">G19+H19</f>
        <v>2737.3363290000002</v>
      </c>
      <c r="J19" s="2487">
        <f t="shared" ref="J19" si="3">H19</f>
        <v>417.55977899999999</v>
      </c>
      <c r="K19" s="2487">
        <f t="shared" ref="K19" si="4">I19-J19</f>
        <v>2319.77655</v>
      </c>
      <c r="L19" s="2487">
        <f t="shared" ref="L19" si="5">I19*D19</f>
        <v>4817711.9390400006</v>
      </c>
      <c r="M19" s="2487">
        <f t="shared" ref="M19" si="6">K19*D19</f>
        <v>4082806.7280000001</v>
      </c>
      <c r="O19" s="2487">
        <f t="shared" ref="O19" si="7">E19</f>
        <v>1939.6125000000002</v>
      </c>
      <c r="P19" s="2487">
        <f>O19*$P$11</f>
        <v>232.7535</v>
      </c>
      <c r="Q19" s="2487">
        <f t="shared" ref="Q19" si="8">(O19+P19)*$Q$11</f>
        <v>108.6183</v>
      </c>
      <c r="R19" s="2487">
        <f>O19*$R$11</f>
        <v>38.792250000000003</v>
      </c>
      <c r="S19" s="2487">
        <f>SUM(O19:R25)</f>
        <v>2319.77655</v>
      </c>
      <c r="T19" s="2487" t="s">
        <v>1148</v>
      </c>
    </row>
    <row r="20" spans="1:20" ht="38.4">
      <c r="A20" s="2488"/>
      <c r="B20" s="1602" t="s">
        <v>1191</v>
      </c>
      <c r="C20" s="2488"/>
      <c r="D20" s="2488"/>
      <c r="E20" s="2488"/>
      <c r="F20" s="2497"/>
      <c r="G20" s="2488"/>
      <c r="H20" s="2488"/>
      <c r="I20" s="2488"/>
      <c r="J20" s="2488"/>
      <c r="K20" s="2488"/>
      <c r="L20" s="2488"/>
      <c r="M20" s="2488"/>
      <c r="O20" s="2488"/>
      <c r="P20" s="2488"/>
      <c r="Q20" s="2488"/>
      <c r="R20" s="2488"/>
      <c r="S20" s="2488"/>
      <c r="T20" s="2488"/>
    </row>
    <row r="21" spans="1:20" ht="19.2">
      <c r="A21" s="2488"/>
      <c r="B21" s="1602"/>
      <c r="C21" s="2488"/>
      <c r="D21" s="2488"/>
      <c r="E21" s="2488"/>
      <c r="F21" s="2497"/>
      <c r="G21" s="2488"/>
      <c r="H21" s="2488"/>
      <c r="I21" s="2488"/>
      <c r="J21" s="2488"/>
      <c r="K21" s="2488"/>
      <c r="L21" s="2488"/>
      <c r="M21" s="2488"/>
      <c r="O21" s="2488"/>
      <c r="P21" s="2488"/>
      <c r="Q21" s="2488"/>
      <c r="R21" s="2488"/>
      <c r="S21" s="2488"/>
      <c r="T21" s="2488"/>
    </row>
    <row r="22" spans="1:20" ht="19.2">
      <c r="A22" s="2488"/>
      <c r="B22" s="1602" t="s">
        <v>1192</v>
      </c>
      <c r="C22" s="2488"/>
      <c r="D22" s="2488"/>
      <c r="E22" s="2488"/>
      <c r="F22" s="2497"/>
      <c r="G22" s="2488"/>
      <c r="H22" s="2488"/>
      <c r="I22" s="2488"/>
      <c r="J22" s="2488"/>
      <c r="K22" s="2488"/>
      <c r="L22" s="2488"/>
      <c r="M22" s="2488"/>
      <c r="O22" s="2488"/>
      <c r="P22" s="2488"/>
      <c r="Q22" s="2488"/>
      <c r="R22" s="2488"/>
      <c r="S22" s="2488"/>
      <c r="T22" s="2488"/>
    </row>
    <row r="23" spans="1:20" ht="19.2">
      <c r="A23" s="2488"/>
      <c r="B23" s="1602"/>
      <c r="C23" s="2488"/>
      <c r="D23" s="2488"/>
      <c r="E23" s="2488"/>
      <c r="F23" s="2497"/>
      <c r="G23" s="2488"/>
      <c r="H23" s="2488"/>
      <c r="I23" s="2488"/>
      <c r="J23" s="2488"/>
      <c r="K23" s="2488"/>
      <c r="L23" s="2488"/>
      <c r="M23" s="2488"/>
      <c r="O23" s="2488"/>
      <c r="P23" s="2488"/>
      <c r="Q23" s="2488"/>
      <c r="R23" s="2488"/>
      <c r="S23" s="2488"/>
      <c r="T23" s="2488"/>
    </row>
    <row r="24" spans="1:20" ht="19.2">
      <c r="A24" s="2488"/>
      <c r="B24" s="1603" t="s">
        <v>1187</v>
      </c>
      <c r="C24" s="2488"/>
      <c r="D24" s="2488"/>
      <c r="E24" s="2488"/>
      <c r="F24" s="2497"/>
      <c r="G24" s="2488"/>
      <c r="H24" s="2488"/>
      <c r="I24" s="2488"/>
      <c r="J24" s="2488"/>
      <c r="K24" s="2488"/>
      <c r="L24" s="2488"/>
      <c r="M24" s="2488"/>
      <c r="O24" s="2488"/>
      <c r="P24" s="2488"/>
      <c r="Q24" s="2488"/>
      <c r="R24" s="2488"/>
      <c r="S24" s="2488"/>
      <c r="T24" s="2488"/>
    </row>
    <row r="25" spans="1:20" ht="19.8" thickBot="1">
      <c r="A25" s="2488"/>
      <c r="B25" s="1602" t="s">
        <v>1193</v>
      </c>
      <c r="C25" s="2488"/>
      <c r="D25" s="2488"/>
      <c r="E25" s="2488"/>
      <c r="F25" s="2497"/>
      <c r="G25" s="2488"/>
      <c r="H25" s="2488"/>
      <c r="I25" s="2488"/>
      <c r="J25" s="2488"/>
      <c r="K25" s="2488"/>
      <c r="L25" s="2488"/>
      <c r="M25" s="2488"/>
      <c r="O25" s="2489"/>
      <c r="P25" s="2488"/>
      <c r="Q25" s="2488"/>
      <c r="R25" s="2488"/>
      <c r="S25" s="2488"/>
      <c r="T25" s="2488"/>
    </row>
    <row r="26" spans="1:20" ht="51.75" customHeight="1">
      <c r="A26" s="2502" t="s">
        <v>1194</v>
      </c>
      <c r="B26" s="1605" t="s">
        <v>1195</v>
      </c>
      <c r="C26" s="2502" t="s">
        <v>1039</v>
      </c>
      <c r="D26" s="2502">
        <v>440</v>
      </c>
      <c r="E26" s="2502">
        <f>531*1.33</f>
        <v>706.23</v>
      </c>
      <c r="F26" s="2504">
        <f>D26*E26/100000</f>
        <v>3.1074120000000001</v>
      </c>
      <c r="G26" s="2487">
        <f t="shared" ref="G26" si="9">S26</f>
        <v>844.65108000000009</v>
      </c>
      <c r="H26" s="2487">
        <f t="shared" ref="H26" si="10">G26*$H$11</f>
        <v>152.0371944</v>
      </c>
      <c r="I26" s="2487">
        <f>G26+H26</f>
        <v>996.68827440000007</v>
      </c>
      <c r="J26" s="2487">
        <f t="shared" ref="J26" si="11">H26</f>
        <v>152.0371944</v>
      </c>
      <c r="K26" s="2487">
        <f t="shared" ref="K26" si="12">I26-J26</f>
        <v>844.65108000000009</v>
      </c>
      <c r="L26" s="2487">
        <f t="shared" ref="L26" si="13">I26*D26</f>
        <v>438542.84073600004</v>
      </c>
      <c r="M26" s="2487">
        <f t="shared" ref="M26" si="14">K26*D26</f>
        <v>371646.47520000004</v>
      </c>
      <c r="O26" s="2487">
        <f t="shared" ref="O26" si="15">E26</f>
        <v>706.23</v>
      </c>
      <c r="P26" s="2487">
        <f>O26*$P$11</f>
        <v>84.747600000000006</v>
      </c>
      <c r="Q26" s="2487">
        <f t="shared" ref="Q26" si="16">(O26+P26)*$Q$11</f>
        <v>39.548880000000004</v>
      </c>
      <c r="R26" s="2487">
        <f>O26*$R$11</f>
        <v>14.124600000000001</v>
      </c>
      <c r="S26" s="2487">
        <f>SUM(O26:R32)</f>
        <v>844.65108000000009</v>
      </c>
      <c r="T26" s="2487" t="s">
        <v>1043</v>
      </c>
    </row>
    <row r="27" spans="1:20" ht="19.2">
      <c r="A27" s="2502"/>
      <c r="B27" s="1605"/>
      <c r="C27" s="2502"/>
      <c r="D27" s="2502"/>
      <c r="E27" s="2502"/>
      <c r="F27" s="2504"/>
      <c r="G27" s="2488"/>
      <c r="H27" s="2488"/>
      <c r="I27" s="2488"/>
      <c r="J27" s="2488"/>
      <c r="K27" s="2488"/>
      <c r="L27" s="2488"/>
      <c r="M27" s="2488"/>
      <c r="O27" s="2488"/>
      <c r="P27" s="2488"/>
      <c r="Q27" s="2488"/>
      <c r="R27" s="2488"/>
      <c r="S27" s="2488"/>
      <c r="T27" s="2488"/>
    </row>
    <row r="28" spans="1:20" ht="19.2">
      <c r="A28" s="2502"/>
      <c r="B28" s="1605" t="s">
        <v>1196</v>
      </c>
      <c r="C28" s="2502"/>
      <c r="D28" s="2502"/>
      <c r="E28" s="2502"/>
      <c r="F28" s="2504"/>
      <c r="G28" s="2488"/>
      <c r="H28" s="2488"/>
      <c r="I28" s="2488"/>
      <c r="J28" s="2488"/>
      <c r="K28" s="2488"/>
      <c r="L28" s="2488"/>
      <c r="M28" s="2488"/>
      <c r="O28" s="2488"/>
      <c r="P28" s="2488"/>
      <c r="Q28" s="2488"/>
      <c r="R28" s="2488"/>
      <c r="S28" s="2488"/>
      <c r="T28" s="2488"/>
    </row>
    <row r="29" spans="1:20" ht="19.2">
      <c r="A29" s="2502"/>
      <c r="B29" s="1605"/>
      <c r="C29" s="2502"/>
      <c r="D29" s="2502"/>
      <c r="E29" s="2502"/>
      <c r="F29" s="2504"/>
      <c r="G29" s="2488"/>
      <c r="H29" s="2488"/>
      <c r="I29" s="2488"/>
      <c r="J29" s="2488"/>
      <c r="K29" s="2488"/>
      <c r="L29" s="2488"/>
      <c r="M29" s="2488"/>
      <c r="O29" s="2488"/>
      <c r="P29" s="2488"/>
      <c r="Q29" s="2488"/>
      <c r="R29" s="2488"/>
      <c r="S29" s="2488"/>
      <c r="T29" s="2488"/>
    </row>
    <row r="30" spans="1:20" ht="19.2">
      <c r="A30" s="2502"/>
      <c r="B30" s="1606" t="s">
        <v>1187</v>
      </c>
      <c r="C30" s="2502"/>
      <c r="D30" s="2502"/>
      <c r="E30" s="2502"/>
      <c r="F30" s="2504"/>
      <c r="G30" s="2488"/>
      <c r="H30" s="2488"/>
      <c r="I30" s="2488"/>
      <c r="J30" s="2488"/>
      <c r="K30" s="2488"/>
      <c r="L30" s="2488"/>
      <c r="M30" s="2488"/>
      <c r="O30" s="2488"/>
      <c r="P30" s="2488"/>
      <c r="Q30" s="2488"/>
      <c r="R30" s="2488"/>
      <c r="S30" s="2488"/>
      <c r="T30" s="2488"/>
    </row>
    <row r="31" spans="1:20" ht="19.2">
      <c r="A31" s="2502"/>
      <c r="B31" s="1605" t="s">
        <v>1197</v>
      </c>
      <c r="C31" s="2502"/>
      <c r="D31" s="2502"/>
      <c r="E31" s="2502"/>
      <c r="F31" s="2504"/>
      <c r="G31" s="2488"/>
      <c r="H31" s="2488"/>
      <c r="I31" s="2488"/>
      <c r="J31" s="2488"/>
      <c r="K31" s="2488"/>
      <c r="L31" s="2488"/>
      <c r="M31" s="2488"/>
      <c r="O31" s="2488"/>
      <c r="P31" s="2488"/>
      <c r="Q31" s="2488"/>
      <c r="R31" s="2488"/>
      <c r="S31" s="2488"/>
      <c r="T31" s="2488"/>
    </row>
    <row r="32" spans="1:20" ht="19.8" thickBot="1">
      <c r="A32" s="2503"/>
      <c r="B32" s="1607"/>
      <c r="C32" s="2503"/>
      <c r="D32" s="2503"/>
      <c r="E32" s="2503"/>
      <c r="F32" s="2505"/>
      <c r="G32" s="2488"/>
      <c r="H32" s="2488"/>
      <c r="I32" s="2489"/>
      <c r="J32" s="2489"/>
      <c r="K32" s="2489"/>
      <c r="L32" s="2489"/>
      <c r="M32" s="2489"/>
      <c r="O32" s="2489"/>
      <c r="P32" s="2489"/>
      <c r="Q32" s="2489"/>
      <c r="R32" s="2489"/>
      <c r="S32" s="2489"/>
      <c r="T32" s="2489"/>
    </row>
    <row r="33" spans="1:56" s="1608" customFormat="1" ht="19.8" thickBot="1">
      <c r="A33" s="1663" t="s">
        <v>1198</v>
      </c>
      <c r="B33" s="1664" t="s">
        <v>1199</v>
      </c>
      <c r="C33" s="1665" t="s">
        <v>1200</v>
      </c>
      <c r="D33" s="1665">
        <v>1</v>
      </c>
      <c r="E33" s="1665"/>
      <c r="F33" s="1648">
        <f>SUM(F12:F32)</f>
        <v>37.628592000000012</v>
      </c>
      <c r="G33" s="1655"/>
      <c r="H33" s="1656"/>
      <c r="O33" s="1657"/>
      <c r="P33" s="1660"/>
      <c r="Q33" s="1656"/>
    </row>
    <row r="34" spans="1:56" ht="19.8" thickBot="1">
      <c r="A34" s="1609" t="s">
        <v>94</v>
      </c>
      <c r="B34" s="1609" t="s">
        <v>993</v>
      </c>
      <c r="C34" s="1610"/>
      <c r="D34" s="1610"/>
      <c r="E34" s="1610"/>
      <c r="F34" s="1610"/>
      <c r="O34" s="1658"/>
      <c r="P34" s="1659"/>
      <c r="V34" s="1608"/>
      <c r="W34" s="1608"/>
      <c r="X34" s="1608"/>
      <c r="Y34" s="1608"/>
      <c r="Z34" s="1608"/>
      <c r="AA34" s="1608"/>
      <c r="AB34" s="1608"/>
      <c r="AC34" s="1608"/>
      <c r="AD34" s="1608"/>
      <c r="AE34" s="1608"/>
      <c r="AF34" s="1608"/>
      <c r="AG34" s="1608"/>
      <c r="AH34" s="1608"/>
      <c r="AI34" s="1608"/>
      <c r="AJ34" s="1608"/>
      <c r="AK34" s="1608"/>
      <c r="AL34" s="1608"/>
      <c r="AM34" s="1608"/>
      <c r="AN34" s="1608"/>
      <c r="AO34" s="1608"/>
      <c r="AP34" s="1608"/>
      <c r="AQ34" s="1608"/>
      <c r="AR34" s="1608"/>
      <c r="AS34" s="1608"/>
      <c r="AT34" s="1608"/>
      <c r="AU34" s="1608"/>
      <c r="AV34" s="1608"/>
      <c r="AW34" s="1608"/>
      <c r="AX34" s="1608"/>
      <c r="AY34" s="1608"/>
      <c r="AZ34" s="1608"/>
    </row>
    <row r="35" spans="1:56" ht="38.4">
      <c r="A35" s="2502" t="s">
        <v>1201</v>
      </c>
      <c r="B35" s="1605" t="s">
        <v>1202</v>
      </c>
      <c r="C35" s="2502" t="s">
        <v>1039</v>
      </c>
      <c r="D35" s="2502">
        <v>40</v>
      </c>
      <c r="E35" s="2502">
        <v>206</v>
      </c>
      <c r="F35" s="2504">
        <f>D35*E35/100000</f>
        <v>8.2400000000000001E-2</v>
      </c>
      <c r="G35" s="2499">
        <f t="shared" ref="G35" si="17">S35</f>
        <v>246.376</v>
      </c>
      <c r="H35" s="2490">
        <f t="shared" ref="H35" si="18">G35*$H$11</f>
        <v>44.347679999999997</v>
      </c>
      <c r="I35" s="2493">
        <f>G35+H35</f>
        <v>290.72368</v>
      </c>
      <c r="J35" s="2487">
        <f t="shared" ref="J35" si="19">H35</f>
        <v>44.347679999999997</v>
      </c>
      <c r="K35" s="2487">
        <f t="shared" ref="K35" si="20">I35-J35</f>
        <v>246.376</v>
      </c>
      <c r="L35" s="2487">
        <f t="shared" ref="L35" si="21">I35*D35</f>
        <v>11628.947200000001</v>
      </c>
      <c r="M35" s="2487">
        <f t="shared" ref="M35" si="22">K35*D35</f>
        <v>9855.0400000000009</v>
      </c>
      <c r="O35" s="2487">
        <f t="shared" ref="O35" si="23">E35</f>
        <v>206</v>
      </c>
      <c r="P35" s="2487">
        <f>O35*$P$11</f>
        <v>24.72</v>
      </c>
      <c r="Q35" s="2487">
        <f t="shared" ref="Q35" si="24">(O35+P35)*$Q$11</f>
        <v>11.536000000000001</v>
      </c>
      <c r="R35" s="2487">
        <f>O35*$R$11</f>
        <v>4.12</v>
      </c>
      <c r="S35" s="2487">
        <f>SUM(O35:R41)</f>
        <v>246.376</v>
      </c>
      <c r="T35" s="2487" t="s">
        <v>1203</v>
      </c>
      <c r="V35" s="1608"/>
      <c r="W35" s="1608"/>
      <c r="X35" s="1608"/>
      <c r="Y35" s="1608"/>
      <c r="Z35" s="1608"/>
      <c r="AA35" s="1608"/>
      <c r="AB35" s="1608"/>
      <c r="AC35" s="1608"/>
      <c r="AD35" s="1608"/>
      <c r="AE35" s="1608"/>
      <c r="AF35" s="1608"/>
      <c r="AG35" s="1608"/>
      <c r="AH35" s="1608"/>
      <c r="AI35" s="1608"/>
      <c r="AJ35" s="1608"/>
      <c r="AK35" s="1608"/>
      <c r="AL35" s="1608"/>
      <c r="AM35" s="1608"/>
      <c r="AN35" s="1608"/>
      <c r="AO35" s="1608"/>
      <c r="AP35" s="1608"/>
      <c r="AQ35" s="1608"/>
      <c r="AR35" s="1608"/>
      <c r="AS35" s="1608"/>
      <c r="AT35" s="1608"/>
      <c r="AU35" s="1608"/>
      <c r="AV35" s="1608"/>
      <c r="AW35" s="1608"/>
      <c r="AX35" s="1608"/>
      <c r="AY35" s="1608"/>
      <c r="AZ35" s="1608"/>
    </row>
    <row r="36" spans="1:56" ht="19.2">
      <c r="A36" s="2502"/>
      <c r="B36" s="1605"/>
      <c r="C36" s="2502"/>
      <c r="D36" s="2502"/>
      <c r="E36" s="2502"/>
      <c r="F36" s="2504"/>
      <c r="G36" s="2500"/>
      <c r="H36" s="2491"/>
      <c r="I36" s="2494"/>
      <c r="J36" s="2488"/>
      <c r="K36" s="2488"/>
      <c r="L36" s="2488"/>
      <c r="M36" s="2488"/>
      <c r="O36" s="2488"/>
      <c r="P36" s="2488"/>
      <c r="Q36" s="2488"/>
      <c r="R36" s="2488"/>
      <c r="S36" s="2488"/>
      <c r="T36" s="2488"/>
      <c r="V36" s="1608"/>
      <c r="W36" s="1608"/>
      <c r="X36" s="1608"/>
      <c r="Y36" s="1608"/>
      <c r="Z36" s="1608"/>
      <c r="AA36" s="1608"/>
      <c r="AB36" s="1608"/>
      <c r="AC36" s="1608"/>
      <c r="AD36" s="1608"/>
      <c r="AE36" s="1608"/>
      <c r="AF36" s="1608"/>
      <c r="AG36" s="1608"/>
      <c r="AH36" s="1608"/>
      <c r="AI36" s="1608"/>
      <c r="AJ36" s="1608"/>
      <c r="AK36" s="1608"/>
      <c r="AL36" s="1608"/>
      <c r="AM36" s="1608"/>
      <c r="AN36" s="1608"/>
      <c r="AO36" s="1608"/>
      <c r="AP36" s="1608"/>
      <c r="AQ36" s="1608"/>
      <c r="AR36" s="1608"/>
      <c r="AS36" s="1608"/>
      <c r="AT36" s="1608"/>
      <c r="AU36" s="1608"/>
      <c r="AV36" s="1608"/>
      <c r="AW36" s="1608"/>
      <c r="AX36" s="1608"/>
      <c r="AY36" s="1608"/>
      <c r="AZ36" s="1608"/>
    </row>
    <row r="37" spans="1:56" ht="19.2">
      <c r="A37" s="2502"/>
      <c r="B37" s="1605"/>
      <c r="C37" s="2502"/>
      <c r="D37" s="2502"/>
      <c r="E37" s="2502"/>
      <c r="F37" s="2504"/>
      <c r="G37" s="2500"/>
      <c r="H37" s="2491"/>
      <c r="I37" s="2494"/>
      <c r="J37" s="2488"/>
      <c r="K37" s="2488"/>
      <c r="L37" s="2488"/>
      <c r="M37" s="2488"/>
      <c r="O37" s="2488"/>
      <c r="P37" s="2488"/>
      <c r="Q37" s="2488"/>
      <c r="R37" s="2488"/>
      <c r="S37" s="2488"/>
      <c r="T37" s="2488"/>
      <c r="V37" s="1608"/>
      <c r="W37" s="1608"/>
      <c r="X37" s="1608"/>
      <c r="Y37" s="1608"/>
      <c r="Z37" s="1608"/>
      <c r="AA37" s="1608"/>
      <c r="AB37" s="1608"/>
      <c r="AC37" s="1608"/>
      <c r="AD37" s="1608"/>
      <c r="AE37" s="1608"/>
      <c r="AF37" s="1608"/>
      <c r="AG37" s="1608"/>
      <c r="AH37" s="1608"/>
      <c r="AI37" s="1608"/>
      <c r="AJ37" s="1608"/>
      <c r="AK37" s="1608"/>
      <c r="AL37" s="1608"/>
      <c r="AM37" s="1608"/>
      <c r="AN37" s="1608"/>
      <c r="AO37" s="1608"/>
      <c r="AP37" s="1608"/>
      <c r="AQ37" s="1608"/>
      <c r="AR37" s="1608"/>
      <c r="AS37" s="1608"/>
      <c r="AT37" s="1608"/>
      <c r="AU37" s="1608"/>
      <c r="AV37" s="1608"/>
      <c r="AW37" s="1608"/>
      <c r="AX37" s="1608"/>
      <c r="AY37" s="1608"/>
      <c r="AZ37" s="1608"/>
    </row>
    <row r="38" spans="1:56" ht="19.2">
      <c r="A38" s="2502"/>
      <c r="B38" s="1605"/>
      <c r="C38" s="2502"/>
      <c r="D38" s="2502"/>
      <c r="E38" s="2502"/>
      <c r="F38" s="2504"/>
      <c r="G38" s="2500"/>
      <c r="H38" s="2491"/>
      <c r="I38" s="2494"/>
      <c r="J38" s="2488"/>
      <c r="K38" s="2488"/>
      <c r="L38" s="2488"/>
      <c r="M38" s="2488"/>
      <c r="O38" s="2488"/>
      <c r="P38" s="2488"/>
      <c r="Q38" s="2488"/>
      <c r="R38" s="2488"/>
      <c r="S38" s="2488"/>
      <c r="T38" s="2488"/>
      <c r="V38" s="1608"/>
      <c r="W38" s="1608"/>
      <c r="X38" s="1608"/>
      <c r="Y38" s="1608"/>
      <c r="Z38" s="1608"/>
      <c r="AA38" s="1608"/>
      <c r="AB38" s="1608"/>
      <c r="AC38" s="1608"/>
      <c r="AD38" s="1608"/>
      <c r="AE38" s="1608"/>
      <c r="AF38" s="1608"/>
      <c r="AG38" s="1608"/>
      <c r="AH38" s="1608"/>
      <c r="AI38" s="1608"/>
      <c r="AJ38" s="1608"/>
      <c r="AK38" s="1608"/>
      <c r="AL38" s="1608"/>
      <c r="AM38" s="1608"/>
      <c r="AN38" s="1608"/>
      <c r="AO38" s="1608"/>
      <c r="AP38" s="1608"/>
      <c r="AQ38" s="1608"/>
      <c r="AR38" s="1608"/>
      <c r="AS38" s="1608"/>
      <c r="AT38" s="1608"/>
      <c r="AU38" s="1608"/>
      <c r="AV38" s="1608"/>
      <c r="AW38" s="1608"/>
      <c r="AX38" s="1608"/>
      <c r="AY38" s="1608"/>
      <c r="AZ38" s="1608"/>
    </row>
    <row r="39" spans="1:56" ht="19.2">
      <c r="A39" s="2502"/>
      <c r="B39" s="1605"/>
      <c r="C39" s="2502"/>
      <c r="D39" s="2502"/>
      <c r="E39" s="2502"/>
      <c r="F39" s="2504"/>
      <c r="G39" s="2500"/>
      <c r="H39" s="2491"/>
      <c r="I39" s="2494"/>
      <c r="J39" s="2488"/>
      <c r="K39" s="2488"/>
      <c r="L39" s="2488"/>
      <c r="M39" s="2488"/>
      <c r="O39" s="2488"/>
      <c r="P39" s="2488"/>
      <c r="Q39" s="2488"/>
      <c r="R39" s="2488"/>
      <c r="S39" s="2488"/>
      <c r="T39" s="2488"/>
      <c r="V39" s="1608"/>
      <c r="W39" s="1608"/>
      <c r="X39" s="1608"/>
      <c r="Y39" s="1608"/>
      <c r="Z39" s="1608"/>
      <c r="AA39" s="1608"/>
      <c r="AB39" s="1608"/>
      <c r="AC39" s="1608"/>
      <c r="AD39" s="1608"/>
      <c r="AE39" s="1608"/>
      <c r="AF39" s="1608"/>
      <c r="AG39" s="1608"/>
      <c r="AH39" s="1608"/>
      <c r="AI39" s="1608"/>
      <c r="AJ39" s="1608"/>
      <c r="AK39" s="1608"/>
      <c r="AL39" s="1608"/>
      <c r="AM39" s="1608"/>
      <c r="AN39" s="1608"/>
      <c r="AO39" s="1608"/>
      <c r="AP39" s="1608"/>
      <c r="AQ39" s="1608"/>
      <c r="AR39" s="1608"/>
      <c r="AS39" s="1608"/>
      <c r="AT39" s="1608"/>
      <c r="AU39" s="1608"/>
      <c r="AV39" s="1608"/>
      <c r="AW39" s="1608"/>
      <c r="AX39" s="1608"/>
      <c r="AY39" s="1608"/>
      <c r="AZ39" s="1608"/>
    </row>
    <row r="40" spans="1:56" ht="19.2">
      <c r="A40" s="2502"/>
      <c r="B40" s="1605"/>
      <c r="C40" s="2502"/>
      <c r="D40" s="2502"/>
      <c r="E40" s="2502"/>
      <c r="F40" s="2504"/>
      <c r="G40" s="2500"/>
      <c r="H40" s="2491"/>
      <c r="I40" s="2494"/>
      <c r="J40" s="2488"/>
      <c r="K40" s="2488"/>
      <c r="L40" s="2488"/>
      <c r="M40" s="2488"/>
      <c r="N40" s="1608"/>
      <c r="O40" s="2488"/>
      <c r="P40" s="2488"/>
      <c r="Q40" s="2488"/>
      <c r="R40" s="2488"/>
      <c r="S40" s="2488"/>
      <c r="T40" s="2488"/>
      <c r="U40" s="1608"/>
      <c r="V40" s="1608"/>
      <c r="W40" s="1608"/>
      <c r="X40" s="1608"/>
      <c r="Y40" s="1608"/>
      <c r="Z40" s="1608"/>
      <c r="AA40" s="1608"/>
      <c r="AB40" s="1608"/>
      <c r="AC40" s="1608"/>
      <c r="AD40" s="1608"/>
      <c r="AE40" s="1608"/>
      <c r="AF40" s="1608"/>
      <c r="AG40" s="1608"/>
      <c r="AH40" s="1608"/>
      <c r="AI40" s="1608"/>
      <c r="AJ40" s="1608"/>
      <c r="AK40" s="1608"/>
      <c r="AL40" s="1608"/>
      <c r="AM40" s="1608"/>
      <c r="AN40" s="1608"/>
      <c r="AO40" s="1608"/>
      <c r="AP40" s="1608"/>
      <c r="AQ40" s="1608"/>
      <c r="AR40" s="1608"/>
      <c r="AS40" s="1608"/>
      <c r="AT40" s="1608"/>
      <c r="AU40" s="1608"/>
      <c r="AV40" s="1608"/>
      <c r="AW40" s="1608"/>
      <c r="AX40" s="1608"/>
      <c r="AY40" s="1608"/>
      <c r="AZ40" s="1608"/>
    </row>
    <row r="41" spans="1:56" ht="19.8" thickBot="1">
      <c r="A41" s="2502"/>
      <c r="B41" s="1605" t="s">
        <v>1204</v>
      </c>
      <c r="C41" s="2502"/>
      <c r="D41" s="2502"/>
      <c r="E41" s="2502"/>
      <c r="F41" s="2504"/>
      <c r="G41" s="2501"/>
      <c r="H41" s="2492"/>
      <c r="I41" s="2495"/>
      <c r="J41" s="2489"/>
      <c r="K41" s="2489"/>
      <c r="L41" s="2489"/>
      <c r="M41" s="2489"/>
      <c r="N41" s="1608"/>
      <c r="O41" s="2489"/>
      <c r="P41" s="2489"/>
      <c r="Q41" s="2489"/>
      <c r="R41" s="2489"/>
      <c r="S41" s="2489"/>
      <c r="T41" s="2489"/>
      <c r="U41" s="1608"/>
      <c r="V41" s="1608"/>
      <c r="W41" s="1608"/>
      <c r="X41" s="1608"/>
      <c r="Y41" s="1608"/>
      <c r="Z41" s="1608"/>
      <c r="AA41" s="1608"/>
      <c r="AB41" s="1608"/>
      <c r="AC41" s="1608"/>
      <c r="AD41" s="1608"/>
      <c r="AE41" s="1608"/>
      <c r="AF41" s="1608"/>
      <c r="AG41" s="1608"/>
      <c r="AH41" s="1608"/>
      <c r="AI41" s="1608"/>
      <c r="AJ41" s="1608"/>
      <c r="AK41" s="1608"/>
      <c r="AL41" s="1608"/>
      <c r="AM41" s="1608"/>
      <c r="AN41" s="1608"/>
      <c r="AO41" s="1608"/>
      <c r="AP41" s="1608"/>
      <c r="AQ41" s="1608"/>
      <c r="AR41" s="1608"/>
      <c r="AS41" s="1608"/>
      <c r="AT41" s="1608"/>
      <c r="AU41" s="1608"/>
      <c r="AV41" s="1608"/>
      <c r="AW41" s="1608"/>
      <c r="AX41" s="1608"/>
      <c r="AY41" s="1608"/>
      <c r="AZ41" s="1608"/>
    </row>
    <row r="42" spans="1:56" ht="30.75" customHeight="1" thickBot="1">
      <c r="G42" s="1608"/>
      <c r="H42" s="1608"/>
      <c r="I42" s="1608"/>
      <c r="J42" s="1608"/>
      <c r="K42" s="1608"/>
      <c r="L42" s="1721">
        <f>SUM(L12:L41)</f>
        <v>5322076.8789760005</v>
      </c>
      <c r="M42" s="1720">
        <f>SUM(M12:M41)</f>
        <v>4510234.6431999998</v>
      </c>
      <c r="N42" s="1608"/>
      <c r="O42" s="1608"/>
      <c r="P42" s="1608"/>
      <c r="Q42" s="1608"/>
      <c r="R42" s="1608"/>
      <c r="S42" s="1608"/>
      <c r="T42" s="1608"/>
      <c r="U42" s="1608"/>
      <c r="V42" s="1608"/>
      <c r="W42" s="1608"/>
      <c r="X42" s="1608"/>
      <c r="Y42" s="1608"/>
      <c r="Z42" s="1608"/>
      <c r="AA42" s="1608"/>
      <c r="AB42" s="1608"/>
      <c r="AC42" s="1608"/>
      <c r="AD42" s="1608"/>
      <c r="AE42" s="1608"/>
      <c r="AF42" s="1608"/>
      <c r="AG42" s="1608"/>
      <c r="AH42" s="1608"/>
      <c r="AI42" s="1608"/>
      <c r="AJ42" s="1608"/>
      <c r="AK42" s="1608"/>
      <c r="AL42" s="1608"/>
      <c r="AM42" s="1608"/>
      <c r="AN42" s="1608"/>
      <c r="AO42" s="1608"/>
      <c r="AP42" s="1608"/>
      <c r="AQ42" s="1608"/>
      <c r="AR42" s="1608"/>
      <c r="AS42" s="1608"/>
      <c r="AT42" s="1608"/>
      <c r="AU42" s="1608"/>
      <c r="AV42" s="1608"/>
      <c r="AW42" s="1608"/>
      <c r="AX42" s="1608"/>
      <c r="AY42" s="1608"/>
      <c r="AZ42" s="1608"/>
    </row>
    <row r="43" spans="1:56" s="1608" customFormat="1" ht="19.8" thickBot="1">
      <c r="A43" s="1653" t="s">
        <v>1205</v>
      </c>
      <c r="B43" s="1661" t="s">
        <v>1206</v>
      </c>
      <c r="C43" s="1653" t="s">
        <v>1200</v>
      </c>
      <c r="D43" s="1653">
        <v>1</v>
      </c>
      <c r="E43" s="1653"/>
      <c r="F43" s="1653">
        <f>F35</f>
        <v>8.2400000000000001E-2</v>
      </c>
    </row>
    <row r="44" spans="1:56" ht="15" hidden="1" thickBot="1">
      <c r="A44" s="1662"/>
      <c r="B44" s="1662"/>
      <c r="C44" s="1662"/>
      <c r="D44" s="1662"/>
      <c r="E44" s="1662"/>
      <c r="G44" s="1608"/>
      <c r="H44" s="1608"/>
      <c r="I44" s="1608"/>
      <c r="J44" s="1608"/>
      <c r="K44" s="1608"/>
      <c r="L44" s="1608"/>
      <c r="M44" s="1608"/>
      <c r="N44" s="1608"/>
      <c r="O44" s="1608"/>
      <c r="P44" s="1608"/>
      <c r="Q44" s="1608"/>
      <c r="R44" s="1608"/>
      <c r="S44" s="1608"/>
      <c r="T44" s="1608"/>
      <c r="U44" s="1608"/>
      <c r="V44" s="1608"/>
      <c r="W44" s="1608"/>
      <c r="X44" s="1608"/>
      <c r="Y44" s="1608"/>
      <c r="Z44" s="1608"/>
      <c r="AA44" s="1608"/>
      <c r="AB44" s="1608"/>
      <c r="AC44" s="1608"/>
      <c r="AD44" s="1608"/>
      <c r="AE44" s="1608"/>
      <c r="AF44" s="1608"/>
      <c r="AG44" s="1608"/>
      <c r="AH44" s="1608"/>
      <c r="AI44" s="1608"/>
      <c r="AJ44" s="1608"/>
      <c r="AK44" s="1608"/>
      <c r="AL44" s="1608"/>
      <c r="AM44" s="1608"/>
      <c r="AN44" s="1608"/>
      <c r="AO44" s="1608"/>
      <c r="AP44" s="1608"/>
      <c r="AQ44" s="1608"/>
      <c r="AR44" s="1608"/>
      <c r="AS44" s="1608"/>
      <c r="AT44" s="1608"/>
      <c r="AU44" s="1608"/>
      <c r="AV44" s="1608"/>
      <c r="AW44" s="1608"/>
      <c r="AX44" s="1608"/>
      <c r="AY44" s="1608"/>
      <c r="AZ44" s="1608"/>
    </row>
    <row r="45" spans="1:56" s="1611" customFormat="1" ht="19.8" hidden="1" thickBot="1">
      <c r="A45" s="1661" t="s">
        <v>60</v>
      </c>
      <c r="B45" s="1661" t="s">
        <v>1207</v>
      </c>
      <c r="C45" s="1661" t="s">
        <v>1200</v>
      </c>
      <c r="D45" s="1661">
        <v>1</v>
      </c>
      <c r="E45" s="1661"/>
      <c r="F45" s="1654">
        <f>F33+F43</f>
        <v>37.710992000000012</v>
      </c>
      <c r="G45" s="1608"/>
      <c r="H45" s="1608"/>
      <c r="I45" s="1608"/>
      <c r="J45" s="1608"/>
      <c r="K45" s="1608"/>
      <c r="L45" s="1608"/>
      <c r="M45" s="1608"/>
      <c r="N45" s="1608"/>
      <c r="O45" s="1608"/>
      <c r="P45" s="1608"/>
      <c r="Q45" s="1608"/>
      <c r="R45" s="1608"/>
      <c r="S45" s="1608"/>
      <c r="T45" s="1608"/>
      <c r="U45" s="1608"/>
      <c r="V45" s="1608"/>
      <c r="W45" s="1608"/>
      <c r="X45" s="1608"/>
      <c r="Y45" s="1608"/>
      <c r="Z45" s="1608"/>
      <c r="AA45" s="1608"/>
      <c r="AB45" s="1608"/>
      <c r="AC45" s="1608"/>
      <c r="AD45" s="1608"/>
      <c r="AE45" s="1608"/>
      <c r="AF45" s="1608"/>
      <c r="AG45" s="1608"/>
      <c r="AH45" s="1608"/>
      <c r="AI45" s="1608"/>
      <c r="AJ45" s="1608"/>
      <c r="AK45" s="1608"/>
      <c r="AL45" s="1608"/>
      <c r="AM45" s="1608"/>
      <c r="AN45" s="1608"/>
      <c r="AO45" s="1608"/>
      <c r="AP45" s="1608"/>
      <c r="AQ45" s="1608"/>
      <c r="AR45" s="1608"/>
      <c r="AS45" s="1608"/>
      <c r="AT45" s="1608"/>
      <c r="AU45" s="1608"/>
      <c r="AV45" s="1608"/>
      <c r="AW45" s="1608"/>
      <c r="AX45" s="1608"/>
      <c r="AY45" s="1608"/>
      <c r="AZ45" s="1608"/>
      <c r="BA45" s="1612"/>
      <c r="BB45" s="1612"/>
      <c r="BC45" s="1612"/>
      <c r="BD45" s="1612"/>
    </row>
    <row r="46" spans="1:56" ht="19.8" thickBot="1">
      <c r="F46" s="1654" t="s">
        <v>1208</v>
      </c>
      <c r="G46" s="1608"/>
      <c r="H46" s="1608"/>
      <c r="I46" s="1608"/>
      <c r="J46" s="1608"/>
      <c r="K46" s="1608"/>
      <c r="L46" s="1608">
        <f>L42/10^7</f>
        <v>0.53220768789760009</v>
      </c>
      <c r="M46" s="1608">
        <f>M42/10^7</f>
        <v>0.45102346431999996</v>
      </c>
      <c r="N46" s="1608"/>
      <c r="O46" s="1608"/>
      <c r="P46" s="1608"/>
      <c r="Q46" s="1608"/>
      <c r="R46" s="1608"/>
      <c r="S46" s="1608"/>
      <c r="T46" s="1608"/>
      <c r="U46" s="1608"/>
      <c r="V46" s="1608"/>
      <c r="W46" s="1608"/>
      <c r="X46" s="1608"/>
      <c r="Y46" s="1608"/>
      <c r="Z46" s="1608"/>
      <c r="AA46" s="1608"/>
      <c r="AB46" s="1608"/>
      <c r="AC46" s="1608"/>
      <c r="AD46" s="1608"/>
      <c r="AE46" s="1608"/>
      <c r="AF46" s="1608"/>
      <c r="AG46" s="1608"/>
      <c r="AH46" s="1608"/>
      <c r="AI46" s="1608"/>
      <c r="AJ46" s="1608"/>
      <c r="AK46" s="1608"/>
      <c r="AL46" s="1608"/>
      <c r="AM46" s="1608"/>
      <c r="AN46" s="1608"/>
      <c r="AO46" s="1608"/>
      <c r="AP46" s="1608"/>
      <c r="AQ46" s="1608"/>
      <c r="AR46" s="1608"/>
      <c r="AS46" s="1608"/>
      <c r="AT46" s="1608"/>
      <c r="AU46" s="1608"/>
      <c r="AV46" s="1608"/>
      <c r="AW46" s="1608"/>
      <c r="AX46" s="1608"/>
      <c r="AY46" s="1608"/>
      <c r="AZ46" s="1608"/>
      <c r="BA46" s="1613"/>
      <c r="BB46" s="1613"/>
      <c r="BC46" s="1613"/>
      <c r="BD46" s="1613"/>
    </row>
    <row r="47" spans="1:56">
      <c r="G47" s="1608"/>
      <c r="H47" s="1608"/>
      <c r="I47" s="1608"/>
      <c r="J47" s="1608"/>
      <c r="K47" s="1608"/>
      <c r="L47" s="1608"/>
      <c r="M47" s="1608"/>
      <c r="N47" s="1608"/>
      <c r="O47" s="1608"/>
      <c r="P47" s="1608"/>
      <c r="Q47" s="1608"/>
      <c r="R47" s="1608"/>
      <c r="S47" s="1608"/>
      <c r="T47" s="1608"/>
      <c r="U47" s="1608"/>
      <c r="V47" s="1608"/>
      <c r="W47" s="1608"/>
      <c r="X47" s="1608"/>
      <c r="Y47" s="1608"/>
      <c r="Z47" s="1608"/>
      <c r="AA47" s="1608"/>
      <c r="AB47" s="1608"/>
      <c r="AC47" s="1608"/>
      <c r="AD47" s="1608"/>
      <c r="AE47" s="1608"/>
      <c r="AF47" s="1608"/>
      <c r="AG47" s="1608"/>
      <c r="AH47" s="1608"/>
      <c r="AI47" s="1608"/>
      <c r="AJ47" s="1608"/>
      <c r="AK47" s="1608"/>
      <c r="AL47" s="1608"/>
      <c r="AM47" s="1608"/>
      <c r="AN47" s="1608"/>
      <c r="AO47" s="1608"/>
      <c r="AP47" s="1608"/>
      <c r="AQ47" s="1608"/>
      <c r="AR47" s="1608"/>
      <c r="AS47" s="1608"/>
      <c r="AT47" s="1608"/>
      <c r="AU47" s="1608"/>
      <c r="AV47" s="1608"/>
      <c r="AW47" s="1608"/>
      <c r="AX47" s="1608"/>
      <c r="AY47" s="1608"/>
      <c r="AZ47" s="1608"/>
    </row>
    <row r="48" spans="1:56">
      <c r="G48" s="1608"/>
      <c r="H48" s="1608"/>
      <c r="I48" s="1608"/>
      <c r="J48" s="1608"/>
      <c r="K48" s="1608"/>
      <c r="L48" s="1608"/>
      <c r="M48" s="1608"/>
      <c r="N48" s="1608"/>
      <c r="O48" s="1608"/>
      <c r="P48" s="1608"/>
      <c r="Q48" s="1608"/>
      <c r="R48" s="1608"/>
      <c r="S48" s="1608"/>
      <c r="T48" s="1608"/>
      <c r="U48" s="1608"/>
      <c r="V48" s="1608"/>
      <c r="W48" s="1608"/>
      <c r="X48" s="1608"/>
      <c r="Y48" s="1608"/>
      <c r="Z48" s="1608"/>
      <c r="AA48" s="1608"/>
      <c r="AB48" s="1608"/>
      <c r="AC48" s="1608"/>
      <c r="AD48" s="1608"/>
      <c r="AE48" s="1608"/>
      <c r="AF48" s="1608"/>
      <c r="AG48" s="1608"/>
      <c r="AH48" s="1608"/>
      <c r="AI48" s="1608"/>
      <c r="AJ48" s="1608"/>
      <c r="AK48" s="1608"/>
      <c r="AL48" s="1608"/>
      <c r="AM48" s="1608"/>
      <c r="AN48" s="1608"/>
      <c r="AO48" s="1608"/>
      <c r="AP48" s="1608"/>
      <c r="AQ48" s="1608"/>
      <c r="AR48" s="1608"/>
      <c r="AS48" s="1608"/>
      <c r="AT48" s="1608"/>
      <c r="AU48" s="1608"/>
      <c r="AV48" s="1608"/>
      <c r="AW48" s="1608"/>
      <c r="AX48" s="1608"/>
      <c r="AY48" s="1608"/>
      <c r="AZ48" s="1608"/>
    </row>
    <row r="49" spans="1:52">
      <c r="V49" s="1608"/>
      <c r="W49" s="1608"/>
      <c r="X49" s="1608"/>
      <c r="Y49" s="1608"/>
      <c r="Z49" s="1608"/>
      <c r="AA49" s="1608"/>
      <c r="AB49" s="1608"/>
      <c r="AC49" s="1608"/>
      <c r="AD49" s="1608"/>
      <c r="AE49" s="1608"/>
      <c r="AF49" s="1608"/>
      <c r="AG49" s="1608"/>
      <c r="AH49" s="1608"/>
      <c r="AI49" s="1608"/>
      <c r="AJ49" s="1608"/>
      <c r="AK49" s="1608"/>
      <c r="AL49" s="1608"/>
      <c r="AM49" s="1608"/>
      <c r="AN49" s="1608"/>
      <c r="AO49" s="1608"/>
      <c r="AP49" s="1608"/>
      <c r="AQ49" s="1608"/>
      <c r="AR49" s="1608"/>
      <c r="AS49" s="1608"/>
      <c r="AT49" s="1608"/>
      <c r="AU49" s="1608"/>
      <c r="AV49" s="1608"/>
      <c r="AW49" s="1608"/>
      <c r="AX49" s="1608"/>
      <c r="AY49" s="1608"/>
      <c r="AZ49" s="1608"/>
    </row>
    <row r="60" spans="1:52" ht="38.4">
      <c r="A60" s="1599" t="s">
        <v>1179</v>
      </c>
      <c r="B60" s="1599" t="s">
        <v>294</v>
      </c>
      <c r="C60" s="1599" t="s">
        <v>198</v>
      </c>
      <c r="D60" s="1599" t="s">
        <v>1180</v>
      </c>
      <c r="E60" s="1599" t="s">
        <v>1304</v>
      </c>
      <c r="F60" s="1599" t="s">
        <v>1182</v>
      </c>
      <c r="G60" s="1666"/>
      <c r="H60" s="1666"/>
      <c r="I60" s="1666"/>
      <c r="J60" s="1666"/>
      <c r="K60" s="1666"/>
      <c r="L60" s="1666"/>
      <c r="M60" s="1666"/>
      <c r="O60" s="1600"/>
      <c r="P60" s="1600"/>
      <c r="Q60" s="1600"/>
      <c r="R60" s="1600"/>
      <c r="S60" s="1600"/>
      <c r="T60" s="1600"/>
    </row>
    <row r="61" spans="1:52" ht="19.2">
      <c r="A61" s="1600" t="s">
        <v>197</v>
      </c>
      <c r="B61" s="1600" t="s">
        <v>61</v>
      </c>
      <c r="C61" s="1600" t="s">
        <v>62</v>
      </c>
      <c r="D61" s="1600" t="s">
        <v>63</v>
      </c>
      <c r="E61" s="1600" t="s">
        <v>64</v>
      </c>
      <c r="F61" s="1600"/>
      <c r="G61" s="1600"/>
      <c r="H61" s="1600"/>
      <c r="I61" s="1600"/>
      <c r="J61" s="1600"/>
      <c r="K61" s="1600"/>
      <c r="L61" s="1600"/>
      <c r="M61" s="1600"/>
      <c r="N61" s="1600"/>
      <c r="O61" s="1600"/>
      <c r="P61" s="1600"/>
      <c r="Q61" s="1600"/>
      <c r="R61" s="1600"/>
      <c r="S61" s="1600"/>
      <c r="T61" s="1600"/>
    </row>
    <row r="62" spans="1:52" ht="19.8" thickBot="1">
      <c r="A62" s="1600"/>
      <c r="B62" s="1600"/>
      <c r="C62" s="1600"/>
      <c r="D62" s="1600"/>
      <c r="E62" s="1600"/>
      <c r="F62" s="1600"/>
      <c r="G62" s="1666"/>
      <c r="H62" s="1666"/>
      <c r="I62" s="1666"/>
      <c r="J62" s="1666"/>
      <c r="K62" s="1666"/>
      <c r="L62" s="1666"/>
      <c r="M62" s="1666"/>
      <c r="O62" s="1600"/>
      <c r="P62" s="1600"/>
      <c r="Q62" s="1600"/>
      <c r="R62" s="1600"/>
      <c r="S62" s="1600"/>
      <c r="T62" s="1600"/>
    </row>
    <row r="63" spans="1:52" ht="250.2" thickBot="1">
      <c r="A63" s="1614" t="s">
        <v>1209</v>
      </c>
      <c r="B63" s="1611" t="s">
        <v>1210</v>
      </c>
      <c r="C63" s="1615" t="s">
        <v>1211</v>
      </c>
      <c r="D63" s="1615">
        <v>300</v>
      </c>
      <c r="E63" s="1667">
        <v>85000</v>
      </c>
      <c r="F63" s="1669">
        <f>D63*E63/10^5</f>
        <v>255</v>
      </c>
      <c r="G63" s="1669">
        <f>E63*F63/10^5</f>
        <v>216.75</v>
      </c>
      <c r="H63" s="1670" t="s">
        <v>0</v>
      </c>
    </row>
    <row r="64" spans="1:52" ht="173.4" thickBot="1">
      <c r="A64" s="1616" t="s">
        <v>1212</v>
      </c>
      <c r="B64" s="1604" t="s">
        <v>1213</v>
      </c>
      <c r="C64" s="1617" t="s">
        <v>1211</v>
      </c>
      <c r="D64" s="1617">
        <v>300</v>
      </c>
      <c r="E64" s="1667">
        <f>17440</f>
        <v>17440</v>
      </c>
      <c r="F64" s="1667">
        <f t="shared" ref="F64:G69" si="25">D64*E64/10^5</f>
        <v>52.32</v>
      </c>
      <c r="G64" s="1667">
        <f t="shared" si="25"/>
        <v>9.1246080000000003</v>
      </c>
    </row>
    <row r="65" spans="1:8" ht="269.39999999999998" thickBot="1">
      <c r="A65" s="1616" t="s">
        <v>1214</v>
      </c>
      <c r="B65" s="1618" t="s">
        <v>1215</v>
      </c>
      <c r="C65" s="1617" t="s">
        <v>1211</v>
      </c>
      <c r="D65" s="1617">
        <v>3</v>
      </c>
      <c r="E65" s="1667">
        <v>92650</v>
      </c>
      <c r="F65" s="1669">
        <f t="shared" si="25"/>
        <v>2.7795000000000001</v>
      </c>
      <c r="G65" s="1669">
        <f t="shared" si="25"/>
        <v>2.57520675</v>
      </c>
    </row>
    <row r="66" spans="1:8" ht="115.8" thickBot="1">
      <c r="A66" s="1616" t="s">
        <v>1216</v>
      </c>
      <c r="B66" s="1619" t="s">
        <v>1217</v>
      </c>
      <c r="C66" s="1617" t="s">
        <v>1218</v>
      </c>
      <c r="D66" s="1617">
        <v>3500</v>
      </c>
      <c r="E66" s="1667">
        <v>1635</v>
      </c>
      <c r="F66" s="1667">
        <f t="shared" si="25"/>
        <v>57.225000000000001</v>
      </c>
      <c r="G66" s="1667">
        <f t="shared" si="25"/>
        <v>0.93562875000000001</v>
      </c>
    </row>
    <row r="67" spans="1:8" ht="115.8" thickBot="1">
      <c r="A67" s="1616" t="s">
        <v>1219</v>
      </c>
      <c r="B67" s="1619" t="s">
        <v>1220</v>
      </c>
      <c r="C67" s="1617" t="s">
        <v>1218</v>
      </c>
      <c r="D67" s="1620">
        <v>100</v>
      </c>
      <c r="F67" s="1667">
        <f t="shared" si="25"/>
        <v>0</v>
      </c>
      <c r="G67" s="1667">
        <f t="shared" si="25"/>
        <v>0</v>
      </c>
    </row>
    <row r="68" spans="1:8" ht="135" thickBot="1">
      <c r="A68" s="1616" t="s">
        <v>1221</v>
      </c>
      <c r="B68" s="1619" t="s">
        <v>1222</v>
      </c>
      <c r="C68" s="1617" t="s">
        <v>1211</v>
      </c>
      <c r="D68" s="1620">
        <v>130</v>
      </c>
      <c r="E68" s="1667">
        <v>13080</v>
      </c>
      <c r="F68" s="1669">
        <f t="shared" si="25"/>
        <v>17.004000000000001</v>
      </c>
      <c r="G68" s="1669">
        <f t="shared" si="25"/>
        <v>2.2241232000000002</v>
      </c>
    </row>
    <row r="69" spans="1:8" ht="135" thickBot="1">
      <c r="A69" s="1621" t="s">
        <v>1223</v>
      </c>
      <c r="B69" s="1619" t="s">
        <v>1224</v>
      </c>
      <c r="C69" s="1617" t="s">
        <v>1225</v>
      </c>
      <c r="D69" s="1620">
        <v>2500</v>
      </c>
      <c r="F69" s="1667">
        <f t="shared" si="25"/>
        <v>0</v>
      </c>
      <c r="G69" s="1667">
        <f t="shared" si="25"/>
        <v>0</v>
      </c>
    </row>
    <row r="80" spans="1:8">
      <c r="H80" s="1668" t="s">
        <v>1305</v>
      </c>
    </row>
    <row r="83" spans="1:7" ht="38.4">
      <c r="A83" s="1599" t="s">
        <v>1179</v>
      </c>
      <c r="B83" s="1599" t="s">
        <v>294</v>
      </c>
      <c r="C83" s="1599" t="s">
        <v>198</v>
      </c>
      <c r="D83" s="1599" t="s">
        <v>1180</v>
      </c>
      <c r="E83" s="1599" t="s">
        <v>1181</v>
      </c>
      <c r="F83" s="1599" t="s">
        <v>1182</v>
      </c>
      <c r="G83" s="1599" t="s">
        <v>1226</v>
      </c>
    </row>
    <row r="84" spans="1:7" ht="19.2">
      <c r="A84" s="2484" t="s">
        <v>33</v>
      </c>
      <c r="B84" s="2484"/>
      <c r="C84" s="2484"/>
      <c r="D84" s="2484"/>
      <c r="E84" s="2484"/>
      <c r="F84" s="2484"/>
      <c r="G84" s="1613"/>
    </row>
    <row r="85" spans="1:7" ht="96">
      <c r="A85" s="1622" t="s">
        <v>1227</v>
      </c>
      <c r="B85" s="1612" t="s">
        <v>1228</v>
      </c>
      <c r="C85" s="1623" t="s">
        <v>673</v>
      </c>
      <c r="D85" s="1624">
        <v>70</v>
      </c>
      <c r="E85" s="1625">
        <v>2928.1</v>
      </c>
      <c r="F85" s="1623">
        <f>E85*D85</f>
        <v>204967</v>
      </c>
      <c r="G85" s="1626" t="s">
        <v>1229</v>
      </c>
    </row>
    <row r="86" spans="1:7" ht="96">
      <c r="A86" s="1622" t="s">
        <v>1230</v>
      </c>
      <c r="B86" s="1612" t="s">
        <v>1231</v>
      </c>
      <c r="C86" s="1623" t="s">
        <v>673</v>
      </c>
      <c r="D86" s="1624">
        <v>2</v>
      </c>
      <c r="E86" s="1625">
        <v>2007.1</v>
      </c>
      <c r="F86" s="1623">
        <f t="shared" ref="F86:F98" si="26">E86*D86</f>
        <v>4014.2</v>
      </c>
      <c r="G86" s="1626" t="s">
        <v>1232</v>
      </c>
    </row>
    <row r="87" spans="1:7" ht="96">
      <c r="A87" s="1622" t="s">
        <v>1233</v>
      </c>
      <c r="B87" s="1612" t="s">
        <v>1234</v>
      </c>
      <c r="C87" s="1623" t="s">
        <v>673</v>
      </c>
      <c r="D87" s="1624">
        <v>10</v>
      </c>
      <c r="E87" s="1625">
        <v>2619.4499999999998</v>
      </c>
      <c r="F87" s="1623">
        <f t="shared" si="26"/>
        <v>26194.5</v>
      </c>
      <c r="G87" s="1626" t="s">
        <v>1067</v>
      </c>
    </row>
    <row r="88" spans="1:7" ht="19.2">
      <c r="A88" s="2485" t="s">
        <v>1235</v>
      </c>
      <c r="B88" s="2486"/>
      <c r="C88" s="1627"/>
      <c r="D88" s="1627"/>
      <c r="E88" s="1627"/>
      <c r="F88" s="1628"/>
      <c r="G88" s="1613"/>
    </row>
    <row r="89" spans="1:7" ht="172.8">
      <c r="A89" s="1622" t="s">
        <v>1236</v>
      </c>
      <c r="B89" s="1612" t="s">
        <v>1237</v>
      </c>
      <c r="C89" s="1623" t="s">
        <v>673</v>
      </c>
      <c r="D89" s="1624">
        <v>200</v>
      </c>
      <c r="E89" s="1625">
        <f>286.85</f>
        <v>286.85000000000002</v>
      </c>
      <c r="F89" s="1623">
        <f t="shared" si="26"/>
        <v>57370.000000000007</v>
      </c>
      <c r="G89" s="1626" t="s">
        <v>1238</v>
      </c>
    </row>
    <row r="90" spans="1:7" ht="57.6">
      <c r="A90" s="1622" t="s">
        <v>1239</v>
      </c>
      <c r="B90" s="1622" t="s">
        <v>1240</v>
      </c>
      <c r="C90" s="1623" t="s">
        <v>673</v>
      </c>
      <c r="D90" s="1624">
        <v>80</v>
      </c>
      <c r="E90" s="1625">
        <v>253.95</v>
      </c>
      <c r="F90" s="1623">
        <f t="shared" si="26"/>
        <v>20316</v>
      </c>
      <c r="G90" s="1626" t="s">
        <v>1241</v>
      </c>
    </row>
    <row r="91" spans="1:7" ht="96">
      <c r="A91" s="1612" t="s">
        <v>1242</v>
      </c>
      <c r="B91" s="1612" t="s">
        <v>1243</v>
      </c>
      <c r="C91" s="1624" t="s">
        <v>673</v>
      </c>
      <c r="D91" s="1624">
        <v>120</v>
      </c>
      <c r="E91" s="1625">
        <v>271.45</v>
      </c>
      <c r="F91" s="1623">
        <f t="shared" si="26"/>
        <v>32574</v>
      </c>
      <c r="G91" s="1626" t="s">
        <v>1244</v>
      </c>
    </row>
    <row r="92" spans="1:7" ht="38.4">
      <c r="A92" s="1612" t="s">
        <v>1245</v>
      </c>
      <c r="B92" s="1612" t="s">
        <v>1246</v>
      </c>
      <c r="C92" s="1624" t="s">
        <v>673</v>
      </c>
      <c r="D92" s="1624">
        <v>5</v>
      </c>
      <c r="E92" s="1625">
        <v>2161.1999999999998</v>
      </c>
      <c r="F92" s="1623">
        <f t="shared" si="26"/>
        <v>10806</v>
      </c>
      <c r="G92" s="1626" t="s">
        <v>1247</v>
      </c>
    </row>
    <row r="93" spans="1:7" ht="57.6">
      <c r="A93" s="1612" t="s">
        <v>1248</v>
      </c>
      <c r="B93" s="1612" t="s">
        <v>1249</v>
      </c>
      <c r="C93" s="1624" t="s">
        <v>1225</v>
      </c>
      <c r="D93" s="1624">
        <v>200</v>
      </c>
      <c r="E93" s="1625">
        <v>28.15</v>
      </c>
      <c r="F93" s="1623">
        <f t="shared" si="26"/>
        <v>5630</v>
      </c>
      <c r="G93" s="1626" t="s">
        <v>1250</v>
      </c>
    </row>
    <row r="94" spans="1:7" ht="19.2">
      <c r="A94" s="2485" t="s">
        <v>1251</v>
      </c>
      <c r="B94" s="2486"/>
      <c r="C94" s="1627"/>
      <c r="D94" s="1627"/>
      <c r="E94" s="1627"/>
      <c r="F94" s="1628"/>
      <c r="G94" s="1613"/>
    </row>
    <row r="95" spans="1:7" ht="115.2">
      <c r="A95" s="1612" t="s">
        <v>1252</v>
      </c>
      <c r="B95" s="1612" t="s">
        <v>1253</v>
      </c>
      <c r="C95" s="1624" t="s">
        <v>564</v>
      </c>
      <c r="D95" s="1624">
        <v>1</v>
      </c>
      <c r="E95" s="1625">
        <v>50000</v>
      </c>
      <c r="F95" s="1623">
        <f t="shared" si="26"/>
        <v>50000</v>
      </c>
      <c r="G95" s="1626" t="s">
        <v>1254</v>
      </c>
    </row>
    <row r="96" spans="1:7" ht="192">
      <c r="A96" s="1622" t="s">
        <v>1255</v>
      </c>
      <c r="B96" s="1629" t="s">
        <v>1256</v>
      </c>
      <c r="C96" s="1623" t="s">
        <v>1039</v>
      </c>
      <c r="D96" s="1624">
        <v>360</v>
      </c>
      <c r="E96" s="1630">
        <v>3060.1</v>
      </c>
      <c r="F96" s="1623">
        <f t="shared" si="26"/>
        <v>1101636</v>
      </c>
      <c r="G96" s="1631" t="s">
        <v>1080</v>
      </c>
    </row>
    <row r="97" spans="1:7" ht="154.19999999999999">
      <c r="A97" s="1612" t="s">
        <v>1257</v>
      </c>
      <c r="B97" s="1605" t="s">
        <v>1258</v>
      </c>
      <c r="C97" s="1632" t="s">
        <v>1259</v>
      </c>
      <c r="D97" s="1624">
        <v>8</v>
      </c>
      <c r="E97" s="1630">
        <v>89650</v>
      </c>
      <c r="F97" s="1623">
        <f t="shared" si="26"/>
        <v>717200</v>
      </c>
      <c r="G97" s="1633" t="s">
        <v>750</v>
      </c>
    </row>
    <row r="98" spans="1:7" ht="57.6">
      <c r="A98" s="1634" t="s">
        <v>1260</v>
      </c>
      <c r="B98" s="1635" t="s">
        <v>1261</v>
      </c>
      <c r="C98" s="1636" t="s">
        <v>1259</v>
      </c>
      <c r="D98" s="1637">
        <v>3</v>
      </c>
      <c r="E98" s="1638">
        <v>93050</v>
      </c>
      <c r="F98" s="1623">
        <f t="shared" si="26"/>
        <v>279150</v>
      </c>
      <c r="G98" s="1633" t="s">
        <v>1078</v>
      </c>
    </row>
    <row r="99" spans="1:7" ht="115.2">
      <c r="A99" s="1634" t="s">
        <v>1262</v>
      </c>
      <c r="B99" s="1639" t="s">
        <v>1263</v>
      </c>
      <c r="C99" s="1636"/>
      <c r="D99" s="1637"/>
      <c r="E99" s="1640"/>
      <c r="F99" s="1640"/>
      <c r="G99" s="1613"/>
    </row>
    <row r="100" spans="1:7" ht="38.4">
      <c r="A100" s="1634"/>
      <c r="B100" s="1639" t="s">
        <v>1264</v>
      </c>
      <c r="C100" s="1636"/>
      <c r="D100" s="1637"/>
      <c r="E100" s="1640"/>
      <c r="F100" s="1640"/>
      <c r="G100" s="1613"/>
    </row>
    <row r="101" spans="1:7" ht="38.4">
      <c r="A101" s="1634"/>
      <c r="B101" s="1639" t="s">
        <v>1265</v>
      </c>
      <c r="C101" s="1636"/>
      <c r="D101" s="1637"/>
      <c r="E101" s="1640"/>
      <c r="F101" s="1640"/>
      <c r="G101" s="1613"/>
    </row>
    <row r="102" spans="1:7" ht="57.6">
      <c r="A102" s="1634"/>
      <c r="B102" s="1639" t="s">
        <v>1266</v>
      </c>
      <c r="C102" s="1636"/>
      <c r="D102" s="1637"/>
      <c r="E102" s="1640"/>
      <c r="F102" s="1640"/>
      <c r="G102" s="1613"/>
    </row>
    <row r="103" spans="1:7" ht="38.4">
      <c r="A103" s="1634"/>
      <c r="B103" s="1639" t="s">
        <v>1267</v>
      </c>
      <c r="C103" s="1636"/>
      <c r="D103" s="1637"/>
      <c r="E103" s="1640"/>
      <c r="F103" s="1640"/>
      <c r="G103" s="1613"/>
    </row>
    <row r="104" spans="1:7" ht="19.2">
      <c r="A104" s="1641" t="s">
        <v>937</v>
      </c>
      <c r="B104" s="1635" t="s">
        <v>1268</v>
      </c>
      <c r="C104" s="1637" t="s">
        <v>768</v>
      </c>
      <c r="D104" s="1637">
        <v>1</v>
      </c>
      <c r="E104" s="1630">
        <v>57531.3</v>
      </c>
      <c r="F104" s="1623">
        <f t="shared" ref="F104:F115" si="27">E104*D104</f>
        <v>57531.3</v>
      </c>
      <c r="G104" s="1633" t="s">
        <v>1269</v>
      </c>
    </row>
    <row r="105" spans="1:7" ht="19.2">
      <c r="A105" s="1641" t="s">
        <v>938</v>
      </c>
      <c r="B105" s="1635" t="s">
        <v>1270</v>
      </c>
      <c r="C105" s="1637" t="s">
        <v>768</v>
      </c>
      <c r="D105" s="1637">
        <v>1</v>
      </c>
      <c r="E105" s="1630">
        <v>30505</v>
      </c>
      <c r="F105" s="1623">
        <f t="shared" si="27"/>
        <v>30505</v>
      </c>
      <c r="G105" s="1633" t="s">
        <v>1271</v>
      </c>
    </row>
    <row r="106" spans="1:7" ht="19.2">
      <c r="A106" s="1641" t="s">
        <v>939</v>
      </c>
      <c r="B106" s="1635" t="s">
        <v>1272</v>
      </c>
      <c r="C106" s="1637" t="s">
        <v>768</v>
      </c>
      <c r="D106" s="1637">
        <v>1</v>
      </c>
      <c r="E106" s="1638">
        <v>45000</v>
      </c>
      <c r="F106" s="1623">
        <f t="shared" si="27"/>
        <v>45000</v>
      </c>
      <c r="G106" s="1633" t="s">
        <v>1254</v>
      </c>
    </row>
    <row r="107" spans="1:7" ht="19.2">
      <c r="A107" s="2485" t="s">
        <v>1273</v>
      </c>
      <c r="B107" s="2486"/>
      <c r="C107" s="1627"/>
      <c r="D107" s="1627"/>
      <c r="E107" s="1627"/>
      <c r="F107" s="1628"/>
      <c r="G107" s="1613"/>
    </row>
    <row r="108" spans="1:7" ht="96">
      <c r="A108" s="1622" t="s">
        <v>1274</v>
      </c>
      <c r="B108" s="1605" t="s">
        <v>1275</v>
      </c>
      <c r="C108" s="1623" t="s">
        <v>673</v>
      </c>
      <c r="D108" s="1624">
        <v>10</v>
      </c>
      <c r="E108" s="1625">
        <v>6833.4</v>
      </c>
      <c r="F108" s="1623">
        <f t="shared" si="27"/>
        <v>68334</v>
      </c>
      <c r="G108" s="1633" t="s">
        <v>1069</v>
      </c>
    </row>
    <row r="109" spans="1:7" ht="135">
      <c r="A109" s="1622" t="s">
        <v>1276</v>
      </c>
      <c r="B109" s="1629" t="s">
        <v>1277</v>
      </c>
      <c r="C109" s="1623" t="s">
        <v>673</v>
      </c>
      <c r="D109" s="1624">
        <v>2</v>
      </c>
      <c r="E109" s="1642">
        <f>1.1*8599.35</f>
        <v>9459.2850000000017</v>
      </c>
      <c r="F109" s="1623">
        <f t="shared" si="27"/>
        <v>18918.570000000003</v>
      </c>
      <c r="G109" s="1643" t="s">
        <v>1073</v>
      </c>
    </row>
    <row r="110" spans="1:7" ht="172.8">
      <c r="A110" s="1622" t="s">
        <v>1278</v>
      </c>
      <c r="B110" s="1605" t="s">
        <v>1279</v>
      </c>
      <c r="C110" s="1623" t="s">
        <v>673</v>
      </c>
      <c r="D110" s="1624">
        <v>90</v>
      </c>
      <c r="E110" s="1625">
        <v>7997.3</v>
      </c>
      <c r="F110" s="1623">
        <f t="shared" si="27"/>
        <v>719757</v>
      </c>
      <c r="G110" s="1626" t="s">
        <v>1280</v>
      </c>
    </row>
    <row r="111" spans="1:7" ht="96.6">
      <c r="A111" s="1612" t="s">
        <v>1281</v>
      </c>
      <c r="B111" s="1605" t="s">
        <v>1282</v>
      </c>
      <c r="C111" s="1624" t="s">
        <v>1259</v>
      </c>
      <c r="D111" s="1624">
        <v>10</v>
      </c>
      <c r="E111" s="1638">
        <v>89500</v>
      </c>
      <c r="F111" s="1623">
        <f t="shared" si="27"/>
        <v>895000</v>
      </c>
      <c r="G111" s="1633" t="s">
        <v>750</v>
      </c>
    </row>
    <row r="112" spans="1:7" ht="19.2">
      <c r="A112" s="2485" t="s">
        <v>1283</v>
      </c>
      <c r="B112" s="2486"/>
      <c r="C112" s="1627"/>
      <c r="D112" s="1627"/>
      <c r="E112" s="1627"/>
      <c r="F112" s="1628"/>
      <c r="G112" s="1613"/>
    </row>
    <row r="113" spans="1:7" ht="57.6">
      <c r="A113" s="1612" t="s">
        <v>1284</v>
      </c>
      <c r="B113" s="1605" t="s">
        <v>1285</v>
      </c>
      <c r="C113" s="1624" t="s">
        <v>1225</v>
      </c>
      <c r="D113" s="1624">
        <v>75</v>
      </c>
      <c r="E113" s="1625">
        <v>76.400000000000006</v>
      </c>
      <c r="F113" s="1623">
        <f t="shared" si="27"/>
        <v>5730</v>
      </c>
      <c r="G113" s="1631" t="s">
        <v>1286</v>
      </c>
    </row>
    <row r="114" spans="1:7" ht="153.6">
      <c r="A114" s="1612" t="s">
        <v>1287</v>
      </c>
      <c r="B114" s="1605" t="s">
        <v>1288</v>
      </c>
      <c r="C114" s="1624" t="s">
        <v>673</v>
      </c>
      <c r="D114" s="1624">
        <v>5</v>
      </c>
      <c r="E114" s="1625">
        <v>27763.65</v>
      </c>
      <c r="F114" s="1623">
        <f t="shared" si="27"/>
        <v>138818.25</v>
      </c>
      <c r="G114" s="1644">
        <v>5.36</v>
      </c>
    </row>
    <row r="115" spans="1:7" ht="134.4">
      <c r="A115" s="1612" t="s">
        <v>1289</v>
      </c>
      <c r="B115" s="1605" t="s">
        <v>1290</v>
      </c>
      <c r="C115" s="1624" t="s">
        <v>1259</v>
      </c>
      <c r="D115" s="1624">
        <v>2</v>
      </c>
      <c r="E115" s="1630">
        <v>93050</v>
      </c>
      <c r="F115" s="1623">
        <f t="shared" si="27"/>
        <v>186100</v>
      </c>
      <c r="G115" s="1626" t="s">
        <v>1078</v>
      </c>
    </row>
    <row r="116" spans="1:7" ht="20.399999999999999">
      <c r="D116" s="1645"/>
      <c r="E116" s="1646" t="s">
        <v>9</v>
      </c>
      <c r="F116" s="1647">
        <f>SUM(F85:F115)</f>
        <v>4675551.82</v>
      </c>
    </row>
  </sheetData>
  <mergeCells count="82">
    <mergeCell ref="G35:G41"/>
    <mergeCell ref="A26:A32"/>
    <mergeCell ref="C26:C32"/>
    <mergeCell ref="D26:D32"/>
    <mergeCell ref="E26:E32"/>
    <mergeCell ref="F26:F32"/>
    <mergeCell ref="G26:G32"/>
    <mergeCell ref="A35:A41"/>
    <mergeCell ref="C35:C41"/>
    <mergeCell ref="D35:D41"/>
    <mergeCell ref="E35:E41"/>
    <mergeCell ref="F35:F41"/>
    <mergeCell ref="G12:G18"/>
    <mergeCell ref="A19:A25"/>
    <mergeCell ref="C19:C25"/>
    <mergeCell ref="D19:D25"/>
    <mergeCell ref="E19:E25"/>
    <mergeCell ref="F19:F25"/>
    <mergeCell ref="G19:G25"/>
    <mergeCell ref="A12:A18"/>
    <mergeCell ref="C12:C18"/>
    <mergeCell ref="D12:D18"/>
    <mergeCell ref="E12:E18"/>
    <mergeCell ref="F12:F18"/>
    <mergeCell ref="A1:I1"/>
    <mergeCell ref="A2:I2"/>
    <mergeCell ref="A3:I3"/>
    <mergeCell ref="A4:I4"/>
    <mergeCell ref="A5:I5"/>
    <mergeCell ref="L12:L18"/>
    <mergeCell ref="L19:L25"/>
    <mergeCell ref="L26:L32"/>
    <mergeCell ref="L35:L41"/>
    <mergeCell ref="H12:H18"/>
    <mergeCell ref="H19:H25"/>
    <mergeCell ref="H26:H32"/>
    <mergeCell ref="H35:H41"/>
    <mergeCell ref="I12:I18"/>
    <mergeCell ref="I19:I25"/>
    <mergeCell ref="I26:I32"/>
    <mergeCell ref="I35:I41"/>
    <mergeCell ref="J12:J18"/>
    <mergeCell ref="J19:J25"/>
    <mergeCell ref="J26:J32"/>
    <mergeCell ref="J35:J41"/>
    <mergeCell ref="P12:P18"/>
    <mergeCell ref="P19:P25"/>
    <mergeCell ref="P26:P32"/>
    <mergeCell ref="P35:P41"/>
    <mergeCell ref="K12:K18"/>
    <mergeCell ref="K19:K25"/>
    <mergeCell ref="K26:K32"/>
    <mergeCell ref="K35:K41"/>
    <mergeCell ref="M12:M18"/>
    <mergeCell ref="M19:M25"/>
    <mergeCell ref="M26:M32"/>
    <mergeCell ref="M35:M41"/>
    <mergeCell ref="O12:O18"/>
    <mergeCell ref="O19:O25"/>
    <mergeCell ref="O26:O32"/>
    <mergeCell ref="O35:O41"/>
    <mergeCell ref="T12:T18"/>
    <mergeCell ref="T19:T25"/>
    <mergeCell ref="T26:T32"/>
    <mergeCell ref="T35:T41"/>
    <mergeCell ref="Q12:Q18"/>
    <mergeCell ref="R12:R18"/>
    <mergeCell ref="S12:S18"/>
    <mergeCell ref="Q19:Q25"/>
    <mergeCell ref="R19:R25"/>
    <mergeCell ref="S19:S25"/>
    <mergeCell ref="S26:S32"/>
    <mergeCell ref="Q35:Q41"/>
    <mergeCell ref="R35:R41"/>
    <mergeCell ref="S35:S41"/>
    <mergeCell ref="Q26:Q32"/>
    <mergeCell ref="R26:R32"/>
    <mergeCell ref="A84:F84"/>
    <mergeCell ref="A94:B94"/>
    <mergeCell ref="A107:B107"/>
    <mergeCell ref="A112:B112"/>
    <mergeCell ref="A88:B88"/>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D116"/>
  <sheetViews>
    <sheetView zoomScale="55" zoomScaleNormal="55" workbookViewId="0">
      <selection activeCell="M58" sqref="M58"/>
    </sheetView>
  </sheetViews>
  <sheetFormatPr defaultColWidth="8.90625" defaultRowHeight="14.4"/>
  <cols>
    <col min="1" max="1" width="8.90625" style="1797"/>
    <col min="2" max="2" width="67.36328125" style="1797" customWidth="1"/>
    <col min="3" max="4" width="8.90625" style="1797"/>
    <col min="5" max="5" width="11.08984375" style="1797" customWidth="1"/>
    <col min="6" max="6" width="9.6328125" style="1797" customWidth="1"/>
    <col min="7" max="7" width="8.90625" style="1797"/>
    <col min="8" max="8" width="9.36328125" style="1797" bestFit="1" customWidth="1"/>
    <col min="9" max="11" width="8.90625" style="1797"/>
    <col min="12" max="12" width="13.08984375" style="1797" bestFit="1" customWidth="1"/>
    <col min="13" max="13" width="12.81640625" style="1797" bestFit="1" customWidth="1"/>
    <col min="14" max="16384" width="8.90625" style="1797"/>
  </cols>
  <sheetData>
    <row r="1" spans="1:20" ht="15.6">
      <c r="A1" s="2512" t="s">
        <v>1</v>
      </c>
      <c r="B1" s="2512"/>
      <c r="C1" s="2512"/>
      <c r="D1" s="2512"/>
      <c r="E1" s="2512"/>
      <c r="F1" s="2512"/>
      <c r="G1" s="2512"/>
      <c r="H1" s="2512"/>
      <c r="I1" s="2512"/>
    </row>
    <row r="2" spans="1:20">
      <c r="A2" s="2513" t="s">
        <v>1084</v>
      </c>
      <c r="B2" s="2513"/>
      <c r="C2" s="2513"/>
      <c r="D2" s="2513"/>
      <c r="E2" s="2513"/>
      <c r="F2" s="2513"/>
      <c r="G2" s="2513"/>
      <c r="H2" s="2513"/>
      <c r="I2" s="2513"/>
    </row>
    <row r="3" spans="1:20" ht="17.25" customHeight="1">
      <c r="A3" s="2514" t="s">
        <v>987</v>
      </c>
      <c r="B3" s="2514"/>
      <c r="C3" s="2514"/>
      <c r="D3" s="2514"/>
      <c r="E3" s="2514"/>
      <c r="F3" s="2514"/>
      <c r="G3" s="2514"/>
      <c r="H3" s="2514"/>
      <c r="I3" s="2514"/>
    </row>
    <row r="4" spans="1:20">
      <c r="A4" s="2513" t="s">
        <v>988</v>
      </c>
      <c r="B4" s="2513"/>
      <c r="C4" s="2513"/>
      <c r="D4" s="2513"/>
      <c r="E4" s="2513"/>
      <c r="F4" s="2513"/>
      <c r="G4" s="2513"/>
      <c r="H4" s="2513"/>
      <c r="I4" s="2513"/>
    </row>
    <row r="5" spans="1:20">
      <c r="A5" s="2515" t="s">
        <v>1178</v>
      </c>
      <c r="B5" s="2515"/>
      <c r="C5" s="2515"/>
      <c r="D5" s="2515"/>
      <c r="E5" s="2515"/>
      <c r="F5" s="2515"/>
      <c r="G5" s="2515"/>
      <c r="H5" s="2515"/>
      <c r="I5" s="2515"/>
    </row>
    <row r="6" spans="1:20">
      <c r="A6" s="1798"/>
      <c r="B6" s="1798"/>
      <c r="C6" s="1798"/>
      <c r="D6" s="1798"/>
      <c r="E6" s="1798"/>
      <c r="F6" s="1798"/>
      <c r="G6" s="1798"/>
      <c r="H6" s="1798"/>
      <c r="I6" s="1798"/>
    </row>
    <row r="7" spans="1:20" ht="14.25" customHeight="1">
      <c r="A7" s="1798"/>
      <c r="B7" s="1798"/>
      <c r="C7" s="1798"/>
      <c r="D7" s="1798"/>
      <c r="E7" s="1798"/>
      <c r="F7" s="1798"/>
      <c r="G7" s="1798"/>
      <c r="H7" s="1798"/>
      <c r="I7" s="1798"/>
    </row>
    <row r="8" spans="1:20" ht="106.5" customHeight="1">
      <c r="A8" s="1799" t="s">
        <v>1179</v>
      </c>
      <c r="B8" s="1799" t="s">
        <v>294</v>
      </c>
      <c r="C8" s="1799" t="s">
        <v>198</v>
      </c>
      <c r="D8" s="1799" t="s">
        <v>1180</v>
      </c>
      <c r="E8" s="1799" t="s">
        <v>1299</v>
      </c>
      <c r="F8" s="1865" t="s">
        <v>1335</v>
      </c>
      <c r="G8" s="1651" t="s">
        <v>1297</v>
      </c>
      <c r="H8" s="1651" t="s">
        <v>1292</v>
      </c>
      <c r="I8" s="1651" t="s">
        <v>1317</v>
      </c>
      <c r="J8" s="1651" t="s">
        <v>1293</v>
      </c>
      <c r="K8" s="1651" t="s">
        <v>1294</v>
      </c>
      <c r="L8" s="1651" t="s">
        <v>1295</v>
      </c>
      <c r="M8" s="1651" t="s">
        <v>1296</v>
      </c>
      <c r="O8" s="1799" t="s">
        <v>1299</v>
      </c>
      <c r="P8" s="1799" t="s">
        <v>538</v>
      </c>
      <c r="Q8" s="1799" t="s">
        <v>1291</v>
      </c>
      <c r="R8" s="1799" t="s">
        <v>824</v>
      </c>
      <c r="S8" s="1799" t="s">
        <v>1298</v>
      </c>
      <c r="T8" s="1799" t="s">
        <v>991</v>
      </c>
    </row>
    <row r="9" spans="1:20" ht="19.2">
      <c r="A9" s="1800" t="s">
        <v>197</v>
      </c>
      <c r="B9" s="1800" t="s">
        <v>61</v>
      </c>
      <c r="C9" s="1800" t="s">
        <v>62</v>
      </c>
      <c r="D9" s="1800" t="s">
        <v>63</v>
      </c>
      <c r="E9" s="1800" t="s">
        <v>64</v>
      </c>
      <c r="F9" s="1800"/>
      <c r="G9" s="1800" t="s">
        <v>65</v>
      </c>
      <c r="H9" s="1800" t="s">
        <v>66</v>
      </c>
      <c r="I9" s="1800" t="s">
        <v>1300</v>
      </c>
      <c r="J9" s="1800" t="s">
        <v>298</v>
      </c>
      <c r="K9" s="1800" t="s">
        <v>1301</v>
      </c>
      <c r="L9" s="1800" t="s">
        <v>1302</v>
      </c>
      <c r="M9" s="1800" t="s">
        <v>1303</v>
      </c>
      <c r="N9" s="1800"/>
      <c r="O9" s="1800" t="str">
        <f>E9</f>
        <v>e</v>
      </c>
      <c r="P9" s="1800"/>
      <c r="Q9" s="1800"/>
      <c r="R9" s="1800"/>
      <c r="S9" s="1800" t="str">
        <f>G9</f>
        <v>f</v>
      </c>
      <c r="T9" s="1800"/>
    </row>
    <row r="10" spans="1:20" ht="19.2">
      <c r="A10" s="1800"/>
      <c r="B10" s="1800"/>
      <c r="C10" s="1800"/>
      <c r="D10" s="1800"/>
      <c r="E10" s="1800"/>
      <c r="F10" s="1800"/>
      <c r="G10" s="1800"/>
      <c r="H10" s="1800"/>
      <c r="I10" s="1800"/>
      <c r="J10" s="1800"/>
      <c r="K10" s="1800"/>
      <c r="L10" s="1800"/>
      <c r="M10" s="1800"/>
      <c r="O10" s="1800"/>
      <c r="P10" s="1800"/>
      <c r="Q10" s="1800"/>
      <c r="R10" s="1800"/>
      <c r="S10" s="1800"/>
      <c r="T10" s="1800"/>
    </row>
    <row r="11" spans="1:20" ht="19.8" thickBot="1">
      <c r="A11" s="1800" t="s">
        <v>93</v>
      </c>
      <c r="B11" s="1800" t="s">
        <v>1183</v>
      </c>
      <c r="C11" s="1800"/>
      <c r="D11" s="1800"/>
      <c r="E11" s="1800"/>
      <c r="F11" s="1800"/>
      <c r="G11" s="1801"/>
      <c r="H11" s="1801">
        <v>0.18</v>
      </c>
      <c r="I11" s="1801"/>
      <c r="J11" s="1801"/>
      <c r="O11" s="1800"/>
      <c r="P11" s="1801">
        <v>0.12</v>
      </c>
      <c r="Q11" s="1876">
        <v>0.05</v>
      </c>
      <c r="R11" s="1801">
        <v>0.02</v>
      </c>
    </row>
    <row r="12" spans="1:20" ht="34.5" customHeight="1">
      <c r="A12" s="2506" t="s">
        <v>1184</v>
      </c>
      <c r="B12" s="1802" t="s">
        <v>1185</v>
      </c>
      <c r="C12" s="2506" t="s">
        <v>1039</v>
      </c>
      <c r="D12" s="2506">
        <v>1600</v>
      </c>
      <c r="E12" s="2506">
        <v>24</v>
      </c>
      <c r="F12" s="2509">
        <f>D12*E12/100000</f>
        <v>0.38400000000000001</v>
      </c>
      <c r="G12" s="2506">
        <f>S12</f>
        <v>28.704000000000001</v>
      </c>
      <c r="H12" s="2506">
        <f>G12*$H$11</f>
        <v>5.1667199999999998</v>
      </c>
      <c r="I12" s="2506">
        <f>G12+H12</f>
        <v>33.870719999999999</v>
      </c>
      <c r="J12" s="2506">
        <f>H12</f>
        <v>5.1667199999999998</v>
      </c>
      <c r="K12" s="2506">
        <f>I12-J12</f>
        <v>28.704000000000001</v>
      </c>
      <c r="L12" s="2506">
        <f>I12*D12</f>
        <v>54193.151999999995</v>
      </c>
      <c r="M12" s="2506">
        <f>K12*D12</f>
        <v>45926.400000000001</v>
      </c>
      <c r="O12" s="2506">
        <f>E12</f>
        <v>24</v>
      </c>
      <c r="P12" s="2506">
        <f>O12*$P$11</f>
        <v>2.88</v>
      </c>
      <c r="Q12" s="2506">
        <f>(O12+P12)*$Q$11</f>
        <v>1.3440000000000001</v>
      </c>
      <c r="R12" s="2506">
        <f>O12*$R$11</f>
        <v>0.48</v>
      </c>
      <c r="S12" s="2506">
        <f>SUM(O12:R18)</f>
        <v>28.704000000000001</v>
      </c>
      <c r="T12" s="2506" t="s">
        <v>1019</v>
      </c>
    </row>
    <row r="13" spans="1:20" ht="16.5" customHeight="1">
      <c r="A13" s="2507"/>
      <c r="B13" s="1803"/>
      <c r="C13" s="2507"/>
      <c r="D13" s="2507"/>
      <c r="E13" s="2507"/>
      <c r="F13" s="2510"/>
      <c r="G13" s="2507"/>
      <c r="H13" s="2507"/>
      <c r="I13" s="2507"/>
      <c r="J13" s="2507"/>
      <c r="K13" s="2507"/>
      <c r="L13" s="2507"/>
      <c r="M13" s="2507"/>
      <c r="O13" s="2507"/>
      <c r="P13" s="2507"/>
      <c r="Q13" s="2507"/>
      <c r="R13" s="2507"/>
      <c r="S13" s="2507"/>
      <c r="T13" s="2507"/>
    </row>
    <row r="14" spans="1:20" ht="19.2">
      <c r="A14" s="2507"/>
      <c r="B14" s="1804"/>
      <c r="C14" s="2507"/>
      <c r="D14" s="2507"/>
      <c r="E14" s="2507"/>
      <c r="F14" s="2510"/>
      <c r="G14" s="2507"/>
      <c r="H14" s="2507"/>
      <c r="I14" s="2507"/>
      <c r="J14" s="2507"/>
      <c r="K14" s="2507"/>
      <c r="L14" s="2507"/>
      <c r="M14" s="2507"/>
      <c r="O14" s="2507"/>
      <c r="P14" s="2507"/>
      <c r="Q14" s="2507"/>
      <c r="R14" s="2507"/>
      <c r="S14" s="2507"/>
      <c r="T14" s="2507"/>
    </row>
    <row r="15" spans="1:20" ht="19.2">
      <c r="A15" s="2507"/>
      <c r="B15" s="1804" t="s">
        <v>1186</v>
      </c>
      <c r="C15" s="2507"/>
      <c r="D15" s="2507"/>
      <c r="E15" s="2507"/>
      <c r="F15" s="2510"/>
      <c r="G15" s="2507"/>
      <c r="H15" s="2507"/>
      <c r="I15" s="2507"/>
      <c r="J15" s="2507"/>
      <c r="K15" s="2507"/>
      <c r="L15" s="2507"/>
      <c r="M15" s="2507"/>
      <c r="O15" s="2507"/>
      <c r="P15" s="2507"/>
      <c r="Q15" s="2507"/>
      <c r="R15" s="2507"/>
      <c r="S15" s="2507"/>
      <c r="T15" s="2507"/>
    </row>
    <row r="16" spans="1:20" ht="19.2">
      <c r="A16" s="2507"/>
      <c r="B16" s="1804"/>
      <c r="C16" s="2507"/>
      <c r="D16" s="2507"/>
      <c r="E16" s="2507"/>
      <c r="F16" s="2510"/>
      <c r="G16" s="2507"/>
      <c r="H16" s="2507"/>
      <c r="I16" s="2507"/>
      <c r="J16" s="2507"/>
      <c r="K16" s="2507"/>
      <c r="L16" s="2507"/>
      <c r="M16" s="2507"/>
      <c r="O16" s="2507"/>
      <c r="P16" s="2507"/>
      <c r="Q16" s="2507"/>
      <c r="R16" s="2507"/>
      <c r="S16" s="2507"/>
      <c r="T16" s="2507"/>
    </row>
    <row r="17" spans="1:20" ht="19.2">
      <c r="A17" s="2507"/>
      <c r="B17" s="1805" t="s">
        <v>1187</v>
      </c>
      <c r="C17" s="2507"/>
      <c r="D17" s="2507"/>
      <c r="E17" s="2507"/>
      <c r="F17" s="2510"/>
      <c r="G17" s="2507"/>
      <c r="H17" s="2507"/>
      <c r="I17" s="2507"/>
      <c r="J17" s="2507"/>
      <c r="K17" s="2507"/>
      <c r="L17" s="2507"/>
      <c r="M17" s="2507"/>
      <c r="O17" s="2507"/>
      <c r="P17" s="2507"/>
      <c r="Q17" s="2507"/>
      <c r="R17" s="2507"/>
      <c r="S17" s="2507"/>
      <c r="T17" s="2507"/>
    </row>
    <row r="18" spans="1:20" ht="19.8" thickBot="1">
      <c r="A18" s="2508"/>
      <c r="B18" s="1806" t="s">
        <v>1188</v>
      </c>
      <c r="C18" s="2508"/>
      <c r="D18" s="2508"/>
      <c r="E18" s="2508"/>
      <c r="F18" s="2511"/>
      <c r="G18" s="2507"/>
      <c r="H18" s="2507"/>
      <c r="I18" s="2507"/>
      <c r="J18" s="2507"/>
      <c r="K18" s="2507"/>
      <c r="L18" s="2507"/>
      <c r="M18" s="2507"/>
      <c r="O18" s="2508"/>
      <c r="P18" s="2507"/>
      <c r="Q18" s="2507"/>
      <c r="R18" s="2507"/>
      <c r="S18" s="2507"/>
      <c r="T18" s="2507"/>
    </row>
    <row r="19" spans="1:20" ht="51.75" customHeight="1">
      <c r="A19" s="2506" t="s">
        <v>1189</v>
      </c>
      <c r="B19" s="1804" t="s">
        <v>1190</v>
      </c>
      <c r="C19" s="2506" t="s">
        <v>1039</v>
      </c>
      <c r="D19" s="2506">
        <v>1760</v>
      </c>
      <c r="E19" s="2516">
        <f>((2189*0.75*1.05*1.075)+((4*2*2*702)/1760)+93)*1.05</f>
        <v>2050.1324872159094</v>
      </c>
      <c r="F19" s="2509">
        <f>D19*E19/100000</f>
        <v>36.082331775</v>
      </c>
      <c r="G19" s="2506">
        <f t="shared" ref="G19" si="0">S19</f>
        <v>2451.9584547102277</v>
      </c>
      <c r="H19" s="2506">
        <f t="shared" ref="H19" si="1">G19*$H$11</f>
        <v>441.35252184784099</v>
      </c>
      <c r="I19" s="2506">
        <f t="shared" ref="I19" si="2">G19+H19</f>
        <v>2893.3109765580684</v>
      </c>
      <c r="J19" s="2506">
        <f t="shared" ref="J19" si="3">H19</f>
        <v>441.35252184784099</v>
      </c>
      <c r="K19" s="2506">
        <f t="shared" ref="K19" si="4">I19-J19</f>
        <v>2451.9584547102277</v>
      </c>
      <c r="L19" s="2506">
        <f t="shared" ref="L19" si="5">I19*D19</f>
        <v>5092227.3187422007</v>
      </c>
      <c r="M19" s="2506">
        <f t="shared" ref="M19" si="6">K19*D19</f>
        <v>4315446.8802900007</v>
      </c>
      <c r="O19" s="2506">
        <f t="shared" ref="O19" si="7">E19</f>
        <v>2050.1324872159094</v>
      </c>
      <c r="P19" s="2506">
        <f>O19*$P$11</f>
        <v>246.01589846590912</v>
      </c>
      <c r="Q19" s="2506">
        <f t="shared" ref="Q19" si="8">(O19+P19)*$Q$11</f>
        <v>114.80741928409094</v>
      </c>
      <c r="R19" s="2506">
        <f>O19*$R$11</f>
        <v>41.002649744318191</v>
      </c>
      <c r="S19" s="2506">
        <f>SUM(O19:R25)</f>
        <v>2451.9584547102277</v>
      </c>
      <c r="T19" s="2516" t="s">
        <v>1334</v>
      </c>
    </row>
    <row r="20" spans="1:20" ht="38.4">
      <c r="A20" s="2507"/>
      <c r="B20" s="1804" t="s">
        <v>1191</v>
      </c>
      <c r="C20" s="2507"/>
      <c r="D20" s="2507"/>
      <c r="E20" s="2517"/>
      <c r="F20" s="2510"/>
      <c r="G20" s="2507"/>
      <c r="H20" s="2507"/>
      <c r="I20" s="2507"/>
      <c r="J20" s="2507"/>
      <c r="K20" s="2507"/>
      <c r="L20" s="2507"/>
      <c r="M20" s="2507"/>
      <c r="O20" s="2507"/>
      <c r="P20" s="2507"/>
      <c r="Q20" s="2507"/>
      <c r="R20" s="2507"/>
      <c r="S20" s="2507"/>
      <c r="T20" s="2517"/>
    </row>
    <row r="21" spans="1:20" ht="19.2">
      <c r="A21" s="2507"/>
      <c r="B21" s="1804"/>
      <c r="C21" s="2507"/>
      <c r="D21" s="2507"/>
      <c r="E21" s="2517"/>
      <c r="F21" s="2510"/>
      <c r="G21" s="2507"/>
      <c r="H21" s="2507"/>
      <c r="I21" s="2507"/>
      <c r="J21" s="2507"/>
      <c r="K21" s="2507"/>
      <c r="L21" s="2507"/>
      <c r="M21" s="2507"/>
      <c r="O21" s="2507"/>
      <c r="P21" s="2507"/>
      <c r="Q21" s="2507"/>
      <c r="R21" s="2507"/>
      <c r="S21" s="2507"/>
      <c r="T21" s="2517"/>
    </row>
    <row r="22" spans="1:20" ht="19.2">
      <c r="A22" s="2507"/>
      <c r="B22" s="1804" t="s">
        <v>1192</v>
      </c>
      <c r="C22" s="2507"/>
      <c r="D22" s="2507"/>
      <c r="E22" s="2517"/>
      <c r="F22" s="2510"/>
      <c r="G22" s="2507"/>
      <c r="H22" s="2507"/>
      <c r="I22" s="2507"/>
      <c r="J22" s="2507"/>
      <c r="K22" s="2507"/>
      <c r="L22" s="2507"/>
      <c r="M22" s="2507"/>
      <c r="O22" s="2507"/>
      <c r="P22" s="2507"/>
      <c r="Q22" s="2507"/>
      <c r="R22" s="2507"/>
      <c r="S22" s="2507"/>
      <c r="T22" s="2517"/>
    </row>
    <row r="23" spans="1:20" ht="19.2">
      <c r="A23" s="2507"/>
      <c r="B23" s="1804"/>
      <c r="C23" s="2507"/>
      <c r="D23" s="2507"/>
      <c r="E23" s="2517"/>
      <c r="F23" s="2510"/>
      <c r="G23" s="2507"/>
      <c r="H23" s="2507"/>
      <c r="I23" s="2507"/>
      <c r="J23" s="2507"/>
      <c r="K23" s="2507"/>
      <c r="L23" s="2507"/>
      <c r="M23" s="2507"/>
      <c r="O23" s="2507"/>
      <c r="P23" s="2507"/>
      <c r="Q23" s="2507"/>
      <c r="R23" s="2507"/>
      <c r="S23" s="2507"/>
      <c r="T23" s="2517"/>
    </row>
    <row r="24" spans="1:20" ht="19.2">
      <c r="A24" s="2507"/>
      <c r="B24" s="1805" t="s">
        <v>1187</v>
      </c>
      <c r="C24" s="2507"/>
      <c r="D24" s="2507"/>
      <c r="E24" s="2517"/>
      <c r="F24" s="2510"/>
      <c r="G24" s="2507"/>
      <c r="H24" s="2507"/>
      <c r="I24" s="2507"/>
      <c r="J24" s="2507"/>
      <c r="K24" s="2507"/>
      <c r="L24" s="2507"/>
      <c r="M24" s="2507"/>
      <c r="O24" s="2507"/>
      <c r="P24" s="2507"/>
      <c r="Q24" s="2507"/>
      <c r="R24" s="2507"/>
      <c r="S24" s="2507"/>
      <c r="T24" s="2517"/>
    </row>
    <row r="25" spans="1:20" ht="19.8" thickBot="1">
      <c r="A25" s="2507"/>
      <c r="B25" s="1804" t="s">
        <v>1193</v>
      </c>
      <c r="C25" s="2507"/>
      <c r="D25" s="2507"/>
      <c r="E25" s="2517"/>
      <c r="F25" s="2510"/>
      <c r="G25" s="2507"/>
      <c r="H25" s="2507"/>
      <c r="I25" s="2507"/>
      <c r="J25" s="2507"/>
      <c r="K25" s="2507"/>
      <c r="L25" s="2507"/>
      <c r="M25" s="2507"/>
      <c r="O25" s="2508"/>
      <c r="P25" s="2507"/>
      <c r="Q25" s="2507"/>
      <c r="R25" s="2507"/>
      <c r="S25" s="2507"/>
      <c r="T25" s="2517"/>
    </row>
    <row r="26" spans="1:20" ht="51.75" customHeight="1">
      <c r="A26" s="2518" t="s">
        <v>1194</v>
      </c>
      <c r="B26" s="1807" t="s">
        <v>1195</v>
      </c>
      <c r="C26" s="2518" t="s">
        <v>1039</v>
      </c>
      <c r="D26" s="2518">
        <v>440</v>
      </c>
      <c r="E26" s="2520">
        <f>531*1.4</f>
        <v>743.4</v>
      </c>
      <c r="F26" s="2522">
        <f>D26*E26/100000</f>
        <v>3.2709600000000001</v>
      </c>
      <c r="G26" s="2506">
        <f t="shared" ref="G26" si="9">S26</f>
        <v>889.10640000000001</v>
      </c>
      <c r="H26" s="2506">
        <f t="shared" ref="H26" si="10">G26*$H$11</f>
        <v>160.039152</v>
      </c>
      <c r="I26" s="2506">
        <f>G26+H26</f>
        <v>1049.145552</v>
      </c>
      <c r="J26" s="2506">
        <f t="shared" ref="J26" si="11">H26</f>
        <v>160.039152</v>
      </c>
      <c r="K26" s="2506">
        <f t="shared" ref="K26" si="12">I26-J26</f>
        <v>889.10639999999989</v>
      </c>
      <c r="L26" s="2506">
        <f t="shared" ref="L26" si="13">I26*D26</f>
        <v>461624.04287999996</v>
      </c>
      <c r="M26" s="2506">
        <f t="shared" ref="M26" si="14">K26*D26</f>
        <v>391206.81599999993</v>
      </c>
      <c r="O26" s="2506">
        <f t="shared" ref="O26" si="15">E26</f>
        <v>743.4</v>
      </c>
      <c r="P26" s="2506">
        <f>O26*$P$11</f>
        <v>89.207999999999998</v>
      </c>
      <c r="Q26" s="2506">
        <f t="shared" ref="Q26" si="16">(O26+P26)*$Q$11</f>
        <v>41.630400000000002</v>
      </c>
      <c r="R26" s="2506">
        <f>O26*$R$11</f>
        <v>14.868</v>
      </c>
      <c r="S26" s="2506">
        <f>SUM(O26:R32)</f>
        <v>889.10640000000001</v>
      </c>
      <c r="T26" s="2506" t="s">
        <v>1043</v>
      </c>
    </row>
    <row r="27" spans="1:20" ht="19.2">
      <c r="A27" s="2518"/>
      <c r="B27" s="1807"/>
      <c r="C27" s="2518"/>
      <c r="D27" s="2518"/>
      <c r="E27" s="2520"/>
      <c r="F27" s="2522"/>
      <c r="G27" s="2507"/>
      <c r="H27" s="2507"/>
      <c r="I27" s="2507"/>
      <c r="J27" s="2507"/>
      <c r="K27" s="2507"/>
      <c r="L27" s="2507"/>
      <c r="M27" s="2507"/>
      <c r="O27" s="2507"/>
      <c r="P27" s="2507"/>
      <c r="Q27" s="2507"/>
      <c r="R27" s="2507"/>
      <c r="S27" s="2507"/>
      <c r="T27" s="2507"/>
    </row>
    <row r="28" spans="1:20" ht="19.2">
      <c r="A28" s="2518"/>
      <c r="B28" s="1807" t="s">
        <v>1196</v>
      </c>
      <c r="C28" s="2518"/>
      <c r="D28" s="2518"/>
      <c r="E28" s="2520"/>
      <c r="F28" s="2522"/>
      <c r="G28" s="2507"/>
      <c r="H28" s="2507"/>
      <c r="I28" s="2507"/>
      <c r="J28" s="2507"/>
      <c r="K28" s="2507"/>
      <c r="L28" s="2507"/>
      <c r="M28" s="2507"/>
      <c r="O28" s="2507"/>
      <c r="P28" s="2507"/>
      <c r="Q28" s="2507"/>
      <c r="R28" s="2507"/>
      <c r="S28" s="2507"/>
      <c r="T28" s="2507"/>
    </row>
    <row r="29" spans="1:20" ht="19.2">
      <c r="A29" s="2518"/>
      <c r="B29" s="1807"/>
      <c r="C29" s="2518"/>
      <c r="D29" s="2518"/>
      <c r="E29" s="2520"/>
      <c r="F29" s="2522"/>
      <c r="G29" s="2507"/>
      <c r="H29" s="2507"/>
      <c r="I29" s="2507"/>
      <c r="J29" s="2507"/>
      <c r="K29" s="2507"/>
      <c r="L29" s="2507"/>
      <c r="M29" s="2507"/>
      <c r="O29" s="2507"/>
      <c r="P29" s="2507"/>
      <c r="Q29" s="2507"/>
      <c r="R29" s="2507"/>
      <c r="S29" s="2507"/>
      <c r="T29" s="2507"/>
    </row>
    <row r="30" spans="1:20" ht="19.2">
      <c r="A30" s="2518"/>
      <c r="B30" s="1808" t="s">
        <v>1187</v>
      </c>
      <c r="C30" s="2518"/>
      <c r="D30" s="2518"/>
      <c r="E30" s="2520"/>
      <c r="F30" s="2522"/>
      <c r="G30" s="2507"/>
      <c r="H30" s="2507"/>
      <c r="I30" s="2507"/>
      <c r="J30" s="2507"/>
      <c r="K30" s="2507"/>
      <c r="L30" s="2507"/>
      <c r="M30" s="2507"/>
      <c r="O30" s="2507"/>
      <c r="P30" s="2507"/>
      <c r="Q30" s="2507"/>
      <c r="R30" s="2507"/>
      <c r="S30" s="2507"/>
      <c r="T30" s="2507"/>
    </row>
    <row r="31" spans="1:20" ht="19.2">
      <c r="A31" s="2518"/>
      <c r="B31" s="1807" t="s">
        <v>1197</v>
      </c>
      <c r="C31" s="2518"/>
      <c r="D31" s="2518"/>
      <c r="E31" s="2520"/>
      <c r="F31" s="2522"/>
      <c r="G31" s="2507"/>
      <c r="H31" s="2507"/>
      <c r="I31" s="2507"/>
      <c r="J31" s="2507"/>
      <c r="K31" s="2507"/>
      <c r="L31" s="2507"/>
      <c r="M31" s="2507"/>
      <c r="O31" s="2507"/>
      <c r="P31" s="2507"/>
      <c r="Q31" s="2507"/>
      <c r="R31" s="2507"/>
      <c r="S31" s="2507"/>
      <c r="T31" s="2507"/>
    </row>
    <row r="32" spans="1:20" ht="19.8" thickBot="1">
      <c r="A32" s="2519"/>
      <c r="B32" s="1809"/>
      <c r="C32" s="2519"/>
      <c r="D32" s="2519"/>
      <c r="E32" s="2521"/>
      <c r="F32" s="2523"/>
      <c r="G32" s="2507"/>
      <c r="H32" s="2507"/>
      <c r="I32" s="2508"/>
      <c r="J32" s="2508"/>
      <c r="K32" s="2508"/>
      <c r="L32" s="2508"/>
      <c r="M32" s="2508"/>
      <c r="O32" s="2508"/>
      <c r="P32" s="2508"/>
      <c r="Q32" s="2508"/>
      <c r="R32" s="2508"/>
      <c r="S32" s="2508"/>
      <c r="T32" s="2508"/>
    </row>
    <row r="33" spans="1:56" s="1816" customFormat="1" ht="19.8" thickBot="1">
      <c r="A33" s="1810" t="s">
        <v>1198</v>
      </c>
      <c r="B33" s="1811" t="s">
        <v>1199</v>
      </c>
      <c r="C33" s="1812" t="s">
        <v>1200</v>
      </c>
      <c r="D33" s="1812">
        <v>1</v>
      </c>
      <c r="E33" s="1812"/>
      <c r="F33" s="1813">
        <f>SUM(F12:F32)</f>
        <v>39.737291775000003</v>
      </c>
      <c r="G33" s="1814"/>
      <c r="H33" s="1815"/>
      <c r="O33" s="1817"/>
      <c r="P33" s="1818"/>
      <c r="Q33" s="1815"/>
    </row>
    <row r="34" spans="1:56" ht="19.8" thickBot="1">
      <c r="A34" s="1819" t="s">
        <v>94</v>
      </c>
      <c r="B34" s="1819" t="s">
        <v>993</v>
      </c>
      <c r="C34" s="1820"/>
      <c r="D34" s="1820"/>
      <c r="E34" s="1820"/>
      <c r="F34" s="1820"/>
      <c r="O34" s="1821"/>
      <c r="P34" s="1822"/>
      <c r="V34" s="1816"/>
      <c r="W34" s="1816"/>
      <c r="X34" s="1816"/>
      <c r="Y34" s="1816"/>
      <c r="Z34" s="1816"/>
      <c r="AA34" s="1816"/>
      <c r="AB34" s="1816"/>
      <c r="AC34" s="1816"/>
      <c r="AD34" s="1816"/>
      <c r="AE34" s="1816"/>
      <c r="AF34" s="1816"/>
      <c r="AG34" s="1816"/>
      <c r="AH34" s="1816"/>
      <c r="AI34" s="1816"/>
      <c r="AJ34" s="1816"/>
      <c r="AK34" s="1816"/>
      <c r="AL34" s="1816"/>
      <c r="AM34" s="1816"/>
      <c r="AN34" s="1816"/>
      <c r="AO34" s="1816"/>
      <c r="AP34" s="1816"/>
      <c r="AQ34" s="1816"/>
      <c r="AR34" s="1816"/>
      <c r="AS34" s="1816"/>
      <c r="AT34" s="1816"/>
      <c r="AU34" s="1816"/>
      <c r="AV34" s="1816"/>
      <c r="AW34" s="1816"/>
      <c r="AX34" s="1816"/>
      <c r="AY34" s="1816"/>
      <c r="AZ34" s="1816"/>
    </row>
    <row r="35" spans="1:56" ht="38.4">
      <c r="A35" s="2518" t="s">
        <v>1201</v>
      </c>
      <c r="B35" s="1807" t="s">
        <v>1202</v>
      </c>
      <c r="C35" s="2518" t="s">
        <v>1039</v>
      </c>
      <c r="D35" s="2518">
        <v>40</v>
      </c>
      <c r="E35" s="2518">
        <v>206</v>
      </c>
      <c r="F35" s="2522">
        <f>D35*E35/100000</f>
        <v>8.2400000000000001E-2</v>
      </c>
      <c r="G35" s="2527">
        <f t="shared" ref="G35" si="17">S35</f>
        <v>246.376</v>
      </c>
      <c r="H35" s="2530">
        <f t="shared" ref="H35" si="18">G35*$H$11</f>
        <v>44.347679999999997</v>
      </c>
      <c r="I35" s="2533">
        <f>G35+H35</f>
        <v>290.72368</v>
      </c>
      <c r="J35" s="2506">
        <f t="shared" ref="J35" si="19">H35</f>
        <v>44.347679999999997</v>
      </c>
      <c r="K35" s="2506">
        <f t="shared" ref="K35" si="20">I35-J35</f>
        <v>246.376</v>
      </c>
      <c r="L35" s="2506">
        <f t="shared" ref="L35" si="21">I35*D35</f>
        <v>11628.947200000001</v>
      </c>
      <c r="M35" s="2506">
        <f t="shared" ref="M35" si="22">K35*D35</f>
        <v>9855.0400000000009</v>
      </c>
      <c r="O35" s="2506">
        <f t="shared" ref="O35" si="23">E35</f>
        <v>206</v>
      </c>
      <c r="P35" s="2506">
        <f>O35*$P$11</f>
        <v>24.72</v>
      </c>
      <c r="Q35" s="2506">
        <f t="shared" ref="Q35" si="24">(O35+P35)*$Q$11</f>
        <v>11.536000000000001</v>
      </c>
      <c r="R35" s="2506">
        <f>O35*$R$11</f>
        <v>4.12</v>
      </c>
      <c r="S35" s="2506">
        <f>SUM(O35:R41)</f>
        <v>246.376</v>
      </c>
      <c r="T35" s="2506" t="s">
        <v>1203</v>
      </c>
      <c r="V35" s="1816"/>
      <c r="W35" s="1816"/>
      <c r="X35" s="1816"/>
      <c r="Y35" s="1816"/>
      <c r="Z35" s="1816"/>
      <c r="AA35" s="1816"/>
      <c r="AB35" s="1816"/>
      <c r="AC35" s="1816"/>
      <c r="AD35" s="1816"/>
      <c r="AE35" s="1816"/>
      <c r="AF35" s="1816"/>
      <c r="AG35" s="1816"/>
      <c r="AH35" s="1816"/>
      <c r="AI35" s="1816"/>
      <c r="AJ35" s="1816"/>
      <c r="AK35" s="1816"/>
      <c r="AL35" s="1816"/>
      <c r="AM35" s="1816"/>
      <c r="AN35" s="1816"/>
      <c r="AO35" s="1816"/>
      <c r="AP35" s="1816"/>
      <c r="AQ35" s="1816"/>
      <c r="AR35" s="1816"/>
      <c r="AS35" s="1816"/>
      <c r="AT35" s="1816"/>
      <c r="AU35" s="1816"/>
      <c r="AV35" s="1816"/>
      <c r="AW35" s="1816"/>
      <c r="AX35" s="1816"/>
      <c r="AY35" s="1816"/>
      <c r="AZ35" s="1816"/>
    </row>
    <row r="36" spans="1:56" ht="19.2">
      <c r="A36" s="2518"/>
      <c r="B36" s="1807"/>
      <c r="C36" s="2518"/>
      <c r="D36" s="2518"/>
      <c r="E36" s="2518"/>
      <c r="F36" s="2522"/>
      <c r="G36" s="2528"/>
      <c r="H36" s="2531"/>
      <c r="I36" s="2534"/>
      <c r="J36" s="2507"/>
      <c r="K36" s="2507"/>
      <c r="L36" s="2507"/>
      <c r="M36" s="2507"/>
      <c r="O36" s="2507"/>
      <c r="P36" s="2507"/>
      <c r="Q36" s="2507"/>
      <c r="R36" s="2507"/>
      <c r="S36" s="2507"/>
      <c r="T36" s="2507"/>
      <c r="V36" s="1816"/>
      <c r="W36" s="1816"/>
      <c r="X36" s="1816"/>
      <c r="Y36" s="1816"/>
      <c r="Z36" s="1816"/>
      <c r="AA36" s="1816"/>
      <c r="AB36" s="1816"/>
      <c r="AC36" s="1816"/>
      <c r="AD36" s="1816"/>
      <c r="AE36" s="1816"/>
      <c r="AF36" s="1816"/>
      <c r="AG36" s="1816"/>
      <c r="AH36" s="1816"/>
      <c r="AI36" s="1816"/>
      <c r="AJ36" s="1816"/>
      <c r="AK36" s="1816"/>
      <c r="AL36" s="1816"/>
      <c r="AM36" s="1816"/>
      <c r="AN36" s="1816"/>
      <c r="AO36" s="1816"/>
      <c r="AP36" s="1816"/>
      <c r="AQ36" s="1816"/>
      <c r="AR36" s="1816"/>
      <c r="AS36" s="1816"/>
      <c r="AT36" s="1816"/>
      <c r="AU36" s="1816"/>
      <c r="AV36" s="1816"/>
      <c r="AW36" s="1816"/>
      <c r="AX36" s="1816"/>
      <c r="AY36" s="1816"/>
      <c r="AZ36" s="1816"/>
    </row>
    <row r="37" spans="1:56" ht="19.2">
      <c r="A37" s="2518"/>
      <c r="B37" s="1807"/>
      <c r="C37" s="2518"/>
      <c r="D37" s="2518"/>
      <c r="E37" s="2518"/>
      <c r="F37" s="2522"/>
      <c r="G37" s="2528"/>
      <c r="H37" s="2531"/>
      <c r="I37" s="2534"/>
      <c r="J37" s="2507"/>
      <c r="K37" s="2507"/>
      <c r="L37" s="2507"/>
      <c r="M37" s="2507"/>
      <c r="O37" s="2507"/>
      <c r="P37" s="2507"/>
      <c r="Q37" s="2507"/>
      <c r="R37" s="2507"/>
      <c r="S37" s="2507"/>
      <c r="T37" s="2507"/>
      <c r="V37" s="1816"/>
      <c r="W37" s="1816"/>
      <c r="X37" s="1816"/>
      <c r="Y37" s="1816"/>
      <c r="Z37" s="1816"/>
      <c r="AA37" s="1816"/>
      <c r="AB37" s="1816"/>
      <c r="AC37" s="1816"/>
      <c r="AD37" s="1816"/>
      <c r="AE37" s="1816"/>
      <c r="AF37" s="1816"/>
      <c r="AG37" s="1816"/>
      <c r="AH37" s="1816"/>
      <c r="AI37" s="1816"/>
      <c r="AJ37" s="1816"/>
      <c r="AK37" s="1816"/>
      <c r="AL37" s="1816"/>
      <c r="AM37" s="1816"/>
      <c r="AN37" s="1816"/>
      <c r="AO37" s="1816"/>
      <c r="AP37" s="1816"/>
      <c r="AQ37" s="1816"/>
      <c r="AR37" s="1816"/>
      <c r="AS37" s="1816"/>
      <c r="AT37" s="1816"/>
      <c r="AU37" s="1816"/>
      <c r="AV37" s="1816"/>
      <c r="AW37" s="1816"/>
      <c r="AX37" s="1816"/>
      <c r="AY37" s="1816"/>
      <c r="AZ37" s="1816"/>
    </row>
    <row r="38" spans="1:56" ht="19.2">
      <c r="A38" s="2518"/>
      <c r="B38" s="1807"/>
      <c r="C38" s="2518"/>
      <c r="D38" s="2518"/>
      <c r="E38" s="2518"/>
      <c r="F38" s="2522"/>
      <c r="G38" s="2528"/>
      <c r="H38" s="2531"/>
      <c r="I38" s="2534"/>
      <c r="J38" s="2507"/>
      <c r="K38" s="2507"/>
      <c r="L38" s="2507"/>
      <c r="M38" s="2507"/>
      <c r="O38" s="2507"/>
      <c r="P38" s="2507"/>
      <c r="Q38" s="2507"/>
      <c r="R38" s="2507"/>
      <c r="S38" s="2507"/>
      <c r="T38" s="2507"/>
      <c r="V38" s="1816"/>
      <c r="W38" s="1816"/>
      <c r="X38" s="1816"/>
      <c r="Y38" s="1816"/>
      <c r="Z38" s="1816"/>
      <c r="AA38" s="1816"/>
      <c r="AB38" s="1816"/>
      <c r="AC38" s="1816"/>
      <c r="AD38" s="1816"/>
      <c r="AE38" s="1816"/>
      <c r="AF38" s="1816"/>
      <c r="AG38" s="1816"/>
      <c r="AH38" s="1816"/>
      <c r="AI38" s="1816"/>
      <c r="AJ38" s="1816"/>
      <c r="AK38" s="1816"/>
      <c r="AL38" s="1816"/>
      <c r="AM38" s="1816"/>
      <c r="AN38" s="1816"/>
      <c r="AO38" s="1816"/>
      <c r="AP38" s="1816"/>
      <c r="AQ38" s="1816"/>
      <c r="AR38" s="1816"/>
      <c r="AS38" s="1816"/>
      <c r="AT38" s="1816"/>
      <c r="AU38" s="1816"/>
      <c r="AV38" s="1816"/>
      <c r="AW38" s="1816"/>
      <c r="AX38" s="1816"/>
      <c r="AY38" s="1816"/>
      <c r="AZ38" s="1816"/>
    </row>
    <row r="39" spans="1:56" ht="19.2">
      <c r="A39" s="2518"/>
      <c r="B39" s="1807"/>
      <c r="C39" s="2518"/>
      <c r="D39" s="2518"/>
      <c r="E39" s="2518"/>
      <c r="F39" s="2522"/>
      <c r="G39" s="2528"/>
      <c r="H39" s="2531"/>
      <c r="I39" s="2534"/>
      <c r="J39" s="2507"/>
      <c r="K39" s="2507"/>
      <c r="L39" s="2507"/>
      <c r="M39" s="2507"/>
      <c r="O39" s="2507"/>
      <c r="P39" s="2507"/>
      <c r="Q39" s="2507"/>
      <c r="R39" s="2507"/>
      <c r="S39" s="2507"/>
      <c r="T39" s="2507"/>
      <c r="V39" s="1816"/>
      <c r="W39" s="1816"/>
      <c r="X39" s="1816"/>
      <c r="Y39" s="1816"/>
      <c r="Z39" s="1816"/>
      <c r="AA39" s="1816"/>
      <c r="AB39" s="1816"/>
      <c r="AC39" s="1816"/>
      <c r="AD39" s="1816"/>
      <c r="AE39" s="1816"/>
      <c r="AF39" s="1816"/>
      <c r="AG39" s="1816"/>
      <c r="AH39" s="1816"/>
      <c r="AI39" s="1816"/>
      <c r="AJ39" s="1816"/>
      <c r="AK39" s="1816"/>
      <c r="AL39" s="1816"/>
      <c r="AM39" s="1816"/>
      <c r="AN39" s="1816"/>
      <c r="AO39" s="1816"/>
      <c r="AP39" s="1816"/>
      <c r="AQ39" s="1816"/>
      <c r="AR39" s="1816"/>
      <c r="AS39" s="1816"/>
      <c r="AT39" s="1816"/>
      <c r="AU39" s="1816"/>
      <c r="AV39" s="1816"/>
      <c r="AW39" s="1816"/>
      <c r="AX39" s="1816"/>
      <c r="AY39" s="1816"/>
      <c r="AZ39" s="1816"/>
    </row>
    <row r="40" spans="1:56" ht="19.2">
      <c r="A40" s="2518"/>
      <c r="B40" s="1807"/>
      <c r="C40" s="2518"/>
      <c r="D40" s="2518"/>
      <c r="E40" s="2518"/>
      <c r="F40" s="2522"/>
      <c r="G40" s="2528"/>
      <c r="H40" s="2531"/>
      <c r="I40" s="2534"/>
      <c r="J40" s="2507"/>
      <c r="K40" s="2507"/>
      <c r="L40" s="2507"/>
      <c r="M40" s="2507"/>
      <c r="N40" s="1816"/>
      <c r="O40" s="2507"/>
      <c r="P40" s="2507"/>
      <c r="Q40" s="2507"/>
      <c r="R40" s="2507"/>
      <c r="S40" s="2507"/>
      <c r="T40" s="2507"/>
      <c r="U40" s="1816"/>
      <c r="V40" s="1816"/>
      <c r="W40" s="1816"/>
      <c r="X40" s="1816"/>
      <c r="Y40" s="1816"/>
      <c r="Z40" s="1816"/>
      <c r="AA40" s="1816"/>
      <c r="AB40" s="1816"/>
      <c r="AC40" s="1816"/>
      <c r="AD40" s="1816"/>
      <c r="AE40" s="1816"/>
      <c r="AF40" s="1816"/>
      <c r="AG40" s="1816"/>
      <c r="AH40" s="1816"/>
      <c r="AI40" s="1816"/>
      <c r="AJ40" s="1816"/>
      <c r="AK40" s="1816"/>
      <c r="AL40" s="1816"/>
      <c r="AM40" s="1816"/>
      <c r="AN40" s="1816"/>
      <c r="AO40" s="1816"/>
      <c r="AP40" s="1816"/>
      <c r="AQ40" s="1816"/>
      <c r="AR40" s="1816"/>
      <c r="AS40" s="1816"/>
      <c r="AT40" s="1816"/>
      <c r="AU40" s="1816"/>
      <c r="AV40" s="1816"/>
      <c r="AW40" s="1816"/>
      <c r="AX40" s="1816"/>
      <c r="AY40" s="1816"/>
      <c r="AZ40" s="1816"/>
    </row>
    <row r="41" spans="1:56" ht="19.8" thickBot="1">
      <c r="A41" s="2518"/>
      <c r="B41" s="1807" t="s">
        <v>1204</v>
      </c>
      <c r="C41" s="2518"/>
      <c r="D41" s="2518"/>
      <c r="E41" s="2518"/>
      <c r="F41" s="2522"/>
      <c r="G41" s="2529"/>
      <c r="H41" s="2532"/>
      <c r="I41" s="2535"/>
      <c r="J41" s="2508"/>
      <c r="K41" s="2508"/>
      <c r="L41" s="2508"/>
      <c r="M41" s="2508"/>
      <c r="N41" s="1816"/>
      <c r="O41" s="2508"/>
      <c r="P41" s="2508"/>
      <c r="Q41" s="2508"/>
      <c r="R41" s="2508"/>
      <c r="S41" s="2508"/>
      <c r="T41" s="2508"/>
      <c r="U41" s="1816"/>
      <c r="V41" s="1816"/>
      <c r="W41" s="1816"/>
      <c r="X41" s="1816"/>
      <c r="Y41" s="1816"/>
      <c r="Z41" s="1816"/>
      <c r="AA41" s="1816"/>
      <c r="AB41" s="1816"/>
      <c r="AC41" s="1816"/>
      <c r="AD41" s="1816"/>
      <c r="AE41" s="1816"/>
      <c r="AF41" s="1816"/>
      <c r="AG41" s="1816"/>
      <c r="AH41" s="1816"/>
      <c r="AI41" s="1816"/>
      <c r="AJ41" s="1816"/>
      <c r="AK41" s="1816"/>
      <c r="AL41" s="1816"/>
      <c r="AM41" s="1816"/>
      <c r="AN41" s="1816"/>
      <c r="AO41" s="1816"/>
      <c r="AP41" s="1816"/>
      <c r="AQ41" s="1816"/>
      <c r="AR41" s="1816"/>
      <c r="AS41" s="1816"/>
      <c r="AT41" s="1816"/>
      <c r="AU41" s="1816"/>
      <c r="AV41" s="1816"/>
      <c r="AW41" s="1816"/>
      <c r="AX41" s="1816"/>
      <c r="AY41" s="1816"/>
      <c r="AZ41" s="1816"/>
    </row>
    <row r="42" spans="1:56" ht="30.75" customHeight="1" thickBot="1">
      <c r="G42" s="1816"/>
      <c r="H42" s="1816"/>
      <c r="I42" s="1816"/>
      <c r="J42" s="1816"/>
      <c r="K42" s="1816"/>
      <c r="L42" s="1885">
        <f>SUM(L12:L41)</f>
        <v>5619673.4608222004</v>
      </c>
      <c r="M42" s="1886">
        <f>SUM(M12:M41)</f>
        <v>4762435.1362900008</v>
      </c>
      <c r="N42" s="1816"/>
      <c r="O42" s="1816"/>
      <c r="P42" s="1816"/>
      <c r="Q42" s="1816"/>
      <c r="R42" s="1816"/>
      <c r="S42" s="1816"/>
      <c r="T42" s="1816"/>
      <c r="U42" s="1816"/>
      <c r="V42" s="1816"/>
      <c r="W42" s="1816"/>
      <c r="X42" s="1816"/>
      <c r="Y42" s="1816"/>
      <c r="Z42" s="1816"/>
      <c r="AA42" s="1816"/>
      <c r="AB42" s="1816"/>
      <c r="AC42" s="1816"/>
      <c r="AD42" s="1816"/>
      <c r="AE42" s="1816"/>
      <c r="AF42" s="1816"/>
      <c r="AG42" s="1816"/>
      <c r="AH42" s="1816"/>
      <c r="AI42" s="1816"/>
      <c r="AJ42" s="1816"/>
      <c r="AK42" s="1816"/>
      <c r="AL42" s="1816"/>
      <c r="AM42" s="1816"/>
      <c r="AN42" s="1816"/>
      <c r="AO42" s="1816"/>
      <c r="AP42" s="1816"/>
      <c r="AQ42" s="1816"/>
      <c r="AR42" s="1816"/>
      <c r="AS42" s="1816"/>
      <c r="AT42" s="1816"/>
      <c r="AU42" s="1816"/>
      <c r="AV42" s="1816"/>
      <c r="AW42" s="1816"/>
      <c r="AX42" s="1816"/>
      <c r="AY42" s="1816"/>
      <c r="AZ42" s="1816"/>
    </row>
    <row r="43" spans="1:56" s="1816" customFormat="1" ht="19.8" thickBot="1">
      <c r="A43" s="1823" t="s">
        <v>1205</v>
      </c>
      <c r="B43" s="1824" t="s">
        <v>1206</v>
      </c>
      <c r="C43" s="1823" t="s">
        <v>1200</v>
      </c>
      <c r="D43" s="1823">
        <v>1</v>
      </c>
      <c r="E43" s="1823"/>
      <c r="F43" s="1823">
        <f>F35</f>
        <v>8.2400000000000001E-2</v>
      </c>
    </row>
    <row r="44" spans="1:56" ht="15" hidden="1" thickBot="1">
      <c r="A44" s="1825"/>
      <c r="B44" s="1825"/>
      <c r="C44" s="1825"/>
      <c r="D44" s="1825"/>
      <c r="E44" s="1825"/>
      <c r="G44" s="1816"/>
      <c r="H44" s="1816"/>
      <c r="I44" s="1816"/>
      <c r="J44" s="1816"/>
      <c r="K44" s="1816"/>
      <c r="L44" s="1816"/>
      <c r="M44" s="1816"/>
      <c r="N44" s="1816"/>
      <c r="O44" s="1816"/>
      <c r="P44" s="1816"/>
      <c r="Q44" s="1816"/>
      <c r="R44" s="1816"/>
      <c r="S44" s="1816"/>
      <c r="T44" s="1816"/>
      <c r="U44" s="1816"/>
      <c r="V44" s="1816"/>
      <c r="W44" s="1816"/>
      <c r="X44" s="1816"/>
      <c r="Y44" s="1816"/>
      <c r="Z44" s="1816"/>
      <c r="AA44" s="1816"/>
      <c r="AB44" s="1816"/>
      <c r="AC44" s="1816"/>
      <c r="AD44" s="1816"/>
      <c r="AE44" s="1816"/>
      <c r="AF44" s="1816"/>
      <c r="AG44" s="1816"/>
      <c r="AH44" s="1816"/>
      <c r="AI44" s="1816"/>
      <c r="AJ44" s="1816"/>
      <c r="AK44" s="1816"/>
      <c r="AL44" s="1816"/>
      <c r="AM44" s="1816"/>
      <c r="AN44" s="1816"/>
      <c r="AO44" s="1816"/>
      <c r="AP44" s="1816"/>
      <c r="AQ44" s="1816"/>
      <c r="AR44" s="1816"/>
      <c r="AS44" s="1816"/>
      <c r="AT44" s="1816"/>
      <c r="AU44" s="1816"/>
      <c r="AV44" s="1816"/>
      <c r="AW44" s="1816"/>
      <c r="AX44" s="1816"/>
      <c r="AY44" s="1816"/>
      <c r="AZ44" s="1816"/>
    </row>
    <row r="45" spans="1:56" s="1827" customFormat="1" ht="19.8" hidden="1" thickBot="1">
      <c r="A45" s="1824" t="s">
        <v>60</v>
      </c>
      <c r="B45" s="1824" t="s">
        <v>1207</v>
      </c>
      <c r="C45" s="1824" t="s">
        <v>1200</v>
      </c>
      <c r="D45" s="1866">
        <v>1</v>
      </c>
      <c r="E45" s="1866"/>
      <c r="F45" s="1867">
        <f>F33+F43</f>
        <v>39.819691775000003</v>
      </c>
      <c r="G45" s="1816"/>
      <c r="H45" s="1816"/>
      <c r="I45" s="1816"/>
      <c r="J45" s="1816"/>
      <c r="K45" s="1816"/>
      <c r="L45" s="1816"/>
      <c r="M45" s="1816"/>
      <c r="N45" s="1816"/>
      <c r="O45" s="1816"/>
      <c r="P45" s="1816"/>
      <c r="Q45" s="1816"/>
      <c r="R45" s="1816"/>
      <c r="S45" s="1816"/>
      <c r="T45" s="1816"/>
      <c r="U45" s="1816"/>
      <c r="V45" s="1816"/>
      <c r="W45" s="1816"/>
      <c r="X45" s="1816"/>
      <c r="Y45" s="1816"/>
      <c r="Z45" s="1816"/>
      <c r="AA45" s="1816"/>
      <c r="AB45" s="1816"/>
      <c r="AC45" s="1816"/>
      <c r="AD45" s="1816"/>
      <c r="AE45" s="1816"/>
      <c r="AF45" s="1816"/>
      <c r="AG45" s="1816"/>
      <c r="AH45" s="1816"/>
      <c r="AI45" s="1816"/>
      <c r="AJ45" s="1816"/>
      <c r="AK45" s="1816"/>
      <c r="AL45" s="1816"/>
      <c r="AM45" s="1816"/>
      <c r="AN45" s="1816"/>
      <c r="AO45" s="1816"/>
      <c r="AP45" s="1816"/>
      <c r="AQ45" s="1816"/>
      <c r="AR45" s="1816"/>
      <c r="AS45" s="1816"/>
      <c r="AT45" s="1816"/>
      <c r="AU45" s="1816"/>
      <c r="AV45" s="1816"/>
      <c r="AW45" s="1816"/>
      <c r="AX45" s="1816"/>
      <c r="AY45" s="1816"/>
      <c r="AZ45" s="1816"/>
      <c r="BA45" s="1826"/>
      <c r="BB45" s="1826"/>
      <c r="BC45" s="1826"/>
      <c r="BD45" s="1826"/>
    </row>
    <row r="46" spans="1:56" ht="27.75" customHeight="1">
      <c r="D46" s="2526" t="s">
        <v>1336</v>
      </c>
      <c r="E46" s="2526"/>
      <c r="F46" s="1881">
        <f>F33+F43</f>
        <v>39.819691775000003</v>
      </c>
      <c r="G46" s="1816"/>
      <c r="H46" s="1816"/>
      <c r="I46" s="1816"/>
      <c r="J46" s="1816"/>
      <c r="K46" s="1816"/>
      <c r="L46" s="1816">
        <f>L42/10^7</f>
        <v>0.56196734608221999</v>
      </c>
      <c r="M46" s="1816">
        <f>M42/10^7</f>
        <v>0.47624351362900008</v>
      </c>
      <c r="N46" s="1816"/>
      <c r="O46" s="1816"/>
      <c r="P46" s="1816"/>
      <c r="Q46" s="1816"/>
      <c r="R46" s="1816"/>
      <c r="S46" s="1816"/>
      <c r="T46" s="1816"/>
      <c r="U46" s="1816"/>
      <c r="V46" s="1816"/>
      <c r="W46" s="1816"/>
      <c r="X46" s="1816"/>
      <c r="Y46" s="1816"/>
      <c r="Z46" s="1816"/>
      <c r="AA46" s="1816"/>
      <c r="AB46" s="1816"/>
      <c r="AC46" s="1816"/>
      <c r="AD46" s="1816"/>
      <c r="AE46" s="1816"/>
      <c r="AF46" s="1816"/>
      <c r="AG46" s="1816"/>
      <c r="AH46" s="1816"/>
      <c r="AI46" s="1816"/>
      <c r="AJ46" s="1816"/>
      <c r="AK46" s="1816"/>
      <c r="AL46" s="1816"/>
      <c r="AM46" s="1816"/>
      <c r="AN46" s="1816"/>
      <c r="AO46" s="1816"/>
      <c r="AP46" s="1816"/>
      <c r="AQ46" s="1816"/>
      <c r="AR46" s="1816"/>
      <c r="AS46" s="1816"/>
      <c r="AT46" s="1816"/>
      <c r="AU46" s="1816"/>
      <c r="AV46" s="1816"/>
      <c r="AW46" s="1816"/>
      <c r="AX46" s="1816"/>
      <c r="AY46" s="1816"/>
      <c r="AZ46" s="1816"/>
      <c r="BA46" s="1828"/>
      <c r="BB46" s="1828"/>
      <c r="BC46" s="1828"/>
      <c r="BD46" s="1828"/>
    </row>
    <row r="47" spans="1:56">
      <c r="G47" s="1816"/>
      <c r="H47" s="1816"/>
      <c r="I47" s="1816"/>
      <c r="J47" s="1816"/>
      <c r="K47" s="1816"/>
      <c r="L47" s="1816"/>
      <c r="M47" s="1816"/>
      <c r="N47" s="1816"/>
      <c r="O47" s="1816"/>
      <c r="P47" s="1816"/>
      <c r="Q47" s="1816"/>
      <c r="R47" s="1816"/>
      <c r="S47" s="1816"/>
      <c r="T47" s="1816"/>
      <c r="U47" s="1816"/>
      <c r="V47" s="1816"/>
      <c r="W47" s="1816"/>
      <c r="X47" s="1816"/>
      <c r="Y47" s="1816"/>
      <c r="Z47" s="1816"/>
      <c r="AA47" s="1816"/>
      <c r="AB47" s="1816"/>
      <c r="AC47" s="1816"/>
      <c r="AD47" s="1816"/>
      <c r="AE47" s="1816"/>
      <c r="AF47" s="1816"/>
      <c r="AG47" s="1816"/>
      <c r="AH47" s="1816"/>
      <c r="AI47" s="1816"/>
      <c r="AJ47" s="1816"/>
      <c r="AK47" s="1816"/>
      <c r="AL47" s="1816"/>
      <c r="AM47" s="1816"/>
      <c r="AN47" s="1816"/>
      <c r="AO47" s="1816"/>
      <c r="AP47" s="1816"/>
      <c r="AQ47" s="1816"/>
      <c r="AR47" s="1816"/>
      <c r="AS47" s="1816"/>
      <c r="AT47" s="1816"/>
      <c r="AU47" s="1816"/>
      <c r="AV47" s="1816"/>
      <c r="AW47" s="1816"/>
      <c r="AX47" s="1816"/>
      <c r="AY47" s="1816"/>
      <c r="AZ47" s="1816"/>
    </row>
    <row r="48" spans="1:56">
      <c r="G48" s="1816"/>
      <c r="H48" s="1816"/>
      <c r="I48" s="1816"/>
      <c r="J48" s="1816"/>
      <c r="K48" s="1816"/>
      <c r="L48" s="1816"/>
      <c r="M48" s="1816"/>
      <c r="N48" s="1816"/>
      <c r="O48" s="1816"/>
      <c r="P48" s="1816"/>
      <c r="Q48" s="1816"/>
      <c r="R48" s="1816"/>
      <c r="S48" s="1816"/>
      <c r="T48" s="1816"/>
      <c r="U48" s="1816"/>
      <c r="V48" s="1816"/>
      <c r="W48" s="1816"/>
      <c r="X48" s="1816"/>
      <c r="Y48" s="1816"/>
      <c r="Z48" s="1816"/>
      <c r="AA48" s="1816"/>
      <c r="AB48" s="1816"/>
      <c r="AC48" s="1816"/>
      <c r="AD48" s="1816"/>
      <c r="AE48" s="1816"/>
      <c r="AF48" s="1816"/>
      <c r="AG48" s="1816"/>
      <c r="AH48" s="1816"/>
      <c r="AI48" s="1816"/>
      <c r="AJ48" s="1816"/>
      <c r="AK48" s="1816"/>
      <c r="AL48" s="1816"/>
      <c r="AM48" s="1816"/>
      <c r="AN48" s="1816"/>
      <c r="AO48" s="1816"/>
      <c r="AP48" s="1816"/>
      <c r="AQ48" s="1816"/>
      <c r="AR48" s="1816"/>
      <c r="AS48" s="1816"/>
      <c r="AT48" s="1816"/>
      <c r="AU48" s="1816"/>
      <c r="AV48" s="1816"/>
      <c r="AW48" s="1816"/>
      <c r="AX48" s="1816"/>
      <c r="AY48" s="1816"/>
      <c r="AZ48" s="1816"/>
    </row>
    <row r="49" spans="1:52">
      <c r="V49" s="1816"/>
      <c r="W49" s="1816"/>
      <c r="X49" s="1816"/>
      <c r="Y49" s="1816"/>
      <c r="Z49" s="1816"/>
      <c r="AA49" s="1816"/>
      <c r="AB49" s="1816"/>
      <c r="AC49" s="1816"/>
      <c r="AD49" s="1816"/>
      <c r="AE49" s="1816"/>
      <c r="AF49" s="1816"/>
      <c r="AG49" s="1816"/>
      <c r="AH49" s="1816"/>
      <c r="AI49" s="1816"/>
      <c r="AJ49" s="1816"/>
      <c r="AK49" s="1816"/>
      <c r="AL49" s="1816"/>
      <c r="AM49" s="1816"/>
      <c r="AN49" s="1816"/>
      <c r="AO49" s="1816"/>
      <c r="AP49" s="1816"/>
      <c r="AQ49" s="1816"/>
      <c r="AR49" s="1816"/>
      <c r="AS49" s="1816"/>
      <c r="AT49" s="1816"/>
      <c r="AU49" s="1816"/>
      <c r="AV49" s="1816"/>
      <c r="AW49" s="1816"/>
      <c r="AX49" s="1816"/>
      <c r="AY49" s="1816"/>
      <c r="AZ49" s="1816"/>
    </row>
    <row r="60" spans="1:52" ht="38.4">
      <c r="A60" s="1799" t="s">
        <v>1179</v>
      </c>
      <c r="B60" s="1799" t="s">
        <v>294</v>
      </c>
      <c r="C60" s="1799" t="s">
        <v>198</v>
      </c>
      <c r="D60" s="1799" t="s">
        <v>1180</v>
      </c>
      <c r="E60" s="1799" t="s">
        <v>1304</v>
      </c>
      <c r="F60" s="1799" t="s">
        <v>1182</v>
      </c>
      <c r="G60" s="1666"/>
      <c r="H60" s="1666"/>
      <c r="I60" s="1666"/>
      <c r="J60" s="1666"/>
      <c r="K60" s="1666"/>
      <c r="L60" s="1666"/>
      <c r="M60" s="1666"/>
      <c r="O60" s="1800"/>
      <c r="P60" s="1800"/>
      <c r="Q60" s="1800"/>
      <c r="R60" s="1800"/>
      <c r="S60" s="1800"/>
      <c r="T60" s="1800"/>
    </row>
    <row r="61" spans="1:52" ht="19.2">
      <c r="A61" s="1800" t="s">
        <v>197</v>
      </c>
      <c r="B61" s="1800" t="s">
        <v>61</v>
      </c>
      <c r="C61" s="1800" t="s">
        <v>62</v>
      </c>
      <c r="D61" s="1800" t="s">
        <v>63</v>
      </c>
      <c r="E61" s="1800" t="s">
        <v>64</v>
      </c>
      <c r="F61" s="1800"/>
      <c r="G61" s="1800"/>
      <c r="H61" s="1800"/>
      <c r="I61" s="1800"/>
      <c r="J61" s="1800"/>
      <c r="K61" s="1800"/>
      <c r="L61" s="1800"/>
      <c r="M61" s="1800"/>
      <c r="N61" s="1800"/>
      <c r="O61" s="1800"/>
      <c r="P61" s="1800"/>
      <c r="Q61" s="1800"/>
      <c r="R61" s="1800"/>
      <c r="S61" s="1800"/>
      <c r="T61" s="1800"/>
    </row>
    <row r="62" spans="1:52" ht="19.8" thickBot="1">
      <c r="A62" s="1800"/>
      <c r="B62" s="1800"/>
      <c r="C62" s="1800"/>
      <c r="D62" s="1800"/>
      <c r="E62" s="1800"/>
      <c r="F62" s="1800"/>
      <c r="G62" s="1666"/>
      <c r="H62" s="1666"/>
      <c r="I62" s="1666"/>
      <c r="J62" s="1666"/>
      <c r="K62" s="1666"/>
      <c r="L62" s="1666"/>
      <c r="M62" s="1666"/>
      <c r="O62" s="1800"/>
      <c r="P62" s="1800"/>
      <c r="Q62" s="1800"/>
      <c r="R62" s="1800"/>
      <c r="S62" s="1800"/>
      <c r="T62" s="1800"/>
    </row>
    <row r="63" spans="1:52" ht="231" thickBot="1">
      <c r="A63" s="1829" t="s">
        <v>1209</v>
      </c>
      <c r="B63" s="1827" t="s">
        <v>1210</v>
      </c>
      <c r="C63" s="1830" t="s">
        <v>1211</v>
      </c>
      <c r="D63" s="1830">
        <v>300</v>
      </c>
      <c r="E63" s="1831">
        <v>85000</v>
      </c>
      <c r="F63" s="1832">
        <f>D63*E63/10^5</f>
        <v>255</v>
      </c>
      <c r="G63" s="1832">
        <f>E63*F63/10^5</f>
        <v>216.75</v>
      </c>
      <c r="H63" s="1797" t="s">
        <v>0</v>
      </c>
    </row>
    <row r="64" spans="1:52" ht="173.4" thickBot="1">
      <c r="A64" s="1833" t="s">
        <v>1212</v>
      </c>
      <c r="B64" s="1806" t="s">
        <v>1213</v>
      </c>
      <c r="C64" s="1834" t="s">
        <v>1211</v>
      </c>
      <c r="D64" s="1834">
        <v>300</v>
      </c>
      <c r="E64" s="1831">
        <f>17440</f>
        <v>17440</v>
      </c>
      <c r="F64" s="1831">
        <f t="shared" ref="F64:G69" si="25">D64*E64/10^5</f>
        <v>52.32</v>
      </c>
      <c r="G64" s="1831">
        <f t="shared" si="25"/>
        <v>9.1246080000000003</v>
      </c>
    </row>
    <row r="65" spans="1:8" ht="269.39999999999998" thickBot="1">
      <c r="A65" s="1833" t="s">
        <v>1214</v>
      </c>
      <c r="B65" s="1835" t="s">
        <v>1215</v>
      </c>
      <c r="C65" s="1834" t="s">
        <v>1211</v>
      </c>
      <c r="D65" s="1834">
        <v>3</v>
      </c>
      <c r="E65" s="1831">
        <v>92650</v>
      </c>
      <c r="F65" s="1832">
        <f t="shared" si="25"/>
        <v>2.7795000000000001</v>
      </c>
      <c r="G65" s="1832">
        <f t="shared" si="25"/>
        <v>2.57520675</v>
      </c>
    </row>
    <row r="66" spans="1:8" ht="115.8" thickBot="1">
      <c r="A66" s="1833" t="s">
        <v>1216</v>
      </c>
      <c r="B66" s="1836" t="s">
        <v>1217</v>
      </c>
      <c r="C66" s="1834" t="s">
        <v>1218</v>
      </c>
      <c r="D66" s="1834">
        <v>3500</v>
      </c>
      <c r="E66" s="1831">
        <v>1635</v>
      </c>
      <c r="F66" s="1831">
        <f t="shared" si="25"/>
        <v>57.225000000000001</v>
      </c>
      <c r="G66" s="1831">
        <f t="shared" si="25"/>
        <v>0.93562875000000001</v>
      </c>
    </row>
    <row r="67" spans="1:8" ht="115.8" thickBot="1">
      <c r="A67" s="1833" t="s">
        <v>1219</v>
      </c>
      <c r="B67" s="1836" t="s">
        <v>1220</v>
      </c>
      <c r="C67" s="1834" t="s">
        <v>1218</v>
      </c>
      <c r="D67" s="1837">
        <v>100</v>
      </c>
      <c r="F67" s="1831">
        <f t="shared" si="25"/>
        <v>0</v>
      </c>
      <c r="G67" s="1831">
        <f t="shared" si="25"/>
        <v>0</v>
      </c>
    </row>
    <row r="68" spans="1:8" ht="135" thickBot="1">
      <c r="A68" s="1833" t="s">
        <v>1221</v>
      </c>
      <c r="B68" s="1836" t="s">
        <v>1222</v>
      </c>
      <c r="C68" s="1834" t="s">
        <v>1211</v>
      </c>
      <c r="D68" s="1837">
        <v>130</v>
      </c>
      <c r="E68" s="1831">
        <v>13080</v>
      </c>
      <c r="F68" s="1832">
        <f t="shared" si="25"/>
        <v>17.004000000000001</v>
      </c>
      <c r="G68" s="1832">
        <f t="shared" si="25"/>
        <v>2.2241232000000002</v>
      </c>
    </row>
    <row r="69" spans="1:8" ht="135" thickBot="1">
      <c r="A69" s="1838" t="s">
        <v>1223</v>
      </c>
      <c r="B69" s="1836" t="s">
        <v>1224</v>
      </c>
      <c r="C69" s="1834" t="s">
        <v>1225</v>
      </c>
      <c r="D69" s="1837">
        <v>2500</v>
      </c>
      <c r="F69" s="1831">
        <f t="shared" si="25"/>
        <v>0</v>
      </c>
      <c r="G69" s="1831">
        <f t="shared" si="25"/>
        <v>0</v>
      </c>
    </row>
    <row r="80" spans="1:8">
      <c r="H80" s="1825" t="s">
        <v>1305</v>
      </c>
    </row>
    <row r="83" spans="1:7" ht="38.4">
      <c r="A83" s="1799" t="s">
        <v>1179</v>
      </c>
      <c r="B83" s="1799" t="s">
        <v>294</v>
      </c>
      <c r="C83" s="1799" t="s">
        <v>198</v>
      </c>
      <c r="D83" s="1799" t="s">
        <v>1180</v>
      </c>
      <c r="E83" s="1799" t="s">
        <v>1181</v>
      </c>
      <c r="F83" s="1799" t="s">
        <v>1182</v>
      </c>
      <c r="G83" s="1799" t="s">
        <v>1226</v>
      </c>
    </row>
    <row r="84" spans="1:7" ht="19.2">
      <c r="A84" s="2536" t="s">
        <v>33</v>
      </c>
      <c r="B84" s="2536"/>
      <c r="C84" s="2536"/>
      <c r="D84" s="2536"/>
      <c r="E84" s="2536"/>
      <c r="F84" s="2536"/>
      <c r="G84" s="1828"/>
    </row>
    <row r="85" spans="1:7" ht="96">
      <c r="A85" s="1839" t="s">
        <v>1227</v>
      </c>
      <c r="B85" s="1826" t="s">
        <v>1228</v>
      </c>
      <c r="C85" s="1840" t="s">
        <v>673</v>
      </c>
      <c r="D85" s="1841">
        <v>70</v>
      </c>
      <c r="E85" s="1842">
        <v>2928.1</v>
      </c>
      <c r="F85" s="1840">
        <f>E85*D85</f>
        <v>204967</v>
      </c>
      <c r="G85" s="1843" t="s">
        <v>1229</v>
      </c>
    </row>
    <row r="86" spans="1:7" ht="96">
      <c r="A86" s="1839" t="s">
        <v>1230</v>
      </c>
      <c r="B86" s="1826" t="s">
        <v>1231</v>
      </c>
      <c r="C86" s="1840" t="s">
        <v>673</v>
      </c>
      <c r="D86" s="1841">
        <v>2</v>
      </c>
      <c r="E86" s="1842">
        <v>2007.1</v>
      </c>
      <c r="F86" s="1840">
        <f t="shared" ref="F86:F98" si="26">E86*D86</f>
        <v>4014.2</v>
      </c>
      <c r="G86" s="1843" t="s">
        <v>1232</v>
      </c>
    </row>
    <row r="87" spans="1:7" ht="96">
      <c r="A87" s="1839" t="s">
        <v>1233</v>
      </c>
      <c r="B87" s="1826" t="s">
        <v>1234</v>
      </c>
      <c r="C87" s="1840" t="s">
        <v>673</v>
      </c>
      <c r="D87" s="1841">
        <v>10</v>
      </c>
      <c r="E87" s="1842">
        <v>2619.4499999999998</v>
      </c>
      <c r="F87" s="1840">
        <f t="shared" si="26"/>
        <v>26194.5</v>
      </c>
      <c r="G87" s="1843" t="s">
        <v>1067</v>
      </c>
    </row>
    <row r="88" spans="1:7" ht="19.2">
      <c r="A88" s="2524" t="s">
        <v>1235</v>
      </c>
      <c r="B88" s="2525"/>
      <c r="C88" s="1844"/>
      <c r="D88" s="1844"/>
      <c r="E88" s="1844"/>
      <c r="F88" s="1845"/>
      <c r="G88" s="1828"/>
    </row>
    <row r="89" spans="1:7" ht="172.8">
      <c r="A89" s="1839" t="s">
        <v>1236</v>
      </c>
      <c r="B89" s="1826" t="s">
        <v>1237</v>
      </c>
      <c r="C89" s="1840" t="s">
        <v>673</v>
      </c>
      <c r="D89" s="1841">
        <v>200</v>
      </c>
      <c r="E89" s="1842">
        <f>286.85</f>
        <v>286.85000000000002</v>
      </c>
      <c r="F89" s="1840">
        <f t="shared" si="26"/>
        <v>57370.000000000007</v>
      </c>
      <c r="G89" s="1843" t="s">
        <v>1238</v>
      </c>
    </row>
    <row r="90" spans="1:7" ht="57.6">
      <c r="A90" s="1839" t="s">
        <v>1239</v>
      </c>
      <c r="B90" s="1839" t="s">
        <v>1240</v>
      </c>
      <c r="C90" s="1840" t="s">
        <v>673</v>
      </c>
      <c r="D90" s="1841">
        <v>80</v>
      </c>
      <c r="E90" s="1842">
        <v>253.95</v>
      </c>
      <c r="F90" s="1840">
        <f t="shared" si="26"/>
        <v>20316</v>
      </c>
      <c r="G90" s="1843" t="s">
        <v>1241</v>
      </c>
    </row>
    <row r="91" spans="1:7" ht="96">
      <c r="A91" s="1826" t="s">
        <v>1242</v>
      </c>
      <c r="B91" s="1826" t="s">
        <v>1243</v>
      </c>
      <c r="C91" s="1841" t="s">
        <v>673</v>
      </c>
      <c r="D91" s="1841">
        <v>120</v>
      </c>
      <c r="E91" s="1842">
        <v>271.45</v>
      </c>
      <c r="F91" s="1840">
        <f t="shared" si="26"/>
        <v>32574</v>
      </c>
      <c r="G91" s="1843" t="s">
        <v>1244</v>
      </c>
    </row>
    <row r="92" spans="1:7" ht="38.4">
      <c r="A92" s="1826" t="s">
        <v>1245</v>
      </c>
      <c r="B92" s="1826" t="s">
        <v>1246</v>
      </c>
      <c r="C92" s="1841" t="s">
        <v>673</v>
      </c>
      <c r="D92" s="1841">
        <v>5</v>
      </c>
      <c r="E92" s="1842">
        <v>2161.1999999999998</v>
      </c>
      <c r="F92" s="1840">
        <f t="shared" si="26"/>
        <v>10806</v>
      </c>
      <c r="G92" s="1843" t="s">
        <v>1247</v>
      </c>
    </row>
    <row r="93" spans="1:7" ht="57.6">
      <c r="A93" s="1826" t="s">
        <v>1248</v>
      </c>
      <c r="B93" s="1826" t="s">
        <v>1249</v>
      </c>
      <c r="C93" s="1841" t="s">
        <v>1225</v>
      </c>
      <c r="D93" s="1841">
        <v>200</v>
      </c>
      <c r="E93" s="1842">
        <v>28.15</v>
      </c>
      <c r="F93" s="1840">
        <f t="shared" si="26"/>
        <v>5630</v>
      </c>
      <c r="G93" s="1843" t="s">
        <v>1250</v>
      </c>
    </row>
    <row r="94" spans="1:7" ht="19.2">
      <c r="A94" s="2524" t="s">
        <v>1251</v>
      </c>
      <c r="B94" s="2525"/>
      <c r="C94" s="1844"/>
      <c r="D94" s="1844"/>
      <c r="E94" s="1844"/>
      <c r="F94" s="1845"/>
      <c r="G94" s="1828"/>
    </row>
    <row r="95" spans="1:7" ht="115.2">
      <c r="A95" s="1826" t="s">
        <v>1252</v>
      </c>
      <c r="B95" s="1826" t="s">
        <v>1253</v>
      </c>
      <c r="C95" s="1841" t="s">
        <v>564</v>
      </c>
      <c r="D95" s="1841">
        <v>1</v>
      </c>
      <c r="E95" s="1842">
        <v>50000</v>
      </c>
      <c r="F95" s="1840">
        <f t="shared" si="26"/>
        <v>50000</v>
      </c>
      <c r="G95" s="1843" t="s">
        <v>1254</v>
      </c>
    </row>
    <row r="96" spans="1:7" ht="192">
      <c r="A96" s="1839" t="s">
        <v>1255</v>
      </c>
      <c r="B96" s="1846" t="s">
        <v>1256</v>
      </c>
      <c r="C96" s="1840" t="s">
        <v>1039</v>
      </c>
      <c r="D96" s="1841">
        <v>360</v>
      </c>
      <c r="E96" s="1847">
        <v>3060.1</v>
      </c>
      <c r="F96" s="1840">
        <f t="shared" si="26"/>
        <v>1101636</v>
      </c>
      <c r="G96" s="1848" t="s">
        <v>1080</v>
      </c>
    </row>
    <row r="97" spans="1:7" ht="154.19999999999999">
      <c r="A97" s="1826" t="s">
        <v>1257</v>
      </c>
      <c r="B97" s="1807" t="s">
        <v>1258</v>
      </c>
      <c r="C97" s="1849" t="s">
        <v>1259</v>
      </c>
      <c r="D97" s="1841">
        <v>8</v>
      </c>
      <c r="E97" s="1847">
        <v>89650</v>
      </c>
      <c r="F97" s="1840">
        <f t="shared" si="26"/>
        <v>717200</v>
      </c>
      <c r="G97" s="1850" t="s">
        <v>750</v>
      </c>
    </row>
    <row r="98" spans="1:7" ht="57.6">
      <c r="A98" s="1851" t="s">
        <v>1260</v>
      </c>
      <c r="B98" s="1852" t="s">
        <v>1261</v>
      </c>
      <c r="C98" s="1853" t="s">
        <v>1259</v>
      </c>
      <c r="D98" s="1854">
        <v>3</v>
      </c>
      <c r="E98" s="1855">
        <v>93050</v>
      </c>
      <c r="F98" s="1840">
        <f t="shared" si="26"/>
        <v>279150</v>
      </c>
      <c r="G98" s="1850" t="s">
        <v>1078</v>
      </c>
    </row>
    <row r="99" spans="1:7" ht="115.2">
      <c r="A99" s="1851" t="s">
        <v>1262</v>
      </c>
      <c r="B99" s="1856" t="s">
        <v>1263</v>
      </c>
      <c r="C99" s="1853"/>
      <c r="D99" s="1854"/>
      <c r="E99" s="1857"/>
      <c r="F99" s="1857"/>
      <c r="G99" s="1828"/>
    </row>
    <row r="100" spans="1:7" ht="38.4">
      <c r="A100" s="1851"/>
      <c r="B100" s="1856" t="s">
        <v>1264</v>
      </c>
      <c r="C100" s="1853"/>
      <c r="D100" s="1854"/>
      <c r="E100" s="1857"/>
      <c r="F100" s="1857"/>
      <c r="G100" s="1828"/>
    </row>
    <row r="101" spans="1:7" ht="38.4">
      <c r="A101" s="1851"/>
      <c r="B101" s="1856" t="s">
        <v>1265</v>
      </c>
      <c r="C101" s="1853"/>
      <c r="D101" s="1854"/>
      <c r="E101" s="1857"/>
      <c r="F101" s="1857"/>
      <c r="G101" s="1828"/>
    </row>
    <row r="102" spans="1:7" ht="57.6">
      <c r="A102" s="1851"/>
      <c r="B102" s="1856" t="s">
        <v>1266</v>
      </c>
      <c r="C102" s="1853"/>
      <c r="D102" s="1854"/>
      <c r="E102" s="1857"/>
      <c r="F102" s="1857"/>
      <c r="G102" s="1828"/>
    </row>
    <row r="103" spans="1:7" ht="38.4">
      <c r="A103" s="1851"/>
      <c r="B103" s="1856" t="s">
        <v>1267</v>
      </c>
      <c r="C103" s="1853"/>
      <c r="D103" s="1854"/>
      <c r="E103" s="1857"/>
      <c r="F103" s="1857"/>
      <c r="G103" s="1828"/>
    </row>
    <row r="104" spans="1:7" ht="19.2">
      <c r="A104" s="1858" t="s">
        <v>937</v>
      </c>
      <c r="B104" s="1852" t="s">
        <v>1268</v>
      </c>
      <c r="C104" s="1854" t="s">
        <v>768</v>
      </c>
      <c r="D104" s="1854">
        <v>1</v>
      </c>
      <c r="E104" s="1847">
        <v>57531.3</v>
      </c>
      <c r="F104" s="1840">
        <f t="shared" ref="F104:F115" si="27">E104*D104</f>
        <v>57531.3</v>
      </c>
      <c r="G104" s="1850" t="s">
        <v>1269</v>
      </c>
    </row>
    <row r="105" spans="1:7" ht="19.2">
      <c r="A105" s="1858" t="s">
        <v>938</v>
      </c>
      <c r="B105" s="1852" t="s">
        <v>1270</v>
      </c>
      <c r="C105" s="1854" t="s">
        <v>768</v>
      </c>
      <c r="D105" s="1854">
        <v>1</v>
      </c>
      <c r="E105" s="1847">
        <v>30505</v>
      </c>
      <c r="F105" s="1840">
        <f t="shared" si="27"/>
        <v>30505</v>
      </c>
      <c r="G105" s="1850" t="s">
        <v>1271</v>
      </c>
    </row>
    <row r="106" spans="1:7" ht="19.2">
      <c r="A106" s="1858" t="s">
        <v>939</v>
      </c>
      <c r="B106" s="1852" t="s">
        <v>1272</v>
      </c>
      <c r="C106" s="1854" t="s">
        <v>768</v>
      </c>
      <c r="D106" s="1854">
        <v>1</v>
      </c>
      <c r="E106" s="1855">
        <v>45000</v>
      </c>
      <c r="F106" s="1840">
        <f t="shared" si="27"/>
        <v>45000</v>
      </c>
      <c r="G106" s="1850" t="s">
        <v>1254</v>
      </c>
    </row>
    <row r="107" spans="1:7" ht="19.2">
      <c r="A107" s="2524" t="s">
        <v>1273</v>
      </c>
      <c r="B107" s="2525"/>
      <c r="C107" s="1844"/>
      <c r="D107" s="1844"/>
      <c r="E107" s="1844"/>
      <c r="F107" s="1845"/>
      <c r="G107" s="1828"/>
    </row>
    <row r="108" spans="1:7" ht="96">
      <c r="A108" s="1839" t="s">
        <v>1274</v>
      </c>
      <c r="B108" s="1807" t="s">
        <v>1275</v>
      </c>
      <c r="C108" s="1840" t="s">
        <v>673</v>
      </c>
      <c r="D108" s="1841">
        <v>10</v>
      </c>
      <c r="E108" s="1842">
        <v>6833.4</v>
      </c>
      <c r="F108" s="1840">
        <f t="shared" si="27"/>
        <v>68334</v>
      </c>
      <c r="G108" s="1850" t="s">
        <v>1069</v>
      </c>
    </row>
    <row r="109" spans="1:7" ht="135">
      <c r="A109" s="1839" t="s">
        <v>1276</v>
      </c>
      <c r="B109" s="1846" t="s">
        <v>1277</v>
      </c>
      <c r="C109" s="1840" t="s">
        <v>673</v>
      </c>
      <c r="D109" s="1841">
        <v>2</v>
      </c>
      <c r="E109" s="1859">
        <f>1.1*8599.35</f>
        <v>9459.2850000000017</v>
      </c>
      <c r="F109" s="1840">
        <f t="shared" si="27"/>
        <v>18918.570000000003</v>
      </c>
      <c r="G109" s="1860" t="s">
        <v>1073</v>
      </c>
    </row>
    <row r="110" spans="1:7" ht="172.8">
      <c r="A110" s="1839" t="s">
        <v>1278</v>
      </c>
      <c r="B110" s="1807" t="s">
        <v>1279</v>
      </c>
      <c r="C110" s="1840" t="s">
        <v>673</v>
      </c>
      <c r="D110" s="1841">
        <v>90</v>
      </c>
      <c r="E110" s="1842">
        <v>7997.3</v>
      </c>
      <c r="F110" s="1840">
        <f t="shared" si="27"/>
        <v>719757</v>
      </c>
      <c r="G110" s="1843" t="s">
        <v>1280</v>
      </c>
    </row>
    <row r="111" spans="1:7" ht="96.6">
      <c r="A111" s="1826" t="s">
        <v>1281</v>
      </c>
      <c r="B111" s="1807" t="s">
        <v>1282</v>
      </c>
      <c r="C111" s="1841" t="s">
        <v>1259</v>
      </c>
      <c r="D111" s="1841">
        <v>10</v>
      </c>
      <c r="E111" s="1855">
        <v>89500</v>
      </c>
      <c r="F111" s="1840">
        <f t="shared" si="27"/>
        <v>895000</v>
      </c>
      <c r="G111" s="1850" t="s">
        <v>750</v>
      </c>
    </row>
    <row r="112" spans="1:7" ht="19.2">
      <c r="A112" s="2524" t="s">
        <v>1283</v>
      </c>
      <c r="B112" s="2525"/>
      <c r="C112" s="1844"/>
      <c r="D112" s="1844"/>
      <c r="E112" s="1844"/>
      <c r="F112" s="1845"/>
      <c r="G112" s="1828"/>
    </row>
    <row r="113" spans="1:7" ht="57.6">
      <c r="A113" s="1826" t="s">
        <v>1284</v>
      </c>
      <c r="B113" s="1807" t="s">
        <v>1285</v>
      </c>
      <c r="C113" s="1841" t="s">
        <v>1225</v>
      </c>
      <c r="D113" s="1841">
        <v>75</v>
      </c>
      <c r="E113" s="1842">
        <v>76.400000000000006</v>
      </c>
      <c r="F113" s="1840">
        <f t="shared" si="27"/>
        <v>5730</v>
      </c>
      <c r="G113" s="1848" t="s">
        <v>1286</v>
      </c>
    </row>
    <row r="114" spans="1:7" ht="153.6">
      <c r="A114" s="1826" t="s">
        <v>1287</v>
      </c>
      <c r="B114" s="1807" t="s">
        <v>1288</v>
      </c>
      <c r="C114" s="1841" t="s">
        <v>673</v>
      </c>
      <c r="D114" s="1841">
        <v>5</v>
      </c>
      <c r="E114" s="1842">
        <v>27763.65</v>
      </c>
      <c r="F114" s="1840">
        <f t="shared" si="27"/>
        <v>138818.25</v>
      </c>
      <c r="G114" s="1861">
        <v>5.36</v>
      </c>
    </row>
    <row r="115" spans="1:7" ht="134.4">
      <c r="A115" s="1826" t="s">
        <v>1289</v>
      </c>
      <c r="B115" s="1807" t="s">
        <v>1290</v>
      </c>
      <c r="C115" s="1841" t="s">
        <v>1259</v>
      </c>
      <c r="D115" s="1841">
        <v>2</v>
      </c>
      <c r="E115" s="1847">
        <v>93050</v>
      </c>
      <c r="F115" s="1840">
        <f t="shared" si="27"/>
        <v>186100</v>
      </c>
      <c r="G115" s="1843" t="s">
        <v>1078</v>
      </c>
    </row>
    <row r="116" spans="1:7" ht="20.399999999999999">
      <c r="D116" s="1862"/>
      <c r="E116" s="1863" t="s">
        <v>9</v>
      </c>
      <c r="F116" s="1864">
        <f>SUM(F85:F115)</f>
        <v>4675551.82</v>
      </c>
    </row>
  </sheetData>
  <mergeCells count="83">
    <mergeCell ref="T35:T41"/>
    <mergeCell ref="A84:F84"/>
    <mergeCell ref="A88:B88"/>
    <mergeCell ref="A94:B94"/>
    <mergeCell ref="A107:B107"/>
    <mergeCell ref="Q35:Q41"/>
    <mergeCell ref="R35:R41"/>
    <mergeCell ref="S35:S41"/>
    <mergeCell ref="A112:B112"/>
    <mergeCell ref="D46:E46"/>
    <mergeCell ref="M35:M41"/>
    <mergeCell ref="O35:O41"/>
    <mergeCell ref="P35:P41"/>
    <mergeCell ref="G35:G41"/>
    <mergeCell ref="H35:H41"/>
    <mergeCell ref="I35:I41"/>
    <mergeCell ref="J35:J41"/>
    <mergeCell ref="K35:K41"/>
    <mergeCell ref="L35:L41"/>
    <mergeCell ref="A35:A41"/>
    <mergeCell ref="C35:C41"/>
    <mergeCell ref="D35:D41"/>
    <mergeCell ref="E35:E41"/>
    <mergeCell ref="F35:F41"/>
    <mergeCell ref="P26:P32"/>
    <mergeCell ref="Q26:Q32"/>
    <mergeCell ref="R26:R32"/>
    <mergeCell ref="S26:S32"/>
    <mergeCell ref="T26:T32"/>
    <mergeCell ref="I26:I32"/>
    <mergeCell ref="J26:J32"/>
    <mergeCell ref="K26:K32"/>
    <mergeCell ref="L26:L32"/>
    <mergeCell ref="M26:M32"/>
    <mergeCell ref="O26:O32"/>
    <mergeCell ref="R19:R25"/>
    <mergeCell ref="S19:S25"/>
    <mergeCell ref="T19:T25"/>
    <mergeCell ref="A26:A32"/>
    <mergeCell ref="C26:C32"/>
    <mergeCell ref="D26:D32"/>
    <mergeCell ref="E26:E32"/>
    <mergeCell ref="F26:F32"/>
    <mergeCell ref="G26:G32"/>
    <mergeCell ref="H26:H32"/>
    <mergeCell ref="K19:K25"/>
    <mergeCell ref="L19:L25"/>
    <mergeCell ref="M19:M25"/>
    <mergeCell ref="O19:O25"/>
    <mergeCell ref="P19:P25"/>
    <mergeCell ref="Q19:Q25"/>
    <mergeCell ref="T12:T18"/>
    <mergeCell ref="A19:A25"/>
    <mergeCell ref="C19:C25"/>
    <mergeCell ref="D19:D25"/>
    <mergeCell ref="E19:E25"/>
    <mergeCell ref="F19:F25"/>
    <mergeCell ref="G19:G25"/>
    <mergeCell ref="H19:H25"/>
    <mergeCell ref="I19:I25"/>
    <mergeCell ref="J19:J25"/>
    <mergeCell ref="M12:M18"/>
    <mergeCell ref="O12:O18"/>
    <mergeCell ref="P12:P18"/>
    <mergeCell ref="Q12:Q18"/>
    <mergeCell ref="R12:R18"/>
    <mergeCell ref="S12:S18"/>
    <mergeCell ref="G12:G18"/>
    <mergeCell ref="H12:H18"/>
    <mergeCell ref="I12:I18"/>
    <mergeCell ref="J12:J18"/>
    <mergeCell ref="K12:K18"/>
    <mergeCell ref="L12:L18"/>
    <mergeCell ref="A1:I1"/>
    <mergeCell ref="A2:I2"/>
    <mergeCell ref="A3:I3"/>
    <mergeCell ref="A4:I4"/>
    <mergeCell ref="A5:I5"/>
    <mergeCell ref="A12:A18"/>
    <mergeCell ref="C12:C18"/>
    <mergeCell ref="D12:D18"/>
    <mergeCell ref="E12:E18"/>
    <mergeCell ref="F12:F18"/>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Q29"/>
  <sheetViews>
    <sheetView showZeros="0" topLeftCell="A21" zoomScale="70" zoomScaleNormal="70" workbookViewId="0">
      <selection activeCell="E24" sqref="E24"/>
    </sheetView>
  </sheetViews>
  <sheetFormatPr defaultColWidth="8.90625" defaultRowHeight="14.4"/>
  <cols>
    <col min="1" max="1" width="8.90625" style="1733"/>
    <col min="2" max="2" width="67.36328125" style="1733" customWidth="1"/>
    <col min="3" max="4" width="8.90625" style="1733"/>
    <col min="5" max="5" width="11.08984375" style="1733" customWidth="1"/>
    <col min="6" max="7" width="9.6328125" style="1733" customWidth="1"/>
    <col min="8" max="8" width="10.453125" style="1733" bestFit="1" customWidth="1"/>
    <col min="9" max="9" width="10.81640625" style="1733" bestFit="1" customWidth="1"/>
    <col min="10" max="10" width="10.453125" style="1733" bestFit="1" customWidth="1"/>
    <col min="11" max="11" width="11.08984375" style="1733" bestFit="1" customWidth="1"/>
    <col min="12" max="12" width="12.6328125" style="1733" bestFit="1" customWidth="1"/>
    <col min="13" max="13" width="13.1796875" style="1733" bestFit="1" customWidth="1"/>
    <col min="14" max="14" width="14.36328125" style="1733" customWidth="1"/>
    <col min="15" max="15" width="14.6328125" style="1733" customWidth="1"/>
    <col min="16" max="16" width="8.90625" style="1733"/>
    <col min="17" max="17" width="9.36328125" style="1733" customWidth="1"/>
    <col min="18" max="16384" width="8.90625" style="1733"/>
  </cols>
  <sheetData>
    <row r="1" spans="1:17" ht="15.6">
      <c r="A1" s="2538" t="s">
        <v>1</v>
      </c>
      <c r="B1" s="2538"/>
      <c r="C1" s="2538"/>
      <c r="D1" s="2538"/>
      <c r="E1" s="2538"/>
      <c r="F1" s="2538"/>
      <c r="G1" s="2538"/>
      <c r="H1" s="2538"/>
      <c r="I1" s="2538"/>
      <c r="J1" s="2538"/>
    </row>
    <row r="2" spans="1:17">
      <c r="A2" s="2539" t="s">
        <v>1084</v>
      </c>
      <c r="B2" s="2539"/>
      <c r="C2" s="2539"/>
      <c r="D2" s="2539"/>
      <c r="E2" s="2539"/>
      <c r="F2" s="2539"/>
      <c r="G2" s="2539"/>
      <c r="H2" s="2539"/>
      <c r="I2" s="2539"/>
      <c r="J2" s="2539"/>
    </row>
    <row r="3" spans="1:17" ht="17.25" customHeight="1">
      <c r="A3" s="2540" t="s">
        <v>987</v>
      </c>
      <c r="B3" s="2540"/>
      <c r="C3" s="2540"/>
      <c r="D3" s="2540"/>
      <c r="E3" s="2540"/>
      <c r="F3" s="2540"/>
      <c r="G3" s="2540"/>
      <c r="H3" s="2540"/>
      <c r="I3" s="2540"/>
      <c r="J3" s="2540"/>
    </row>
    <row r="4" spans="1:17">
      <c r="A4" s="2539" t="s">
        <v>988</v>
      </c>
      <c r="B4" s="2539"/>
      <c r="C4" s="2539"/>
      <c r="D4" s="2539"/>
      <c r="E4" s="2539"/>
      <c r="F4" s="2539"/>
      <c r="G4" s="2539"/>
      <c r="H4" s="2539"/>
      <c r="I4" s="2539"/>
      <c r="J4" s="2539"/>
    </row>
    <row r="5" spans="1:17">
      <c r="A5" s="2541" t="s">
        <v>1315</v>
      </c>
      <c r="B5" s="2541"/>
      <c r="C5" s="2541"/>
      <c r="D5" s="2541"/>
      <c r="E5" s="2541"/>
      <c r="F5" s="2541"/>
      <c r="G5" s="2541"/>
      <c r="H5" s="2541"/>
      <c r="I5" s="2541"/>
      <c r="J5" s="2541"/>
    </row>
    <row r="12" spans="1:17">
      <c r="Q12" s="1734" t="s">
        <v>334</v>
      </c>
    </row>
    <row r="13" spans="1:17" ht="110.25" customHeight="1">
      <c r="A13" s="1735" t="s">
        <v>1179</v>
      </c>
      <c r="B13" s="1735" t="s">
        <v>294</v>
      </c>
      <c r="C13" s="1735" t="s">
        <v>198</v>
      </c>
      <c r="D13" s="1735" t="s">
        <v>1180</v>
      </c>
      <c r="E13" s="1735" t="s">
        <v>1181</v>
      </c>
      <c r="F13" s="1736" t="s">
        <v>1341</v>
      </c>
      <c r="G13" s="1736" t="s">
        <v>1342</v>
      </c>
      <c r="H13" s="1651" t="s">
        <v>1292</v>
      </c>
      <c r="I13" s="1651" t="s">
        <v>1317</v>
      </c>
      <c r="J13" s="1651" t="s">
        <v>1293</v>
      </c>
      <c r="K13" s="1651" t="s">
        <v>1294</v>
      </c>
      <c r="L13" s="1651" t="s">
        <v>1295</v>
      </c>
      <c r="M13" s="1651" t="s">
        <v>1296</v>
      </c>
      <c r="N13" s="1736" t="s">
        <v>1342</v>
      </c>
      <c r="O13" s="1737" t="s">
        <v>1320</v>
      </c>
      <c r="Q13" s="1738" t="s">
        <v>1322</v>
      </c>
    </row>
    <row r="14" spans="1:17" ht="24" customHeight="1">
      <c r="A14" s="1739" t="s">
        <v>197</v>
      </c>
      <c r="B14" s="1739" t="s">
        <v>61</v>
      </c>
      <c r="C14" s="1739" t="s">
        <v>62</v>
      </c>
      <c r="D14" s="1739" t="s">
        <v>63</v>
      </c>
      <c r="E14" s="1739" t="s">
        <v>64</v>
      </c>
      <c r="F14" s="1739"/>
      <c r="G14" s="1739"/>
      <c r="H14" s="1666" t="s">
        <v>65</v>
      </c>
      <c r="I14" s="1666" t="s">
        <v>1309</v>
      </c>
      <c r="J14" s="1666" t="s">
        <v>67</v>
      </c>
      <c r="K14" s="1666" t="s">
        <v>1310</v>
      </c>
      <c r="L14" s="1666" t="s">
        <v>1311</v>
      </c>
      <c r="M14" s="1666" t="s">
        <v>1312</v>
      </c>
    </row>
    <row r="15" spans="1:17" ht="19.2">
      <c r="A15" s="1739"/>
      <c r="B15" s="1739"/>
      <c r="C15" s="1739"/>
      <c r="D15" s="1739"/>
      <c r="E15" s="1739"/>
      <c r="F15" s="1739"/>
      <c r="G15" s="1739"/>
      <c r="H15" s="1671">
        <v>0.18</v>
      </c>
      <c r="I15" s="1666"/>
      <c r="J15" s="1666"/>
      <c r="K15" s="1666"/>
      <c r="L15" s="1666"/>
      <c r="M15" s="1666"/>
    </row>
    <row r="16" spans="1:17" ht="221.25" customHeight="1">
      <c r="A16" s="1740" t="s">
        <v>1209</v>
      </c>
      <c r="B16" s="1745" t="s">
        <v>1356</v>
      </c>
      <c r="C16" s="1740" t="s">
        <v>1211</v>
      </c>
      <c r="D16" s="1740">
        <v>300</v>
      </c>
      <c r="E16" s="1742">
        <f>85000+ 85000*(5%+9%)</f>
        <v>96900</v>
      </c>
      <c r="F16" s="1896">
        <f>D16*85000/10^5/1.2</f>
        <v>212.5</v>
      </c>
      <c r="G16" s="1894" t="s">
        <v>1354</v>
      </c>
      <c r="H16" s="1743">
        <f>E16*$H$15</f>
        <v>17442</v>
      </c>
      <c r="I16" s="1743">
        <f>E16+H16</f>
        <v>114342</v>
      </c>
      <c r="J16" s="1743">
        <f>H16</f>
        <v>17442</v>
      </c>
      <c r="K16" s="1743">
        <f>I16-J16</f>
        <v>96900</v>
      </c>
      <c r="L16" s="1743">
        <f>I16*D16</f>
        <v>34302600</v>
      </c>
      <c r="M16" s="1743">
        <f>K16*D16</f>
        <v>29070000</v>
      </c>
      <c r="N16" s="1796" t="s">
        <v>1333</v>
      </c>
      <c r="O16" s="1878"/>
    </row>
    <row r="17" spans="1:17" ht="271.5" customHeight="1">
      <c r="A17" s="1740" t="s">
        <v>1212</v>
      </c>
      <c r="B17" s="1745" t="s">
        <v>1357</v>
      </c>
      <c r="C17" s="1740" t="s">
        <v>1211</v>
      </c>
      <c r="D17" s="1740">
        <v>3</v>
      </c>
      <c r="E17" s="1794" t="e">
        <f>92650*#REF!</f>
        <v>#REF!</v>
      </c>
      <c r="F17" s="1896" t="e">
        <f>D17*E17/10^5/(1.05*1.09*1.2)</f>
        <v>#REF!</v>
      </c>
      <c r="G17" s="1895" t="s">
        <v>1353</v>
      </c>
      <c r="H17" s="1794" t="e">
        <f t="shared" ref="H17" si="0">E17*$H$15</f>
        <v>#REF!</v>
      </c>
      <c r="I17" s="1794" t="e">
        <f t="shared" ref="I17" si="1">E17+H17</f>
        <v>#REF!</v>
      </c>
      <c r="J17" s="1794" t="e">
        <f t="shared" ref="J17" si="2">H17</f>
        <v>#REF!</v>
      </c>
      <c r="K17" s="1794" t="e">
        <f t="shared" ref="K17" si="3">I17-J17</f>
        <v>#REF!</v>
      </c>
      <c r="L17" s="1794" t="e">
        <f t="shared" ref="L17" si="4">I17*D17</f>
        <v>#REF!</v>
      </c>
      <c r="M17" s="1794" t="e">
        <f t="shared" ref="M17" si="5">K17*D17</f>
        <v>#REF!</v>
      </c>
      <c r="N17" s="1889" t="s">
        <v>1345</v>
      </c>
      <c r="O17" s="1890" t="s">
        <v>1346</v>
      </c>
      <c r="P17" s="1737" t="s">
        <v>1319</v>
      </c>
      <c r="Q17" s="1738" t="s">
        <v>1323</v>
      </c>
    </row>
    <row r="18" spans="1:17" ht="160.5" customHeight="1">
      <c r="A18" s="1740" t="s">
        <v>1214</v>
      </c>
      <c r="B18" s="1745" t="e">
        <f>#REF!</f>
        <v>#REF!</v>
      </c>
      <c r="C18" s="1740" t="s">
        <v>1211</v>
      </c>
      <c r="D18" s="1740">
        <v>303</v>
      </c>
      <c r="E18" s="1794" t="e">
        <f>17440*#REF!</f>
        <v>#REF!</v>
      </c>
      <c r="F18" s="1896" t="e">
        <f>D18*E18/10^5</f>
        <v>#REF!</v>
      </c>
      <c r="G18" s="1897" t="s">
        <v>1355</v>
      </c>
      <c r="H18" s="1794" t="e">
        <f t="shared" ref="H18" si="6">E18*$H$15</f>
        <v>#REF!</v>
      </c>
      <c r="I18" s="1794" t="e">
        <f t="shared" ref="I18" si="7">E18+H18</f>
        <v>#REF!</v>
      </c>
      <c r="J18" s="1794" t="e">
        <f t="shared" ref="J18" si="8">H18</f>
        <v>#REF!</v>
      </c>
      <c r="K18" s="1794" t="e">
        <f t="shared" ref="K18" si="9">I18-J18</f>
        <v>#REF!</v>
      </c>
      <c r="L18" s="1794" t="e">
        <f t="shared" ref="L18" si="10">I18*D18</f>
        <v>#REF!</v>
      </c>
      <c r="M18" s="1794" t="e">
        <f t="shared" ref="M18" si="11">K18*D18</f>
        <v>#REF!</v>
      </c>
      <c r="N18" s="1893" t="s">
        <v>808</v>
      </c>
      <c r="O18" s="1893" t="s">
        <v>808</v>
      </c>
      <c r="P18" s="1792" t="s">
        <v>1319</v>
      </c>
      <c r="Q18" s="1738" t="s">
        <v>1323</v>
      </c>
    </row>
    <row r="19" spans="1:17" ht="120" customHeight="1">
      <c r="A19" s="1740" t="s">
        <v>1216</v>
      </c>
      <c r="B19" s="1741" t="s">
        <v>1217</v>
      </c>
      <c r="C19" s="1740" t="s">
        <v>1218</v>
      </c>
      <c r="D19" s="1740"/>
      <c r="E19" s="1743"/>
      <c r="F19" s="1896">
        <f t="shared" ref="F19" si="12">D19*E19/10^5</f>
        <v>0</v>
      </c>
      <c r="G19" s="1891" t="s">
        <v>1348</v>
      </c>
      <c r="H19" s="1743">
        <f t="shared" ref="H19:H26" si="13">E19*$H$15</f>
        <v>0</v>
      </c>
      <c r="I19" s="1743">
        <f t="shared" ref="I19:I26" si="14">E19+H19</f>
        <v>0</v>
      </c>
      <c r="J19" s="1743">
        <f t="shared" ref="J19:J26" si="15">H19</f>
        <v>0</v>
      </c>
      <c r="K19" s="1743">
        <f t="shared" ref="K19:K26" si="16">I19-J19</f>
        <v>0</v>
      </c>
      <c r="L19" s="1743">
        <f t="shared" ref="L19:L26" si="17">I19*D19</f>
        <v>0</v>
      </c>
      <c r="M19" s="1743">
        <f t="shared" ref="M19:M26" si="18">K19*D19</f>
        <v>0</v>
      </c>
      <c r="N19" s="1737"/>
      <c r="O19" s="1737"/>
      <c r="Q19" s="1738" t="s">
        <v>1324</v>
      </c>
    </row>
    <row r="20" spans="1:17" ht="57.6">
      <c r="B20" s="1745" t="s">
        <v>1325</v>
      </c>
      <c r="C20" s="1740" t="s">
        <v>1218</v>
      </c>
      <c r="D20" s="1747">
        <v>500</v>
      </c>
      <c r="E20" s="1868" t="e">
        <f>E21</f>
        <v>#REF!</v>
      </c>
      <c r="F20" s="1896" t="e">
        <f>D20*E20/10^5/(1.05*1.09*1.2)</f>
        <v>#REF!</v>
      </c>
      <c r="G20" s="1742"/>
      <c r="H20" s="1743" t="e">
        <f t="shared" si="13"/>
        <v>#REF!</v>
      </c>
      <c r="I20" s="1743" t="e">
        <f t="shared" si="14"/>
        <v>#REF!</v>
      </c>
      <c r="J20" s="1743" t="e">
        <f t="shared" si="15"/>
        <v>#REF!</v>
      </c>
      <c r="K20" s="1743" t="e">
        <f t="shared" si="16"/>
        <v>#REF!</v>
      </c>
      <c r="L20" s="1743" t="e">
        <f t="shared" si="17"/>
        <v>#REF!</v>
      </c>
      <c r="M20" s="1743" t="e">
        <f t="shared" si="18"/>
        <v>#REF!</v>
      </c>
      <c r="N20" s="1898" t="s">
        <v>1358</v>
      </c>
      <c r="O20" s="1874" t="s">
        <v>1331</v>
      </c>
    </row>
    <row r="21" spans="1:17" ht="86.4">
      <c r="A21" s="1740"/>
      <c r="B21" s="1745" t="s">
        <v>1326</v>
      </c>
      <c r="C21" s="1740" t="s">
        <v>1218</v>
      </c>
      <c r="D21" s="1740">
        <v>3000</v>
      </c>
      <c r="E21" s="1794" t="e">
        <f>1853*#REF!</f>
        <v>#REF!</v>
      </c>
      <c r="F21" s="1896" t="e">
        <f>D21*E21/10^5/(1.05*1.09*1.2)</f>
        <v>#REF!</v>
      </c>
      <c r="G21" s="1868"/>
      <c r="H21" s="1794" t="e">
        <f t="shared" si="13"/>
        <v>#REF!</v>
      </c>
      <c r="I21" s="1794" t="e">
        <f t="shared" si="14"/>
        <v>#REF!</v>
      </c>
      <c r="J21" s="1794" t="e">
        <f t="shared" si="15"/>
        <v>#REF!</v>
      </c>
      <c r="K21" s="1794" t="e">
        <f t="shared" si="16"/>
        <v>#REF!</v>
      </c>
      <c r="L21" s="1794" t="e">
        <f t="shared" si="17"/>
        <v>#REF!</v>
      </c>
      <c r="M21" s="1794" t="e">
        <f t="shared" si="18"/>
        <v>#REF!</v>
      </c>
      <c r="N21" s="1890" t="s">
        <v>1347</v>
      </c>
      <c r="O21" s="1795"/>
      <c r="Q21" s="1748"/>
    </row>
    <row r="22" spans="1:17" ht="132" customHeight="1">
      <c r="A22" s="1740" t="s">
        <v>1219</v>
      </c>
      <c r="B22" s="1741" t="s">
        <v>1220</v>
      </c>
      <c r="C22" s="1740" t="s">
        <v>1218</v>
      </c>
      <c r="D22" s="1749"/>
      <c r="E22" s="1744"/>
      <c r="F22" s="1896">
        <f t="shared" ref="F22:F24" si="19">D22*E22/10^5/(1.05*1.09*1.2)</f>
        <v>0</v>
      </c>
      <c r="G22" s="1888" t="s">
        <v>1343</v>
      </c>
      <c r="H22" s="1743">
        <f t="shared" si="13"/>
        <v>0</v>
      </c>
      <c r="I22" s="1743">
        <f t="shared" si="14"/>
        <v>0</v>
      </c>
      <c r="J22" s="1743">
        <f t="shared" si="15"/>
        <v>0</v>
      </c>
      <c r="K22" s="1743">
        <f t="shared" si="16"/>
        <v>0</v>
      </c>
      <c r="L22" s="1743">
        <f t="shared" si="17"/>
        <v>0</v>
      </c>
      <c r="M22" s="1743">
        <f t="shared" si="18"/>
        <v>0</v>
      </c>
      <c r="N22" s="1744"/>
      <c r="O22" s="1875"/>
      <c r="Q22" s="1738" t="s">
        <v>1327</v>
      </c>
    </row>
    <row r="23" spans="1:17" ht="57.6">
      <c r="A23" s="1740"/>
      <c r="B23" s="1745" t="s">
        <v>1328</v>
      </c>
      <c r="C23" s="1740"/>
      <c r="D23" s="1749">
        <v>10</v>
      </c>
      <c r="E23" s="1873" t="e">
        <f>E24</f>
        <v>#REF!</v>
      </c>
      <c r="F23" s="1896" t="e">
        <f t="shared" si="19"/>
        <v>#REF!</v>
      </c>
      <c r="G23" s="1872"/>
      <c r="H23" s="1743" t="e">
        <f t="shared" si="13"/>
        <v>#REF!</v>
      </c>
      <c r="I23" s="1743" t="e">
        <f t="shared" si="14"/>
        <v>#REF!</v>
      </c>
      <c r="J23" s="1743" t="e">
        <f t="shared" si="15"/>
        <v>#REF!</v>
      </c>
      <c r="K23" s="1743" t="e">
        <f t="shared" si="16"/>
        <v>#REF!</v>
      </c>
      <c r="L23" s="1743" t="e">
        <f t="shared" si="17"/>
        <v>#REF!</v>
      </c>
      <c r="M23" s="1743"/>
      <c r="N23" s="1899" t="s">
        <v>1358</v>
      </c>
      <c r="O23" s="1737"/>
      <c r="Q23" s="1748"/>
    </row>
    <row r="24" spans="1:17" ht="86.4">
      <c r="A24" s="1740"/>
      <c r="B24" s="1745" t="s">
        <v>1329</v>
      </c>
      <c r="C24" s="1740"/>
      <c r="D24" s="1749">
        <v>90</v>
      </c>
      <c r="E24" s="1868" t="e">
        <f>1744*#REF!</f>
        <v>#REF!</v>
      </c>
      <c r="F24" s="1896" t="e">
        <f t="shared" si="19"/>
        <v>#REF!</v>
      </c>
      <c r="G24" s="1872"/>
      <c r="H24" s="1794" t="e">
        <f t="shared" si="13"/>
        <v>#REF!</v>
      </c>
      <c r="I24" s="1794" t="e">
        <f t="shared" si="14"/>
        <v>#REF!</v>
      </c>
      <c r="J24" s="1794" t="e">
        <f t="shared" si="15"/>
        <v>#REF!</v>
      </c>
      <c r="K24" s="1794" t="e">
        <f t="shared" si="16"/>
        <v>#REF!</v>
      </c>
      <c r="L24" s="1794" t="e">
        <f t="shared" si="17"/>
        <v>#REF!</v>
      </c>
      <c r="M24" s="1743"/>
      <c r="N24" s="1898" t="s">
        <v>1347</v>
      </c>
      <c r="O24" s="1737"/>
      <c r="Q24" s="1748"/>
    </row>
    <row r="25" spans="1:17" ht="141.75" customHeight="1">
      <c r="A25" s="1740" t="s">
        <v>1221</v>
      </c>
      <c r="B25" s="1741" t="s">
        <v>1222</v>
      </c>
      <c r="C25" s="1740" t="s">
        <v>1211</v>
      </c>
      <c r="D25" s="1749">
        <v>130</v>
      </c>
      <c r="E25" s="1794" t="e">
        <f>13080*#REF!</f>
        <v>#REF!</v>
      </c>
      <c r="F25" s="1896" t="e">
        <f>D25*E25/10^5/1.05</f>
        <v>#REF!</v>
      </c>
      <c r="G25" s="1887" t="s">
        <v>1344</v>
      </c>
      <c r="H25" s="1794" t="e">
        <f t="shared" si="13"/>
        <v>#REF!</v>
      </c>
      <c r="I25" s="1794" t="e">
        <f t="shared" si="14"/>
        <v>#REF!</v>
      </c>
      <c r="J25" s="1794" t="e">
        <f t="shared" si="15"/>
        <v>#REF!</v>
      </c>
      <c r="K25" s="1794" t="e">
        <f t="shared" si="16"/>
        <v>#REF!</v>
      </c>
      <c r="L25" s="1794" t="e">
        <f t="shared" si="17"/>
        <v>#REF!</v>
      </c>
      <c r="M25" s="1794" t="e">
        <f t="shared" si="18"/>
        <v>#REF!</v>
      </c>
      <c r="N25" s="1889" t="s">
        <v>1349</v>
      </c>
      <c r="O25" s="1892" t="s">
        <v>1346</v>
      </c>
      <c r="P25" s="1737" t="s">
        <v>1319</v>
      </c>
      <c r="Q25" s="1738" t="s">
        <v>1323</v>
      </c>
    </row>
    <row r="26" spans="1:17" ht="135" thickBot="1">
      <c r="A26" s="1749" t="s">
        <v>1223</v>
      </c>
      <c r="B26" s="1741" t="s">
        <v>1224</v>
      </c>
      <c r="C26" s="1740" t="s">
        <v>1225</v>
      </c>
      <c r="D26" s="1749">
        <v>2500</v>
      </c>
      <c r="E26" s="1742">
        <f>300*1.05</f>
        <v>315</v>
      </c>
      <c r="F26" s="1896">
        <f>D26*E26/10^5/1.05</f>
        <v>7.5</v>
      </c>
      <c r="G26" s="1895" t="s">
        <v>1352</v>
      </c>
      <c r="H26" s="1743">
        <f t="shared" si="13"/>
        <v>56.699999999999996</v>
      </c>
      <c r="I26" s="1743">
        <f t="shared" si="14"/>
        <v>371.7</v>
      </c>
      <c r="J26" s="1743">
        <f t="shared" si="15"/>
        <v>56.699999999999996</v>
      </c>
      <c r="K26" s="1743">
        <f t="shared" si="16"/>
        <v>315</v>
      </c>
      <c r="L26" s="1750">
        <f t="shared" si="17"/>
        <v>929250</v>
      </c>
      <c r="M26" s="1743">
        <f t="shared" si="18"/>
        <v>787500</v>
      </c>
      <c r="N26" s="1746" t="s">
        <v>1332</v>
      </c>
      <c r="O26" s="1744"/>
    </row>
    <row r="27" spans="1:17" ht="23.25" customHeight="1" thickBot="1">
      <c r="D27" s="2537" t="s">
        <v>1337</v>
      </c>
      <c r="E27" s="2537"/>
      <c r="F27" s="1880" t="e">
        <f>SUM(F16:F26)-F18-F25-F26</f>
        <v>#REF!</v>
      </c>
      <c r="G27" s="1880"/>
      <c r="L27" s="1884" t="e">
        <f>SUM(L16:L26)</f>
        <v>#REF!</v>
      </c>
      <c r="M27" s="1751" t="e">
        <f>SUM(M16:M26)</f>
        <v>#REF!</v>
      </c>
    </row>
    <row r="29" spans="1:17">
      <c r="L29" s="1733" t="e">
        <f>L27/10^7</f>
        <v>#REF!</v>
      </c>
      <c r="M29" s="1733" t="e">
        <f>M27/10^7</f>
        <v>#REF!</v>
      </c>
    </row>
  </sheetData>
  <mergeCells count="6">
    <mergeCell ref="D27:E27"/>
    <mergeCell ref="A1:J1"/>
    <mergeCell ref="A2:J2"/>
    <mergeCell ref="A3:J3"/>
    <mergeCell ref="A4:J4"/>
    <mergeCell ref="A5:J5"/>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W46"/>
  <sheetViews>
    <sheetView showZeros="0" zoomScale="70" zoomScaleNormal="70" workbookViewId="0">
      <selection activeCell="C14" sqref="C14"/>
    </sheetView>
  </sheetViews>
  <sheetFormatPr defaultColWidth="8.90625" defaultRowHeight="14.4"/>
  <cols>
    <col min="1" max="1" width="8.90625" style="1752"/>
    <col min="2" max="2" width="67.36328125" style="1752" customWidth="1"/>
    <col min="3" max="3" width="8.90625" style="1752"/>
    <col min="4" max="4" width="8.90625" style="1753"/>
    <col min="5" max="5" width="11.08984375" style="1752" customWidth="1"/>
    <col min="6" max="7" width="9.6328125" style="1752" customWidth="1"/>
    <col min="8" max="8" width="14.36328125" style="1752" customWidth="1"/>
    <col min="9" max="11" width="8.90625" style="1752"/>
    <col min="12" max="12" width="11" style="1752" customWidth="1"/>
    <col min="13" max="13" width="11.54296875" style="1752" customWidth="1"/>
    <col min="14" max="14" width="15.08984375" style="1752" customWidth="1"/>
    <col min="15" max="15" width="18.54296875" style="1752" customWidth="1"/>
    <col min="16" max="19" width="8.90625" style="1752"/>
    <col min="20" max="20" width="8.90625" style="1752" customWidth="1"/>
    <col min="21" max="21" width="14.36328125" style="1752" customWidth="1"/>
    <col min="22" max="22" width="9.36328125" style="1752" bestFit="1" customWidth="1"/>
    <col min="23" max="16384" width="8.90625" style="1752"/>
  </cols>
  <sheetData>
    <row r="1" spans="1:23" ht="15.6">
      <c r="A1" s="2538" t="s">
        <v>1</v>
      </c>
      <c r="B1" s="2538"/>
      <c r="C1" s="2538"/>
      <c r="D1" s="2538"/>
      <c r="E1" s="2538"/>
      <c r="F1" s="2538"/>
      <c r="G1" s="2538"/>
      <c r="H1" s="2538"/>
      <c r="I1" s="2538"/>
      <c r="J1" s="2538"/>
    </row>
    <row r="2" spans="1:23">
      <c r="A2" s="2539" t="s">
        <v>1084</v>
      </c>
      <c r="B2" s="2539"/>
      <c r="C2" s="2539"/>
      <c r="D2" s="2539"/>
      <c r="E2" s="2539"/>
      <c r="F2" s="2539"/>
      <c r="G2" s="2539"/>
      <c r="H2" s="2539"/>
      <c r="I2" s="2539"/>
      <c r="J2" s="2539"/>
    </row>
    <row r="3" spans="1:23" ht="17.25" customHeight="1">
      <c r="A3" s="2540" t="s">
        <v>987</v>
      </c>
      <c r="B3" s="2540"/>
      <c r="C3" s="2540"/>
      <c r="D3" s="2540"/>
      <c r="E3" s="2540"/>
      <c r="F3" s="2540"/>
      <c r="G3" s="2540"/>
      <c r="H3" s="2540"/>
      <c r="I3" s="2540"/>
      <c r="J3" s="2540"/>
    </row>
    <row r="4" spans="1:23">
      <c r="A4" s="2539" t="s">
        <v>988</v>
      </c>
      <c r="B4" s="2539"/>
      <c r="C4" s="2539"/>
      <c r="D4" s="2539"/>
      <c r="E4" s="2539"/>
      <c r="F4" s="2539"/>
      <c r="G4" s="2539"/>
      <c r="H4" s="2539"/>
      <c r="I4" s="2539"/>
      <c r="J4" s="2539"/>
    </row>
    <row r="5" spans="1:23">
      <c r="A5" s="2541" t="s">
        <v>1316</v>
      </c>
      <c r="B5" s="2541"/>
      <c r="C5" s="2541"/>
      <c r="D5" s="2541"/>
      <c r="E5" s="2541"/>
      <c r="F5" s="2541"/>
      <c r="G5" s="2541"/>
      <c r="H5" s="2541"/>
      <c r="I5" s="2541"/>
      <c r="J5" s="2541"/>
    </row>
    <row r="8" spans="1:23">
      <c r="P8" s="1734" t="s">
        <v>334</v>
      </c>
    </row>
    <row r="9" spans="1:23" ht="93.6">
      <c r="A9" s="1754" t="s">
        <v>1179</v>
      </c>
      <c r="B9" s="1754" t="s">
        <v>294</v>
      </c>
      <c r="C9" s="1754" t="s">
        <v>198</v>
      </c>
      <c r="D9" s="1754" t="s">
        <v>1180</v>
      </c>
      <c r="E9" s="1735" t="s">
        <v>1299</v>
      </c>
      <c r="F9" s="1865" t="s">
        <v>1335</v>
      </c>
      <c r="G9" s="1651" t="s">
        <v>1297</v>
      </c>
      <c r="H9" s="1651" t="s">
        <v>1292</v>
      </c>
      <c r="I9" s="1651" t="s">
        <v>1317</v>
      </c>
      <c r="J9" s="1651" t="s">
        <v>1293</v>
      </c>
      <c r="K9" s="1651" t="s">
        <v>1294</v>
      </c>
      <c r="L9" s="1651" t="s">
        <v>1295</v>
      </c>
      <c r="M9" s="1651" t="s">
        <v>1296</v>
      </c>
      <c r="N9" s="1879" t="s">
        <v>1340</v>
      </c>
      <c r="O9" s="1737" t="s">
        <v>1318</v>
      </c>
      <c r="P9" s="1755" t="s">
        <v>1330</v>
      </c>
      <c r="R9" s="1735" t="s">
        <v>1299</v>
      </c>
      <c r="S9" s="1735" t="s">
        <v>538</v>
      </c>
      <c r="T9" s="1735" t="s">
        <v>1291</v>
      </c>
      <c r="U9" s="1756" t="s">
        <v>824</v>
      </c>
      <c r="V9" s="1735" t="s">
        <v>1298</v>
      </c>
      <c r="W9" s="1739"/>
    </row>
    <row r="10" spans="1:23" ht="19.2">
      <c r="A10" s="1739" t="s">
        <v>197</v>
      </c>
      <c r="B10" s="1739" t="s">
        <v>61</v>
      </c>
      <c r="C10" s="1739" t="s">
        <v>62</v>
      </c>
      <c r="D10" s="1739" t="s">
        <v>63</v>
      </c>
      <c r="E10" s="1739" t="s">
        <v>64</v>
      </c>
      <c r="F10" s="1739"/>
      <c r="G10" s="1739" t="s">
        <v>65</v>
      </c>
      <c r="H10" s="1739" t="s">
        <v>66</v>
      </c>
      <c r="I10" s="1739" t="s">
        <v>1300</v>
      </c>
      <c r="J10" s="1739" t="s">
        <v>298</v>
      </c>
      <c r="K10" s="1739" t="s">
        <v>1301</v>
      </c>
      <c r="L10" s="1739" t="s">
        <v>1302</v>
      </c>
      <c r="M10" s="1739" t="s">
        <v>1303</v>
      </c>
      <c r="N10" s="1754"/>
      <c r="O10" s="1733"/>
      <c r="R10" s="1739" t="str">
        <f>E10</f>
        <v>e</v>
      </c>
      <c r="S10" s="1739"/>
      <c r="T10" s="1739"/>
      <c r="U10" s="1739"/>
      <c r="V10" s="1739" t="str">
        <f>G10</f>
        <v>f</v>
      </c>
    </row>
    <row r="11" spans="1:23" ht="19.2">
      <c r="A11" s="1739"/>
      <c r="B11" s="1739"/>
      <c r="C11" s="1739"/>
      <c r="D11" s="1739"/>
      <c r="E11" s="1739"/>
      <c r="F11" s="1739"/>
      <c r="G11" s="1739"/>
      <c r="H11" s="1671">
        <v>0.18</v>
      </c>
      <c r="I11" s="1666"/>
      <c r="J11" s="1666"/>
      <c r="K11" s="1666"/>
      <c r="L11" s="1666"/>
      <c r="M11" s="1666"/>
      <c r="N11" s="1754"/>
      <c r="O11" s="1733"/>
      <c r="S11" s="1757">
        <v>0.12</v>
      </c>
      <c r="T11" s="1877">
        <v>0.05</v>
      </c>
      <c r="U11" s="1757">
        <v>0.02</v>
      </c>
    </row>
    <row r="12" spans="1:23" ht="19.2">
      <c r="A12" s="2542" t="s">
        <v>33</v>
      </c>
      <c r="B12" s="2542"/>
      <c r="C12" s="2542"/>
      <c r="D12" s="2542"/>
      <c r="E12" s="2542"/>
      <c r="F12" s="2542"/>
      <c r="G12" s="1758"/>
      <c r="H12" s="1759"/>
      <c r="N12" s="1759"/>
    </row>
    <row r="13" spans="1:23" ht="96">
      <c r="A13" s="1758" t="s">
        <v>1227</v>
      </c>
      <c r="B13" s="1760" t="s">
        <v>1228</v>
      </c>
      <c r="C13" s="1761" t="s">
        <v>673</v>
      </c>
      <c r="D13" s="1762">
        <v>70</v>
      </c>
      <c r="E13" s="1763">
        <f>2928.1/1.15</f>
        <v>2546.1739130434785</v>
      </c>
      <c r="F13" s="1869">
        <f>E13*D13/10^5</f>
        <v>1.7823217391304349</v>
      </c>
      <c r="G13" s="1764">
        <f>V13</f>
        <v>2673.4826086956523</v>
      </c>
      <c r="H13" s="1764">
        <f>G13*$H$11</f>
        <v>481.22686956521738</v>
      </c>
      <c r="I13" s="1764">
        <f>G13+H13</f>
        <v>3154.7094782608697</v>
      </c>
      <c r="J13" s="1764">
        <f>H13</f>
        <v>481.22686956521738</v>
      </c>
      <c r="K13" s="1764">
        <f>I13-J13</f>
        <v>2673.4826086956523</v>
      </c>
      <c r="L13" s="1764">
        <f>I13*D13</f>
        <v>220829.66347826089</v>
      </c>
      <c r="M13" s="1764">
        <f>K13*D13</f>
        <v>187143.78260869565</v>
      </c>
      <c r="N13" s="1765" t="s">
        <v>1229</v>
      </c>
      <c r="R13" s="1763">
        <f>E13</f>
        <v>2546.1739130434785</v>
      </c>
      <c r="S13" s="1759"/>
      <c r="T13" s="1766">
        <f>R13*$T$11</f>
        <v>127.30869565217392</v>
      </c>
      <c r="U13" s="1767"/>
      <c r="V13" s="1766">
        <f>R13+S13+T13+U13</f>
        <v>2673.4826086956523</v>
      </c>
    </row>
    <row r="14" spans="1:23" ht="96">
      <c r="A14" s="1758" t="s">
        <v>1230</v>
      </c>
      <c r="B14" s="1760" t="s">
        <v>1231</v>
      </c>
      <c r="C14" s="1761" t="s">
        <v>673</v>
      </c>
      <c r="D14" s="1762">
        <v>2</v>
      </c>
      <c r="E14" s="1763">
        <f>2007.1/1.15</f>
        <v>1745.304347826087</v>
      </c>
      <c r="F14" s="1869">
        <f t="shared" ref="F14:F43" si="0">E14*D14/10^5</f>
        <v>3.490608695652174E-2</v>
      </c>
      <c r="G14" s="1764">
        <f t="shared" ref="G14:G43" si="1">V14</f>
        <v>1832.5695652173913</v>
      </c>
      <c r="H14" s="1764">
        <f t="shared" ref="H14:H43" si="2">G14*$H$11</f>
        <v>329.86252173913044</v>
      </c>
      <c r="I14" s="1764">
        <f t="shared" ref="I14:I43" si="3">G14+H14</f>
        <v>2162.4320869565217</v>
      </c>
      <c r="J14" s="1764">
        <f t="shared" ref="J14:J43" si="4">H14</f>
        <v>329.86252173913044</v>
      </c>
      <c r="K14" s="1764">
        <f t="shared" ref="K14:K43" si="5">I14-J14</f>
        <v>1832.5695652173913</v>
      </c>
      <c r="L14" s="1764">
        <f t="shared" ref="L14:L43" si="6">I14*D14</f>
        <v>4324.8641739130435</v>
      </c>
      <c r="M14" s="1764">
        <f t="shared" ref="M14:M43" si="7">K14*D14</f>
        <v>3665.1391304347826</v>
      </c>
      <c r="N14" s="1765" t="s">
        <v>1232</v>
      </c>
      <c r="R14" s="1763">
        <f t="shared" ref="R14:R43" si="8">E14</f>
        <v>1745.304347826087</v>
      </c>
      <c r="S14" s="1759"/>
      <c r="T14" s="1766">
        <f t="shared" ref="T14:T43" si="9">R14*$T$11</f>
        <v>87.265217391304361</v>
      </c>
      <c r="U14" s="1767"/>
      <c r="V14" s="1766">
        <f t="shared" ref="V14:V43" si="10">R14+S14+T14+U14</f>
        <v>1832.5695652173913</v>
      </c>
    </row>
    <row r="15" spans="1:23" ht="96">
      <c r="A15" s="1758" t="s">
        <v>1233</v>
      </c>
      <c r="B15" s="1760" t="s">
        <v>1234</v>
      </c>
      <c r="C15" s="1761" t="s">
        <v>673</v>
      </c>
      <c r="D15" s="1762">
        <v>10</v>
      </c>
      <c r="E15" s="1763">
        <f>2619.45/1.15</f>
        <v>2277.782608695652</v>
      </c>
      <c r="F15" s="1869">
        <f t="shared" si="0"/>
        <v>0.22777826086956521</v>
      </c>
      <c r="G15" s="1764">
        <f t="shared" si="1"/>
        <v>2391.6717391304346</v>
      </c>
      <c r="H15" s="1764">
        <f t="shared" si="2"/>
        <v>430.50091304347819</v>
      </c>
      <c r="I15" s="1764">
        <f t="shared" si="3"/>
        <v>2822.1726521739129</v>
      </c>
      <c r="J15" s="1764">
        <f t="shared" si="4"/>
        <v>430.50091304347819</v>
      </c>
      <c r="K15" s="1764">
        <f t="shared" si="5"/>
        <v>2391.6717391304346</v>
      </c>
      <c r="L15" s="1764">
        <f t="shared" si="6"/>
        <v>28221.726521739129</v>
      </c>
      <c r="M15" s="1764">
        <f t="shared" si="7"/>
        <v>23916.717391304344</v>
      </c>
      <c r="N15" s="1765" t="s">
        <v>1067</v>
      </c>
      <c r="R15" s="1763">
        <f t="shared" si="8"/>
        <v>2277.782608695652</v>
      </c>
      <c r="S15" s="1759"/>
      <c r="T15" s="1766">
        <f t="shared" si="9"/>
        <v>113.8891304347826</v>
      </c>
      <c r="U15" s="1767"/>
      <c r="V15" s="1766">
        <f t="shared" si="10"/>
        <v>2391.6717391304346</v>
      </c>
    </row>
    <row r="16" spans="1:23" ht="17.25" customHeight="1">
      <c r="A16" s="2544" t="s">
        <v>1235</v>
      </c>
      <c r="B16" s="2545"/>
      <c r="C16" s="1768"/>
      <c r="D16" s="1768"/>
      <c r="E16" s="1768"/>
      <c r="F16" s="1869">
        <f t="shared" si="0"/>
        <v>0</v>
      </c>
      <c r="G16" s="1764">
        <f t="shared" si="1"/>
        <v>0</v>
      </c>
      <c r="H16" s="1764">
        <f t="shared" si="2"/>
        <v>0</v>
      </c>
      <c r="I16" s="1764">
        <f t="shared" si="3"/>
        <v>0</v>
      </c>
      <c r="J16" s="1764">
        <f t="shared" si="4"/>
        <v>0</v>
      </c>
      <c r="K16" s="1764">
        <f t="shared" si="5"/>
        <v>0</v>
      </c>
      <c r="L16" s="1764">
        <f t="shared" si="6"/>
        <v>0</v>
      </c>
      <c r="M16" s="1764">
        <f t="shared" si="7"/>
        <v>0</v>
      </c>
      <c r="N16" s="1759"/>
      <c r="R16" s="1763">
        <f t="shared" si="8"/>
        <v>0</v>
      </c>
      <c r="S16" s="1759"/>
      <c r="T16" s="1766">
        <f t="shared" si="9"/>
        <v>0</v>
      </c>
      <c r="U16" s="1769"/>
      <c r="V16" s="1766">
        <f t="shared" si="10"/>
        <v>0</v>
      </c>
    </row>
    <row r="17" spans="1:22" ht="172.8">
      <c r="A17" s="1758" t="s">
        <v>1236</v>
      </c>
      <c r="B17" s="1760" t="s">
        <v>1237</v>
      </c>
      <c r="C17" s="1761" t="s">
        <v>673</v>
      </c>
      <c r="D17" s="1762">
        <v>200</v>
      </c>
      <c r="E17" s="1763">
        <f>286.85/1.15</f>
        <v>249.43478260869568</v>
      </c>
      <c r="F17" s="1869">
        <f t="shared" si="0"/>
        <v>0.49886956521739134</v>
      </c>
      <c r="G17" s="1764">
        <f t="shared" si="1"/>
        <v>261.90652173913048</v>
      </c>
      <c r="H17" s="1764">
        <f t="shared" si="2"/>
        <v>47.143173913043483</v>
      </c>
      <c r="I17" s="1764">
        <f t="shared" si="3"/>
        <v>309.04969565217397</v>
      </c>
      <c r="J17" s="1764">
        <f t="shared" si="4"/>
        <v>47.143173913043483</v>
      </c>
      <c r="K17" s="1764">
        <f t="shared" si="5"/>
        <v>261.90652173913048</v>
      </c>
      <c r="L17" s="1764">
        <f t="shared" si="6"/>
        <v>61809.939130434796</v>
      </c>
      <c r="M17" s="1764">
        <f t="shared" si="7"/>
        <v>52381.304347826095</v>
      </c>
      <c r="N17" s="1765" t="s">
        <v>1238</v>
      </c>
      <c r="R17" s="1763">
        <f t="shared" si="8"/>
        <v>249.43478260869568</v>
      </c>
      <c r="S17" s="1759"/>
      <c r="T17" s="1766">
        <f t="shared" si="9"/>
        <v>12.471739130434784</v>
      </c>
      <c r="U17" s="1767"/>
      <c r="V17" s="1766">
        <f t="shared" si="10"/>
        <v>261.90652173913048</v>
      </c>
    </row>
    <row r="18" spans="1:22" ht="57.6">
      <c r="A18" s="1758" t="s">
        <v>1239</v>
      </c>
      <c r="B18" s="1758" t="s">
        <v>1240</v>
      </c>
      <c r="C18" s="1761" t="s">
        <v>673</v>
      </c>
      <c r="D18" s="1762">
        <v>80</v>
      </c>
      <c r="E18" s="1763">
        <f>253.95/1.15</f>
        <v>220.82608695652175</v>
      </c>
      <c r="F18" s="1869">
        <f t="shared" si="0"/>
        <v>0.1766608695652174</v>
      </c>
      <c r="G18" s="1764">
        <f t="shared" si="1"/>
        <v>231.86739130434785</v>
      </c>
      <c r="H18" s="1764">
        <f t="shared" si="2"/>
        <v>41.736130434782609</v>
      </c>
      <c r="I18" s="1764">
        <f t="shared" si="3"/>
        <v>273.60352173913043</v>
      </c>
      <c r="J18" s="1764">
        <f t="shared" si="4"/>
        <v>41.736130434782609</v>
      </c>
      <c r="K18" s="1764">
        <f t="shared" si="5"/>
        <v>231.86739130434782</v>
      </c>
      <c r="L18" s="1764">
        <f t="shared" si="6"/>
        <v>21888.281739130434</v>
      </c>
      <c r="M18" s="1764">
        <f t="shared" si="7"/>
        <v>18549.391304347824</v>
      </c>
      <c r="N18" s="1765" t="s">
        <v>1241</v>
      </c>
      <c r="R18" s="1763">
        <f t="shared" si="8"/>
        <v>220.82608695652175</v>
      </c>
      <c r="S18" s="1759"/>
      <c r="T18" s="1766">
        <f t="shared" si="9"/>
        <v>11.041304347826088</v>
      </c>
      <c r="U18" s="1767"/>
      <c r="V18" s="1766">
        <f t="shared" si="10"/>
        <v>231.86739130434785</v>
      </c>
    </row>
    <row r="19" spans="1:22" ht="96">
      <c r="A19" s="1760" t="s">
        <v>1242</v>
      </c>
      <c r="B19" s="1760" t="s">
        <v>1243</v>
      </c>
      <c r="C19" s="1762" t="s">
        <v>673</v>
      </c>
      <c r="D19" s="1762">
        <v>120</v>
      </c>
      <c r="E19" s="1763">
        <f>271.45/1.15</f>
        <v>236.04347826086956</v>
      </c>
      <c r="F19" s="1869">
        <f t="shared" si="0"/>
        <v>0.28325217391304347</v>
      </c>
      <c r="G19" s="1764">
        <f t="shared" si="1"/>
        <v>247.84565217391304</v>
      </c>
      <c r="H19" s="1764">
        <f t="shared" si="2"/>
        <v>44.612217391304348</v>
      </c>
      <c r="I19" s="1764">
        <f t="shared" si="3"/>
        <v>292.45786956521738</v>
      </c>
      <c r="J19" s="1764">
        <f t="shared" si="4"/>
        <v>44.612217391304348</v>
      </c>
      <c r="K19" s="1764">
        <f t="shared" si="5"/>
        <v>247.84565217391304</v>
      </c>
      <c r="L19" s="1764">
        <f t="shared" si="6"/>
        <v>35094.944347826087</v>
      </c>
      <c r="M19" s="1764">
        <f t="shared" si="7"/>
        <v>29741.478260869564</v>
      </c>
      <c r="N19" s="1765" t="s">
        <v>1244</v>
      </c>
      <c r="R19" s="1763">
        <f t="shared" si="8"/>
        <v>236.04347826086956</v>
      </c>
      <c r="S19" s="1759"/>
      <c r="T19" s="1766">
        <f t="shared" si="9"/>
        <v>11.802173913043479</v>
      </c>
      <c r="U19" s="1767"/>
      <c r="V19" s="1766">
        <f t="shared" si="10"/>
        <v>247.84565217391304</v>
      </c>
    </row>
    <row r="20" spans="1:22" ht="38.4">
      <c r="A20" s="1760" t="s">
        <v>1245</v>
      </c>
      <c r="B20" s="1760" t="s">
        <v>1246</v>
      </c>
      <c r="C20" s="1762" t="s">
        <v>673</v>
      </c>
      <c r="D20" s="1762">
        <v>5</v>
      </c>
      <c r="E20" s="1763">
        <f>2161.2/1.15</f>
        <v>1879.304347826087</v>
      </c>
      <c r="F20" s="1869">
        <f t="shared" si="0"/>
        <v>9.3965217391304354E-2</v>
      </c>
      <c r="G20" s="1764">
        <f t="shared" si="1"/>
        <v>1973.2695652173913</v>
      </c>
      <c r="H20" s="1764">
        <f t="shared" si="2"/>
        <v>355.18852173913041</v>
      </c>
      <c r="I20" s="1764">
        <f t="shared" si="3"/>
        <v>2328.4580869565216</v>
      </c>
      <c r="J20" s="1764">
        <f t="shared" si="4"/>
        <v>355.18852173913041</v>
      </c>
      <c r="K20" s="1764">
        <f t="shared" si="5"/>
        <v>1973.2695652173911</v>
      </c>
      <c r="L20" s="1764">
        <f t="shared" si="6"/>
        <v>11642.290434782608</v>
      </c>
      <c r="M20" s="1764">
        <f t="shared" si="7"/>
        <v>9866.347826086956</v>
      </c>
      <c r="N20" s="1765" t="s">
        <v>1247</v>
      </c>
      <c r="R20" s="1763">
        <f t="shared" si="8"/>
        <v>1879.304347826087</v>
      </c>
      <c r="S20" s="1759"/>
      <c r="T20" s="1766">
        <f t="shared" si="9"/>
        <v>93.96521739130435</v>
      </c>
      <c r="U20" s="1767"/>
      <c r="V20" s="1766">
        <f t="shared" si="10"/>
        <v>1973.2695652173913</v>
      </c>
    </row>
    <row r="21" spans="1:22" ht="57.6">
      <c r="A21" s="1760" t="s">
        <v>1248</v>
      </c>
      <c r="B21" s="1760" t="s">
        <v>1249</v>
      </c>
      <c r="C21" s="1762" t="s">
        <v>1225</v>
      </c>
      <c r="D21" s="1762">
        <v>200</v>
      </c>
      <c r="E21" s="1763">
        <f>28.15/1.15</f>
        <v>24.478260869565219</v>
      </c>
      <c r="F21" s="1869">
        <f t="shared" si="0"/>
        <v>4.895652173913044E-2</v>
      </c>
      <c r="G21" s="1764">
        <f t="shared" si="1"/>
        <v>25.702173913043481</v>
      </c>
      <c r="H21" s="1764">
        <f t="shared" si="2"/>
        <v>4.626391304347826</v>
      </c>
      <c r="I21" s="1764">
        <f t="shared" si="3"/>
        <v>30.328565217391308</v>
      </c>
      <c r="J21" s="1764">
        <f t="shared" si="4"/>
        <v>4.626391304347826</v>
      </c>
      <c r="K21" s="1764">
        <f t="shared" si="5"/>
        <v>25.702173913043481</v>
      </c>
      <c r="L21" s="1764">
        <f t="shared" si="6"/>
        <v>6065.7130434782612</v>
      </c>
      <c r="M21" s="1764">
        <f t="shared" si="7"/>
        <v>5140.434782608696</v>
      </c>
      <c r="N21" s="1765" t="s">
        <v>1250</v>
      </c>
      <c r="R21" s="1763">
        <f t="shared" si="8"/>
        <v>24.478260869565219</v>
      </c>
      <c r="S21" s="1759"/>
      <c r="T21" s="1766">
        <f t="shared" si="9"/>
        <v>1.223913043478261</v>
      </c>
      <c r="U21" s="1767"/>
      <c r="V21" s="1766">
        <f t="shared" si="10"/>
        <v>25.702173913043481</v>
      </c>
    </row>
    <row r="22" spans="1:22" ht="17.25" customHeight="1">
      <c r="A22" s="2544" t="s">
        <v>1251</v>
      </c>
      <c r="B22" s="2545"/>
      <c r="C22" s="1768"/>
      <c r="D22" s="1768"/>
      <c r="E22" s="1768"/>
      <c r="F22" s="1869">
        <f t="shared" si="0"/>
        <v>0</v>
      </c>
      <c r="G22" s="1761">
        <f t="shared" si="1"/>
        <v>0</v>
      </c>
      <c r="H22" s="1764">
        <f t="shared" si="2"/>
        <v>0</v>
      </c>
      <c r="I22" s="1764">
        <f t="shared" si="3"/>
        <v>0</v>
      </c>
      <c r="J22" s="1764">
        <f t="shared" si="4"/>
        <v>0</v>
      </c>
      <c r="K22" s="1764">
        <f t="shared" si="5"/>
        <v>0</v>
      </c>
      <c r="L22" s="1764">
        <f t="shared" si="6"/>
        <v>0</v>
      </c>
      <c r="M22" s="1764">
        <f t="shared" si="7"/>
        <v>0</v>
      </c>
      <c r="N22" s="1759"/>
      <c r="R22" s="1763">
        <f t="shared" si="8"/>
        <v>0</v>
      </c>
      <c r="S22" s="1759"/>
      <c r="T22" s="1766">
        <f t="shared" si="9"/>
        <v>0</v>
      </c>
      <c r="U22" s="1769"/>
      <c r="V22" s="1766">
        <f t="shared" si="10"/>
        <v>0</v>
      </c>
    </row>
    <row r="23" spans="1:22" ht="115.2">
      <c r="A23" s="1760" t="s">
        <v>1252</v>
      </c>
      <c r="B23" s="1760" t="s">
        <v>1253</v>
      </c>
      <c r="C23" s="1762" t="s">
        <v>564</v>
      </c>
      <c r="D23" s="1762">
        <v>1</v>
      </c>
      <c r="E23" s="1763">
        <v>50000</v>
      </c>
      <c r="F23" s="1869">
        <f t="shared" si="0"/>
        <v>0.5</v>
      </c>
      <c r="G23" s="1764">
        <f t="shared" si="1"/>
        <v>52500</v>
      </c>
      <c r="H23" s="1764">
        <f t="shared" si="2"/>
        <v>9450</v>
      </c>
      <c r="I23" s="1764">
        <f t="shared" si="3"/>
        <v>61950</v>
      </c>
      <c r="J23" s="1764">
        <f t="shared" si="4"/>
        <v>9450</v>
      </c>
      <c r="K23" s="1764">
        <f t="shared" si="5"/>
        <v>52500</v>
      </c>
      <c r="L23" s="1764">
        <f t="shared" si="6"/>
        <v>61950</v>
      </c>
      <c r="M23" s="1764">
        <f t="shared" si="7"/>
        <v>52500</v>
      </c>
      <c r="N23" s="1765" t="s">
        <v>1254</v>
      </c>
      <c r="R23" s="1763">
        <f t="shared" si="8"/>
        <v>50000</v>
      </c>
      <c r="S23" s="1759"/>
      <c r="T23" s="1766">
        <f t="shared" si="9"/>
        <v>2500</v>
      </c>
      <c r="U23" s="1767"/>
      <c r="V23" s="1766">
        <f t="shared" si="10"/>
        <v>52500</v>
      </c>
    </row>
    <row r="24" spans="1:22" ht="192">
      <c r="A24" s="1758" t="s">
        <v>1255</v>
      </c>
      <c r="B24" s="1770" t="s">
        <v>1256</v>
      </c>
      <c r="C24" s="1761" t="s">
        <v>1039</v>
      </c>
      <c r="D24" s="1762">
        <v>360</v>
      </c>
      <c r="E24" s="1763">
        <f>3060.1/1.15</f>
        <v>2660.9565217391305</v>
      </c>
      <c r="F24" s="1869">
        <f t="shared" si="0"/>
        <v>9.5794434782608704</v>
      </c>
      <c r="G24" s="1764">
        <f t="shared" si="1"/>
        <v>2794.0043478260868</v>
      </c>
      <c r="H24" s="1764">
        <f t="shared" si="2"/>
        <v>502.92078260869562</v>
      </c>
      <c r="I24" s="1764">
        <f t="shared" si="3"/>
        <v>3296.9251304347827</v>
      </c>
      <c r="J24" s="1764">
        <f t="shared" si="4"/>
        <v>502.92078260869562</v>
      </c>
      <c r="K24" s="1764">
        <f t="shared" si="5"/>
        <v>2794.0043478260868</v>
      </c>
      <c r="L24" s="1764">
        <f t="shared" si="6"/>
        <v>1186893.0469565217</v>
      </c>
      <c r="M24" s="1764">
        <f t="shared" si="7"/>
        <v>1005841.5652173912</v>
      </c>
      <c r="N24" s="1771" t="s">
        <v>1080</v>
      </c>
      <c r="R24" s="1763">
        <f t="shared" si="8"/>
        <v>2660.9565217391305</v>
      </c>
      <c r="S24" s="1759"/>
      <c r="T24" s="1766">
        <f t="shared" si="9"/>
        <v>133.04782608695652</v>
      </c>
      <c r="U24" s="1772"/>
      <c r="V24" s="1766">
        <f t="shared" si="10"/>
        <v>2794.0043478260868</v>
      </c>
    </row>
    <row r="25" spans="1:22" ht="154.19999999999999">
      <c r="A25" s="1760" t="s">
        <v>1257</v>
      </c>
      <c r="B25" s="1773" t="s">
        <v>1258</v>
      </c>
      <c r="C25" s="1774" t="s">
        <v>1259</v>
      </c>
      <c r="D25" s="1762">
        <v>8</v>
      </c>
      <c r="E25" s="1763">
        <f>89.65*10^3/1.15</f>
        <v>77956.521739130447</v>
      </c>
      <c r="F25" s="1869">
        <f t="shared" si="0"/>
        <v>6.2365217391304357</v>
      </c>
      <c r="G25" s="1764">
        <f t="shared" si="1"/>
        <v>81854.347826086974</v>
      </c>
      <c r="H25" s="1764">
        <f t="shared" si="2"/>
        <v>14733.782608695656</v>
      </c>
      <c r="I25" s="1764">
        <f t="shared" si="3"/>
        <v>96588.130434782623</v>
      </c>
      <c r="J25" s="1764">
        <f t="shared" si="4"/>
        <v>14733.782608695656</v>
      </c>
      <c r="K25" s="1764">
        <f t="shared" si="5"/>
        <v>81854.347826086974</v>
      </c>
      <c r="L25" s="1764">
        <f t="shared" si="6"/>
        <v>772705.04347826098</v>
      </c>
      <c r="M25" s="1764">
        <f t="shared" si="7"/>
        <v>654834.78260869579</v>
      </c>
      <c r="N25" s="1775" t="s">
        <v>750</v>
      </c>
      <c r="R25" s="1763">
        <f t="shared" si="8"/>
        <v>77956.521739130447</v>
      </c>
      <c r="S25" s="1759"/>
      <c r="T25" s="1766">
        <f t="shared" si="9"/>
        <v>3897.8260869565224</v>
      </c>
      <c r="U25" s="1776"/>
      <c r="V25" s="1766">
        <f t="shared" si="10"/>
        <v>81854.347826086974</v>
      </c>
    </row>
    <row r="26" spans="1:22" ht="57.6">
      <c r="A26" s="1777" t="s">
        <v>1260</v>
      </c>
      <c r="B26" s="1778" t="s">
        <v>1261</v>
      </c>
      <c r="C26" s="1779" t="s">
        <v>1259</v>
      </c>
      <c r="D26" s="1780">
        <v>3</v>
      </c>
      <c r="E26" s="1763">
        <f>93.05*10^3/1.15</f>
        <v>80913.043478260879</v>
      </c>
      <c r="F26" s="1870">
        <f t="shared" si="0"/>
        <v>2.4273913043478266</v>
      </c>
      <c r="G26" s="1764">
        <f t="shared" si="1"/>
        <v>84958.695652173919</v>
      </c>
      <c r="H26" s="1764">
        <f t="shared" si="2"/>
        <v>15292.565217391304</v>
      </c>
      <c r="I26" s="1764">
        <f t="shared" si="3"/>
        <v>100251.26086956522</v>
      </c>
      <c r="J26" s="1764">
        <f t="shared" si="4"/>
        <v>15292.565217391304</v>
      </c>
      <c r="K26" s="1764">
        <f t="shared" si="5"/>
        <v>84958.695652173919</v>
      </c>
      <c r="L26" s="1764">
        <f t="shared" si="6"/>
        <v>300753.78260869568</v>
      </c>
      <c r="M26" s="1764">
        <f t="shared" si="7"/>
        <v>254876.08695652176</v>
      </c>
      <c r="N26" s="1775" t="s">
        <v>1078</v>
      </c>
      <c r="R26" s="1763">
        <f t="shared" si="8"/>
        <v>80913.043478260879</v>
      </c>
      <c r="S26" s="1759"/>
      <c r="T26" s="1766">
        <f t="shared" si="9"/>
        <v>4045.652173913044</v>
      </c>
      <c r="U26" s="1776"/>
      <c r="V26" s="1766">
        <f t="shared" si="10"/>
        <v>84958.695652173919</v>
      </c>
    </row>
    <row r="27" spans="1:22" ht="115.2">
      <c r="A27" s="1777" t="s">
        <v>1262</v>
      </c>
      <c r="B27" s="1781" t="s">
        <v>1263</v>
      </c>
      <c r="C27" s="1779"/>
      <c r="D27" s="1780"/>
      <c r="E27" s="1782"/>
      <c r="F27" s="1869">
        <f t="shared" si="0"/>
        <v>0</v>
      </c>
      <c r="G27" s="1761">
        <f t="shared" si="1"/>
        <v>0</v>
      </c>
      <c r="H27" s="1764">
        <f t="shared" si="2"/>
        <v>0</v>
      </c>
      <c r="I27" s="1764">
        <f t="shared" si="3"/>
        <v>0</v>
      </c>
      <c r="J27" s="1764">
        <f t="shared" si="4"/>
        <v>0</v>
      </c>
      <c r="K27" s="1764">
        <f t="shared" si="5"/>
        <v>0</v>
      </c>
      <c r="L27" s="1764">
        <f t="shared" si="6"/>
        <v>0</v>
      </c>
      <c r="M27" s="1764">
        <f t="shared" si="7"/>
        <v>0</v>
      </c>
      <c r="N27" s="1759"/>
      <c r="R27" s="1763">
        <f t="shared" si="8"/>
        <v>0</v>
      </c>
      <c r="S27" s="1759"/>
      <c r="T27" s="1766">
        <f t="shared" si="9"/>
        <v>0</v>
      </c>
      <c r="U27" s="1769"/>
      <c r="V27" s="1766">
        <f t="shared" si="10"/>
        <v>0</v>
      </c>
    </row>
    <row r="28" spans="1:22" ht="38.4">
      <c r="A28" s="1777"/>
      <c r="B28" s="1781" t="s">
        <v>1264</v>
      </c>
      <c r="C28" s="1779"/>
      <c r="D28" s="1780"/>
      <c r="E28" s="1782"/>
      <c r="F28" s="1869">
        <f t="shared" si="0"/>
        <v>0</v>
      </c>
      <c r="G28" s="1761">
        <f t="shared" si="1"/>
        <v>0</v>
      </c>
      <c r="H28" s="1764">
        <f t="shared" si="2"/>
        <v>0</v>
      </c>
      <c r="I28" s="1764">
        <f t="shared" si="3"/>
        <v>0</v>
      </c>
      <c r="J28" s="1764">
        <f t="shared" si="4"/>
        <v>0</v>
      </c>
      <c r="K28" s="1764">
        <f t="shared" si="5"/>
        <v>0</v>
      </c>
      <c r="L28" s="1764">
        <f t="shared" si="6"/>
        <v>0</v>
      </c>
      <c r="M28" s="1764">
        <f t="shared" si="7"/>
        <v>0</v>
      </c>
      <c r="N28" s="1759"/>
      <c r="R28" s="1763">
        <f t="shared" si="8"/>
        <v>0</v>
      </c>
      <c r="S28" s="1759"/>
      <c r="T28" s="1766">
        <f t="shared" si="9"/>
        <v>0</v>
      </c>
      <c r="U28" s="1769"/>
      <c r="V28" s="1766">
        <f t="shared" si="10"/>
        <v>0</v>
      </c>
    </row>
    <row r="29" spans="1:22" ht="38.4">
      <c r="A29" s="1777"/>
      <c r="B29" s="1781" t="s">
        <v>1265</v>
      </c>
      <c r="C29" s="1779"/>
      <c r="D29" s="1780"/>
      <c r="E29" s="1782"/>
      <c r="F29" s="1869">
        <f t="shared" si="0"/>
        <v>0</v>
      </c>
      <c r="G29" s="1761">
        <f t="shared" si="1"/>
        <v>0</v>
      </c>
      <c r="H29" s="1764">
        <f t="shared" si="2"/>
        <v>0</v>
      </c>
      <c r="I29" s="1764">
        <f t="shared" si="3"/>
        <v>0</v>
      </c>
      <c r="J29" s="1764">
        <f t="shared" si="4"/>
        <v>0</v>
      </c>
      <c r="K29" s="1764">
        <f t="shared" si="5"/>
        <v>0</v>
      </c>
      <c r="L29" s="1764">
        <f t="shared" si="6"/>
        <v>0</v>
      </c>
      <c r="M29" s="1764">
        <f t="shared" si="7"/>
        <v>0</v>
      </c>
      <c r="N29" s="1759"/>
      <c r="R29" s="1763">
        <f t="shared" si="8"/>
        <v>0</v>
      </c>
      <c r="S29" s="1759"/>
      <c r="T29" s="1766">
        <f t="shared" si="9"/>
        <v>0</v>
      </c>
      <c r="U29" s="1769"/>
      <c r="V29" s="1766">
        <f t="shared" si="10"/>
        <v>0</v>
      </c>
    </row>
    <row r="30" spans="1:22" ht="57.6">
      <c r="A30" s="1777"/>
      <c r="B30" s="1781" t="s">
        <v>1266</v>
      </c>
      <c r="C30" s="1779"/>
      <c r="D30" s="1780"/>
      <c r="E30" s="1782"/>
      <c r="F30" s="1869">
        <f t="shared" si="0"/>
        <v>0</v>
      </c>
      <c r="G30" s="1761">
        <f t="shared" si="1"/>
        <v>0</v>
      </c>
      <c r="H30" s="1764">
        <f t="shared" si="2"/>
        <v>0</v>
      </c>
      <c r="I30" s="1764">
        <f t="shared" si="3"/>
        <v>0</v>
      </c>
      <c r="J30" s="1764">
        <f t="shared" si="4"/>
        <v>0</v>
      </c>
      <c r="K30" s="1764">
        <f t="shared" si="5"/>
        <v>0</v>
      </c>
      <c r="L30" s="1764">
        <f t="shared" si="6"/>
        <v>0</v>
      </c>
      <c r="M30" s="1764">
        <f t="shared" si="7"/>
        <v>0</v>
      </c>
      <c r="N30" s="1759"/>
      <c r="R30" s="1763">
        <f t="shared" si="8"/>
        <v>0</v>
      </c>
      <c r="S30" s="1759"/>
      <c r="T30" s="1766">
        <f t="shared" si="9"/>
        <v>0</v>
      </c>
      <c r="U30" s="1769"/>
      <c r="V30" s="1766">
        <f t="shared" si="10"/>
        <v>0</v>
      </c>
    </row>
    <row r="31" spans="1:22" ht="38.4">
      <c r="A31" s="1777"/>
      <c r="B31" s="1781" t="s">
        <v>1267</v>
      </c>
      <c r="C31" s="1779"/>
      <c r="D31" s="1780"/>
      <c r="E31" s="1782"/>
      <c r="F31" s="1869">
        <f t="shared" si="0"/>
        <v>0</v>
      </c>
      <c r="G31" s="1761">
        <f t="shared" si="1"/>
        <v>0</v>
      </c>
      <c r="H31" s="1764">
        <f t="shared" si="2"/>
        <v>0</v>
      </c>
      <c r="I31" s="1764">
        <f t="shared" si="3"/>
        <v>0</v>
      </c>
      <c r="J31" s="1764">
        <f t="shared" si="4"/>
        <v>0</v>
      </c>
      <c r="K31" s="1764">
        <f t="shared" si="5"/>
        <v>0</v>
      </c>
      <c r="L31" s="1764">
        <f t="shared" si="6"/>
        <v>0</v>
      </c>
      <c r="M31" s="1764">
        <f t="shared" si="7"/>
        <v>0</v>
      </c>
      <c r="N31" s="1759"/>
      <c r="R31" s="1763">
        <f t="shared" si="8"/>
        <v>0</v>
      </c>
      <c r="S31" s="1759"/>
      <c r="T31" s="1766">
        <f t="shared" si="9"/>
        <v>0</v>
      </c>
      <c r="U31" s="1769"/>
      <c r="V31" s="1766">
        <f t="shared" si="10"/>
        <v>0</v>
      </c>
    </row>
    <row r="32" spans="1:22" ht="19.2">
      <c r="A32" s="1783" t="s">
        <v>937</v>
      </c>
      <c r="B32" s="1778" t="s">
        <v>1268</v>
      </c>
      <c r="C32" s="1780" t="s">
        <v>768</v>
      </c>
      <c r="D32" s="1780">
        <v>1</v>
      </c>
      <c r="E32" s="1763">
        <f>57531.3/1.15</f>
        <v>50027.217391304352</v>
      </c>
      <c r="F32" s="1869">
        <f t="shared" si="0"/>
        <v>0.50027217391304346</v>
      </c>
      <c r="G32" s="1764">
        <f t="shared" si="1"/>
        <v>52528.578260869566</v>
      </c>
      <c r="H32" s="1764">
        <f t="shared" si="2"/>
        <v>9455.1440869565213</v>
      </c>
      <c r="I32" s="1764">
        <f t="shared" si="3"/>
        <v>61983.722347826086</v>
      </c>
      <c r="J32" s="1764">
        <f t="shared" si="4"/>
        <v>9455.1440869565213</v>
      </c>
      <c r="K32" s="1764">
        <f t="shared" si="5"/>
        <v>52528.578260869566</v>
      </c>
      <c r="L32" s="1764">
        <f t="shared" si="6"/>
        <v>61983.722347826086</v>
      </c>
      <c r="M32" s="1764">
        <f t="shared" si="7"/>
        <v>52528.578260869566</v>
      </c>
      <c r="N32" s="1775" t="s">
        <v>1269</v>
      </c>
      <c r="R32" s="1763">
        <f t="shared" si="8"/>
        <v>50027.217391304352</v>
      </c>
      <c r="S32" s="1759"/>
      <c r="T32" s="1766">
        <f t="shared" si="9"/>
        <v>2501.3608695652179</v>
      </c>
      <c r="U32" s="1776"/>
      <c r="V32" s="1766">
        <f t="shared" si="10"/>
        <v>52528.578260869566</v>
      </c>
    </row>
    <row r="33" spans="1:22" ht="19.2">
      <c r="A33" s="1783" t="s">
        <v>938</v>
      </c>
      <c r="B33" s="1778" t="s">
        <v>1270</v>
      </c>
      <c r="C33" s="1780" t="s">
        <v>768</v>
      </c>
      <c r="D33" s="1780">
        <v>1</v>
      </c>
      <c r="E33" s="1763">
        <f>30505/1.15</f>
        <v>26526.08695652174</v>
      </c>
      <c r="F33" s="1869">
        <f t="shared" si="0"/>
        <v>0.26526086956521738</v>
      </c>
      <c r="G33" s="1764">
        <f t="shared" si="1"/>
        <v>27852.391304347828</v>
      </c>
      <c r="H33" s="1764">
        <f t="shared" si="2"/>
        <v>5013.4304347826092</v>
      </c>
      <c r="I33" s="1764">
        <f t="shared" si="3"/>
        <v>32865.821739130435</v>
      </c>
      <c r="J33" s="1764">
        <f t="shared" si="4"/>
        <v>5013.4304347826092</v>
      </c>
      <c r="K33" s="1764">
        <f t="shared" si="5"/>
        <v>27852.391304347824</v>
      </c>
      <c r="L33" s="1764">
        <f t="shared" si="6"/>
        <v>32865.821739130435</v>
      </c>
      <c r="M33" s="1764">
        <f t="shared" si="7"/>
        <v>27852.391304347824</v>
      </c>
      <c r="N33" s="1775" t="s">
        <v>1271</v>
      </c>
      <c r="R33" s="1763">
        <f t="shared" si="8"/>
        <v>26526.08695652174</v>
      </c>
      <c r="S33" s="1759"/>
      <c r="T33" s="1766">
        <f t="shared" si="9"/>
        <v>1326.304347826087</v>
      </c>
      <c r="U33" s="1776"/>
      <c r="V33" s="1766">
        <f t="shared" si="10"/>
        <v>27852.391304347828</v>
      </c>
    </row>
    <row r="34" spans="1:22" ht="19.2">
      <c r="A34" s="1783" t="s">
        <v>939</v>
      </c>
      <c r="B34" s="1778" t="s">
        <v>1272</v>
      </c>
      <c r="C34" s="1780" t="s">
        <v>768</v>
      </c>
      <c r="D34" s="1780">
        <v>1</v>
      </c>
      <c r="E34" s="1763">
        <v>45000</v>
      </c>
      <c r="F34" s="1869">
        <f t="shared" si="0"/>
        <v>0.45</v>
      </c>
      <c r="G34" s="1764">
        <f t="shared" si="1"/>
        <v>47250</v>
      </c>
      <c r="H34" s="1764">
        <f t="shared" si="2"/>
        <v>8505</v>
      </c>
      <c r="I34" s="1764">
        <f t="shared" si="3"/>
        <v>55755</v>
      </c>
      <c r="J34" s="1764">
        <f t="shared" si="4"/>
        <v>8505</v>
      </c>
      <c r="K34" s="1764">
        <f t="shared" si="5"/>
        <v>47250</v>
      </c>
      <c r="L34" s="1764">
        <f t="shared" si="6"/>
        <v>55755</v>
      </c>
      <c r="M34" s="1764">
        <f t="shared" si="7"/>
        <v>47250</v>
      </c>
      <c r="N34" s="1775" t="s">
        <v>1254</v>
      </c>
      <c r="R34" s="1763">
        <f t="shared" si="8"/>
        <v>45000</v>
      </c>
      <c r="S34" s="1759"/>
      <c r="T34" s="1766">
        <f t="shared" si="9"/>
        <v>2250</v>
      </c>
      <c r="U34" s="1776"/>
      <c r="V34" s="1766">
        <f t="shared" si="10"/>
        <v>47250</v>
      </c>
    </row>
    <row r="35" spans="1:22" ht="17.25" customHeight="1">
      <c r="A35" s="2544" t="s">
        <v>1273</v>
      </c>
      <c r="B35" s="2545"/>
      <c r="C35" s="1768"/>
      <c r="D35" s="1768"/>
      <c r="E35" s="1768"/>
      <c r="F35" s="1869">
        <f t="shared" si="0"/>
        <v>0</v>
      </c>
      <c r="G35" s="1761">
        <f t="shared" si="1"/>
        <v>0</v>
      </c>
      <c r="H35" s="1764">
        <f t="shared" si="2"/>
        <v>0</v>
      </c>
      <c r="I35" s="1764">
        <f t="shared" si="3"/>
        <v>0</v>
      </c>
      <c r="J35" s="1764">
        <f t="shared" si="4"/>
        <v>0</v>
      </c>
      <c r="K35" s="1764">
        <f t="shared" si="5"/>
        <v>0</v>
      </c>
      <c r="L35" s="1764">
        <f t="shared" si="6"/>
        <v>0</v>
      </c>
      <c r="M35" s="1764">
        <f t="shared" si="7"/>
        <v>0</v>
      </c>
      <c r="N35" s="1759"/>
      <c r="R35" s="1763">
        <f t="shared" si="8"/>
        <v>0</v>
      </c>
      <c r="S35" s="1759"/>
      <c r="T35" s="1766">
        <f t="shared" si="9"/>
        <v>0</v>
      </c>
      <c r="U35" s="1769"/>
      <c r="V35" s="1766">
        <f t="shared" si="10"/>
        <v>0</v>
      </c>
    </row>
    <row r="36" spans="1:22" ht="96">
      <c r="A36" s="1758" t="s">
        <v>1274</v>
      </c>
      <c r="B36" s="1773" t="s">
        <v>1275</v>
      </c>
      <c r="C36" s="1761" t="s">
        <v>673</v>
      </c>
      <c r="D36" s="1762">
        <v>10</v>
      </c>
      <c r="E36" s="1763">
        <f>6833.4/1.15</f>
        <v>5942.086956521739</v>
      </c>
      <c r="F36" s="1869">
        <f t="shared" si="0"/>
        <v>0.59420869565217393</v>
      </c>
      <c r="G36" s="1764">
        <f t="shared" si="1"/>
        <v>6239.1913043478262</v>
      </c>
      <c r="H36" s="1764">
        <f t="shared" si="2"/>
        <v>1123.0544347826087</v>
      </c>
      <c r="I36" s="1764">
        <f t="shared" si="3"/>
        <v>7362.2457391304351</v>
      </c>
      <c r="J36" s="1764">
        <f t="shared" si="4"/>
        <v>1123.0544347826087</v>
      </c>
      <c r="K36" s="1764">
        <f t="shared" si="5"/>
        <v>6239.1913043478262</v>
      </c>
      <c r="L36" s="1764">
        <f t="shared" si="6"/>
        <v>73622.457391304357</v>
      </c>
      <c r="M36" s="1764">
        <f t="shared" si="7"/>
        <v>62391.913043478264</v>
      </c>
      <c r="N36" s="1775" t="s">
        <v>1069</v>
      </c>
      <c r="R36" s="1763">
        <f t="shared" si="8"/>
        <v>5942.086956521739</v>
      </c>
      <c r="S36" s="1759"/>
      <c r="T36" s="1766">
        <f t="shared" si="9"/>
        <v>297.10434782608695</v>
      </c>
      <c r="U36" s="1776"/>
      <c r="V36" s="1766">
        <f t="shared" si="10"/>
        <v>6239.1913043478262</v>
      </c>
    </row>
    <row r="37" spans="1:22" ht="78.75" customHeight="1">
      <c r="A37" s="1758" t="s">
        <v>1276</v>
      </c>
      <c r="B37" s="1770" t="s">
        <v>1277</v>
      </c>
      <c r="C37" s="1761" t="s">
        <v>673</v>
      </c>
      <c r="D37" s="1762">
        <v>2</v>
      </c>
      <c r="E37" s="1763">
        <f>(1.1*8599.35)/1.15</f>
        <v>8225.4652173913073</v>
      </c>
      <c r="F37" s="1869">
        <f t="shared" si="0"/>
        <v>0.16450930434782615</v>
      </c>
      <c r="G37" s="1764">
        <f t="shared" si="1"/>
        <v>8636.7384782608733</v>
      </c>
      <c r="H37" s="1764">
        <f t="shared" si="2"/>
        <v>1554.612926086957</v>
      </c>
      <c r="I37" s="1764">
        <f t="shared" si="3"/>
        <v>10191.35140434783</v>
      </c>
      <c r="J37" s="1764">
        <f t="shared" si="4"/>
        <v>1554.612926086957</v>
      </c>
      <c r="K37" s="1764">
        <f t="shared" si="5"/>
        <v>8636.7384782608733</v>
      </c>
      <c r="L37" s="1764">
        <f t="shared" si="6"/>
        <v>20382.70280869566</v>
      </c>
      <c r="M37" s="1764">
        <f t="shared" si="7"/>
        <v>17273.476956521747</v>
      </c>
      <c r="N37" s="1784" t="s">
        <v>1073</v>
      </c>
      <c r="R37" s="1763">
        <f t="shared" si="8"/>
        <v>8225.4652173913073</v>
      </c>
      <c r="S37" s="1759"/>
      <c r="T37" s="1766">
        <f t="shared" si="9"/>
        <v>411.27326086956538</v>
      </c>
      <c r="U37" s="1785"/>
      <c r="V37" s="1766">
        <f t="shared" si="10"/>
        <v>8636.7384782608733</v>
      </c>
    </row>
    <row r="38" spans="1:22" ht="172.8">
      <c r="A38" s="1758" t="s">
        <v>1278</v>
      </c>
      <c r="B38" s="1773" t="s">
        <v>1279</v>
      </c>
      <c r="C38" s="1761" t="s">
        <v>673</v>
      </c>
      <c r="D38" s="1762">
        <v>90</v>
      </c>
      <c r="E38" s="1763">
        <f>7997.3/1.15</f>
        <v>6954.1739130434789</v>
      </c>
      <c r="F38" s="1869">
        <f t="shared" si="0"/>
        <v>6.258756521739131</v>
      </c>
      <c r="G38" s="1764">
        <f t="shared" si="1"/>
        <v>7301.8826086956533</v>
      </c>
      <c r="H38" s="1764">
        <f t="shared" si="2"/>
        <v>1314.3388695652175</v>
      </c>
      <c r="I38" s="1764">
        <f t="shared" si="3"/>
        <v>8616.2214782608717</v>
      </c>
      <c r="J38" s="1764">
        <f t="shared" si="4"/>
        <v>1314.3388695652175</v>
      </c>
      <c r="K38" s="1764">
        <f t="shared" si="5"/>
        <v>7301.8826086956542</v>
      </c>
      <c r="L38" s="1764">
        <f t="shared" si="6"/>
        <v>775459.93304347841</v>
      </c>
      <c r="M38" s="1764">
        <f t="shared" si="7"/>
        <v>657169.43478260888</v>
      </c>
      <c r="N38" s="1765" t="s">
        <v>1280</v>
      </c>
      <c r="R38" s="1763">
        <f t="shared" si="8"/>
        <v>6954.1739130434789</v>
      </c>
      <c r="S38" s="1759"/>
      <c r="T38" s="1766">
        <f t="shared" si="9"/>
        <v>347.70869565217396</v>
      </c>
      <c r="U38" s="1767"/>
      <c r="V38" s="1766">
        <f t="shared" si="10"/>
        <v>7301.8826086956533</v>
      </c>
    </row>
    <row r="39" spans="1:22" ht="96.6">
      <c r="A39" s="1760" t="s">
        <v>1281</v>
      </c>
      <c r="B39" s="1773" t="s">
        <v>1282</v>
      </c>
      <c r="C39" s="1762" t="s">
        <v>1259</v>
      </c>
      <c r="D39" s="1762">
        <v>10</v>
      </c>
      <c r="E39" s="1763">
        <f>89.65*10^3/1.15</f>
        <v>77956.521739130447</v>
      </c>
      <c r="F39" s="1869">
        <f t="shared" si="0"/>
        <v>7.7956521739130444</v>
      </c>
      <c r="G39" s="1764">
        <f t="shared" si="1"/>
        <v>81854.347826086974</v>
      </c>
      <c r="H39" s="1764">
        <f t="shared" si="2"/>
        <v>14733.782608695656</v>
      </c>
      <c r="I39" s="1764">
        <f t="shared" si="3"/>
        <v>96588.130434782623</v>
      </c>
      <c r="J39" s="1764">
        <f t="shared" si="4"/>
        <v>14733.782608695656</v>
      </c>
      <c r="K39" s="1764">
        <f t="shared" si="5"/>
        <v>81854.347826086974</v>
      </c>
      <c r="L39" s="1764">
        <f t="shared" si="6"/>
        <v>965881.30434782617</v>
      </c>
      <c r="M39" s="1764">
        <f t="shared" si="7"/>
        <v>818543.47826086974</v>
      </c>
      <c r="N39" s="1775" t="s">
        <v>750</v>
      </c>
      <c r="R39" s="1763">
        <f t="shared" si="8"/>
        <v>77956.521739130447</v>
      </c>
      <c r="S39" s="1759"/>
      <c r="T39" s="1766">
        <f t="shared" si="9"/>
        <v>3897.8260869565224</v>
      </c>
      <c r="U39" s="1776"/>
      <c r="V39" s="1766">
        <f t="shared" si="10"/>
        <v>81854.347826086974</v>
      </c>
    </row>
    <row r="40" spans="1:22" ht="17.25" customHeight="1">
      <c r="A40" s="2544" t="s">
        <v>1283</v>
      </c>
      <c r="B40" s="2545"/>
      <c r="C40" s="1768"/>
      <c r="D40" s="1768"/>
      <c r="E40" s="1768"/>
      <c r="F40" s="1869">
        <f t="shared" si="0"/>
        <v>0</v>
      </c>
      <c r="G40" s="1761">
        <f t="shared" si="1"/>
        <v>0</v>
      </c>
      <c r="H40" s="1764">
        <f t="shared" si="2"/>
        <v>0</v>
      </c>
      <c r="I40" s="1764">
        <f t="shared" si="3"/>
        <v>0</v>
      </c>
      <c r="J40" s="1764">
        <f t="shared" si="4"/>
        <v>0</v>
      </c>
      <c r="K40" s="1764">
        <f t="shared" si="5"/>
        <v>0</v>
      </c>
      <c r="L40" s="1764">
        <f t="shared" si="6"/>
        <v>0</v>
      </c>
      <c r="M40" s="1764">
        <f t="shared" si="7"/>
        <v>0</v>
      </c>
      <c r="N40" s="1759"/>
      <c r="R40" s="1763">
        <f t="shared" si="8"/>
        <v>0</v>
      </c>
      <c r="S40" s="1759"/>
      <c r="T40" s="1766">
        <f t="shared" si="9"/>
        <v>0</v>
      </c>
      <c r="U40" s="1769"/>
      <c r="V40" s="1766">
        <f t="shared" si="10"/>
        <v>0</v>
      </c>
    </row>
    <row r="41" spans="1:22" ht="57.6">
      <c r="A41" s="1760" t="s">
        <v>1284</v>
      </c>
      <c r="B41" s="1773" t="s">
        <v>1285</v>
      </c>
      <c r="C41" s="1762" t="s">
        <v>1225</v>
      </c>
      <c r="D41" s="1762">
        <v>75</v>
      </c>
      <c r="E41" s="1786">
        <f>76.4/1.15</f>
        <v>66.434782608695656</v>
      </c>
      <c r="F41" s="1869">
        <f t="shared" si="0"/>
        <v>4.9826086956521742E-2</v>
      </c>
      <c r="G41" s="1761">
        <f t="shared" si="1"/>
        <v>69.756521739130434</v>
      </c>
      <c r="H41" s="1764">
        <f t="shared" si="2"/>
        <v>12.556173913043478</v>
      </c>
      <c r="I41" s="1764">
        <f t="shared" si="3"/>
        <v>82.312695652173915</v>
      </c>
      <c r="J41" s="1764">
        <f t="shared" si="4"/>
        <v>12.556173913043478</v>
      </c>
      <c r="K41" s="1764">
        <f t="shared" si="5"/>
        <v>69.756521739130434</v>
      </c>
      <c r="L41" s="1764">
        <f t="shared" si="6"/>
        <v>6173.4521739130432</v>
      </c>
      <c r="M41" s="1764">
        <f t="shared" si="7"/>
        <v>5231.739130434783</v>
      </c>
      <c r="N41" s="1771" t="s">
        <v>1286</v>
      </c>
      <c r="R41" s="1763">
        <f t="shared" si="8"/>
        <v>66.434782608695656</v>
      </c>
      <c r="S41" s="1759"/>
      <c r="T41" s="1766">
        <f t="shared" si="9"/>
        <v>3.321739130434783</v>
      </c>
      <c r="U41" s="1772"/>
      <c r="V41" s="1766">
        <f t="shared" si="10"/>
        <v>69.756521739130434</v>
      </c>
    </row>
    <row r="42" spans="1:22" ht="153.6">
      <c r="A42" s="1760" t="s">
        <v>1287</v>
      </c>
      <c r="B42" s="1773" t="s">
        <v>1288</v>
      </c>
      <c r="C42" s="1762" t="s">
        <v>673</v>
      </c>
      <c r="D42" s="1762">
        <v>5</v>
      </c>
      <c r="E42" s="1786">
        <f>27763.65/1.15</f>
        <v>24142.304347826092</v>
      </c>
      <c r="F42" s="1869">
        <f t="shared" si="0"/>
        <v>1.2071152173913047</v>
      </c>
      <c r="G42" s="1761">
        <f t="shared" si="1"/>
        <v>25349.419565217395</v>
      </c>
      <c r="H42" s="1764">
        <f t="shared" si="2"/>
        <v>4562.8955217391313</v>
      </c>
      <c r="I42" s="1764">
        <f t="shared" si="3"/>
        <v>29912.315086956525</v>
      </c>
      <c r="J42" s="1764">
        <f t="shared" si="4"/>
        <v>4562.8955217391313</v>
      </c>
      <c r="K42" s="1764">
        <f t="shared" si="5"/>
        <v>25349.419565217395</v>
      </c>
      <c r="L42" s="1764">
        <f t="shared" si="6"/>
        <v>149561.57543478263</v>
      </c>
      <c r="M42" s="1764">
        <f t="shared" si="7"/>
        <v>126747.09782608697</v>
      </c>
      <c r="N42" s="1787">
        <v>5.36</v>
      </c>
      <c r="R42" s="1763">
        <f t="shared" si="8"/>
        <v>24142.304347826092</v>
      </c>
      <c r="S42" s="1759"/>
      <c r="T42" s="1766">
        <f t="shared" si="9"/>
        <v>1207.1152173913047</v>
      </c>
      <c r="U42" s="1788"/>
      <c r="V42" s="1766">
        <f t="shared" si="10"/>
        <v>25349.419565217395</v>
      </c>
    </row>
    <row r="43" spans="1:22" ht="123.75" customHeight="1" thickBot="1">
      <c r="A43" s="1760" t="s">
        <v>1289</v>
      </c>
      <c r="B43" s="1773" t="s">
        <v>1290</v>
      </c>
      <c r="C43" s="1762" t="s">
        <v>1259</v>
      </c>
      <c r="D43" s="1762">
        <v>2</v>
      </c>
      <c r="E43" s="1763">
        <f>93.05*10^3/1.15</f>
        <v>80913.043478260879</v>
      </c>
      <c r="F43" s="1870">
        <f t="shared" si="0"/>
        <v>1.6182608695652176</v>
      </c>
      <c r="G43" s="1764">
        <f t="shared" si="1"/>
        <v>84958.695652173919</v>
      </c>
      <c r="H43" s="1764">
        <f t="shared" si="2"/>
        <v>15292.565217391304</v>
      </c>
      <c r="I43" s="1764">
        <f t="shared" si="3"/>
        <v>100251.26086956522</v>
      </c>
      <c r="J43" s="1764">
        <f t="shared" si="4"/>
        <v>15292.565217391304</v>
      </c>
      <c r="K43" s="1764">
        <f t="shared" si="5"/>
        <v>84958.695652173919</v>
      </c>
      <c r="L43" s="1789">
        <f t="shared" si="6"/>
        <v>200502.52173913043</v>
      </c>
      <c r="M43" s="1789">
        <f t="shared" si="7"/>
        <v>169917.39130434784</v>
      </c>
      <c r="N43" s="1765" t="s">
        <v>1078</v>
      </c>
      <c r="R43" s="1763">
        <f t="shared" si="8"/>
        <v>80913.043478260879</v>
      </c>
      <c r="S43" s="1759"/>
      <c r="T43" s="1766">
        <f t="shared" si="9"/>
        <v>4045.652173913044</v>
      </c>
      <c r="U43" s="1767"/>
      <c r="V43" s="1766">
        <f t="shared" si="10"/>
        <v>84958.695652173919</v>
      </c>
    </row>
    <row r="44" spans="1:22" ht="29.25" customHeight="1" thickBot="1">
      <c r="D44" s="2543" t="s">
        <v>1338</v>
      </c>
      <c r="E44" s="2543"/>
      <c r="F44" s="1882">
        <f>SUM(F13:F43)</f>
        <v>40.793928869565221</v>
      </c>
      <c r="G44" s="1790"/>
      <c r="L44" s="1883">
        <f>SUM(L13:L43)</f>
        <v>5054367.786939132</v>
      </c>
      <c r="M44" s="1791">
        <f>SUM(M13:M43)</f>
        <v>4283362.5313043483</v>
      </c>
    </row>
    <row r="46" spans="1:22">
      <c r="L46" s="1752">
        <f>L44/10^7</f>
        <v>0.50543677869391324</v>
      </c>
      <c r="M46" s="1752">
        <f>M44/10^7</f>
        <v>0.42833625313043483</v>
      </c>
    </row>
  </sheetData>
  <mergeCells count="11">
    <mergeCell ref="D44:E44"/>
    <mergeCell ref="A16:B16"/>
    <mergeCell ref="A22:B22"/>
    <mergeCell ref="A35:B35"/>
    <mergeCell ref="A40:B40"/>
    <mergeCell ref="A12:F12"/>
    <mergeCell ref="A1:J1"/>
    <mergeCell ref="A2:J2"/>
    <mergeCell ref="A3:J3"/>
    <mergeCell ref="A4:J4"/>
    <mergeCell ref="A5:J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DW176"/>
  <sheetViews>
    <sheetView showZeros="0" topLeftCell="A16" zoomScale="67" zoomScaleNormal="67" workbookViewId="0">
      <selection activeCell="F20" sqref="F20"/>
    </sheetView>
  </sheetViews>
  <sheetFormatPr defaultColWidth="8.81640625" defaultRowHeight="15"/>
  <cols>
    <col min="1" max="1" width="6.81640625" style="37" customWidth="1"/>
    <col min="2" max="2" width="35.6328125" style="37" customWidth="1"/>
    <col min="3" max="3" width="11.81640625" style="37" customWidth="1"/>
    <col min="4" max="4" width="12.08984375" style="37" customWidth="1"/>
    <col min="5" max="6" width="11.6328125" style="37" customWidth="1"/>
    <col min="7" max="7" width="11.81640625" style="37" customWidth="1"/>
    <col min="8" max="8" width="8.81640625" style="37"/>
    <col min="9" max="9" width="12" style="37" customWidth="1"/>
    <col min="10" max="10" width="11" style="37" customWidth="1"/>
    <col min="11" max="11" width="12" style="37" customWidth="1"/>
    <col min="12" max="12" width="12.90625" style="37" customWidth="1"/>
    <col min="13" max="13" width="12.54296875" style="37" customWidth="1"/>
    <col min="14" max="14" width="12.81640625" style="37" customWidth="1"/>
    <col min="15" max="15" width="9.90625" style="37" customWidth="1"/>
    <col min="16" max="16" width="11.36328125" style="37" customWidth="1"/>
    <col min="17" max="17" width="12.54296875" style="37" customWidth="1"/>
    <col min="18" max="18" width="10.54296875" style="37" customWidth="1"/>
    <col min="19" max="19" width="13.08984375" style="37" customWidth="1"/>
    <col min="20" max="20" width="11.81640625" style="37" customWidth="1"/>
    <col min="21" max="21" width="12" style="37" customWidth="1"/>
    <col min="22" max="22" width="12.08984375" style="37" customWidth="1"/>
    <col min="23" max="23" width="14.90625" style="37" customWidth="1"/>
    <col min="24" max="24" width="12.90625" style="37" customWidth="1"/>
    <col min="25" max="25" width="12" style="37" customWidth="1"/>
    <col min="26" max="26" width="9.81640625" style="37" customWidth="1"/>
    <col min="27" max="27" width="17.6328125" style="37" customWidth="1"/>
    <col min="28" max="28" width="11.81640625" style="37" customWidth="1"/>
    <col min="29" max="29" width="12.90625" style="37" customWidth="1"/>
    <col min="30" max="30" width="10.54296875" style="37" customWidth="1"/>
    <col min="31" max="31" width="12.36328125" style="37" customWidth="1"/>
    <col min="32" max="32" width="10.90625" style="37" customWidth="1"/>
    <col min="33" max="33" width="13.36328125" style="37" customWidth="1"/>
    <col min="34" max="34" width="12" style="37" customWidth="1"/>
    <col min="35" max="35" width="15.36328125" style="37" customWidth="1"/>
    <col min="36" max="36" width="10.90625" style="37" customWidth="1"/>
    <col min="37" max="41" width="8.81640625" style="37"/>
    <col min="42" max="42" width="10.1796875" style="37" customWidth="1"/>
    <col min="43" max="43" width="11.54296875" style="37" customWidth="1"/>
    <col min="44" max="44" width="12.08984375" style="37" customWidth="1"/>
    <col min="45" max="45" width="13.1796875" style="37" customWidth="1"/>
    <col min="46" max="46" width="14.08984375" style="37" customWidth="1"/>
    <col min="47" max="47" width="16.90625" style="37" customWidth="1"/>
    <col min="48" max="48" width="11.453125" style="37" bestFit="1" customWidth="1"/>
    <col min="49" max="49" width="13.453125" style="37" customWidth="1"/>
    <col min="50" max="52" width="8.81640625" style="37"/>
    <col min="53" max="53" width="28.81640625" style="37" customWidth="1"/>
    <col min="54" max="54" width="11.81640625" style="37" customWidth="1"/>
    <col min="55" max="58" width="8.81640625" style="37"/>
    <col min="59" max="59" width="9.36328125" style="37" customWidth="1"/>
    <col min="60" max="60" width="18.453125" style="37" customWidth="1"/>
    <col min="61" max="62" width="9.54296875" style="37" customWidth="1"/>
    <col min="63" max="63" width="10.6328125" style="37" customWidth="1"/>
    <col min="64" max="64" width="9.90625" style="37" customWidth="1"/>
    <col min="65" max="65" width="11.453125" style="37" customWidth="1"/>
    <col min="66" max="66" width="9.90625" style="37" customWidth="1"/>
    <col min="67" max="67" width="10" style="37" customWidth="1"/>
    <col min="68" max="68" width="6.81640625" style="37" customWidth="1"/>
    <col min="69" max="69" width="12.54296875" style="37" customWidth="1"/>
    <col min="70" max="70" width="9.54296875" style="37" customWidth="1"/>
    <col min="71" max="71" width="10.36328125" style="37" customWidth="1"/>
    <col min="72" max="72" width="7.81640625" style="37" customWidth="1"/>
    <col min="73" max="73" width="7.1796875" style="37" customWidth="1"/>
    <col min="74" max="74" width="17.6328125" style="37" customWidth="1"/>
    <col min="75" max="75" width="8.81640625" style="37" customWidth="1"/>
    <col min="76" max="76" width="13.08984375" style="37" bestFit="1" customWidth="1"/>
    <col min="77" max="77" width="13.81640625" style="37" customWidth="1"/>
    <col min="78" max="79" width="8.81640625" style="37"/>
    <col min="80" max="80" width="9" style="37" bestFit="1" customWidth="1"/>
    <col min="81" max="89" width="8.81640625" style="37"/>
    <col min="90" max="90" width="13.08984375" style="37" customWidth="1"/>
    <col min="91" max="91" width="8.81640625" style="37"/>
    <col min="92" max="92" width="9.90625" style="37" customWidth="1"/>
    <col min="93" max="96" width="8.81640625" style="37"/>
    <col min="97" max="97" width="8.54296875" style="37" customWidth="1"/>
    <col min="98" max="98" width="30.36328125" style="37" customWidth="1"/>
    <col min="99" max="99" width="9" style="37" bestFit="1" customWidth="1"/>
    <col min="100" max="100" width="8.81640625" style="37"/>
    <col min="101" max="101" width="5.90625" style="37" customWidth="1"/>
    <col min="102" max="102" width="6.90625" style="37" customWidth="1"/>
    <col min="103" max="103" width="23.90625" style="39" customWidth="1"/>
    <col min="104" max="104" width="8.81640625" style="40"/>
    <col min="105" max="110" width="8.81640625" style="37"/>
    <col min="111" max="111" width="9" style="37" bestFit="1" customWidth="1"/>
    <col min="112" max="113" width="8.81640625" style="37"/>
    <col min="114" max="114" width="32.90625" style="37" customWidth="1"/>
    <col min="115" max="115" width="16.6328125" style="37" customWidth="1"/>
    <col min="116" max="116" width="10.1796875" style="37" customWidth="1"/>
    <col min="117" max="117" width="12.453125" style="37" customWidth="1"/>
    <col min="118" max="118" width="10" style="37" bestFit="1" customWidth="1"/>
    <col min="119" max="119" width="8.81640625" style="37"/>
    <col min="120" max="120" width="9" style="37" bestFit="1" customWidth="1"/>
    <col min="121" max="122" width="8.81640625" style="37"/>
    <col min="123" max="123" width="11.6328125" style="37" customWidth="1"/>
    <col min="124" max="124" width="8.81640625" style="37"/>
    <col min="125" max="125" width="28.81640625" style="37" customWidth="1"/>
    <col min="126" max="126" width="12.36328125" style="37" customWidth="1"/>
    <col min="127" max="127" width="11.1796875" style="37" customWidth="1"/>
    <col min="128" max="16384" width="8.81640625" style="37"/>
  </cols>
  <sheetData>
    <row r="1" spans="1:104" ht="15.6">
      <c r="E1" s="2336" t="s">
        <v>1</v>
      </c>
      <c r="F1" s="2336"/>
      <c r="G1" s="2336"/>
      <c r="H1" s="2336"/>
      <c r="I1" s="2336"/>
      <c r="J1" s="2336"/>
      <c r="K1" s="2336"/>
      <c r="O1" s="13" t="s">
        <v>299</v>
      </c>
      <c r="AE1" s="13" t="str">
        <f>+O1</f>
        <v>Annexure-6.1.1-2</v>
      </c>
      <c r="AF1" s="13"/>
      <c r="AS1" s="13" t="str">
        <f>+AE1</f>
        <v>Annexure-6.1.1-2</v>
      </c>
      <c r="AZ1" s="37" t="s">
        <v>2</v>
      </c>
      <c r="BA1" s="37" t="s">
        <v>3</v>
      </c>
      <c r="BH1" s="37" t="s">
        <v>194</v>
      </c>
      <c r="BI1" s="828" t="e">
        <f>AU21</f>
        <v>#REF!</v>
      </c>
      <c r="BO1" s="38"/>
      <c r="BP1" s="38"/>
      <c r="BQ1" s="38"/>
      <c r="BX1" s="39"/>
      <c r="BY1" s="40"/>
      <c r="CJ1" s="18"/>
      <c r="CY1" s="37"/>
      <c r="CZ1" s="37"/>
    </row>
    <row r="2" spans="1:104" ht="15.6">
      <c r="E2" s="2359" t="s">
        <v>1084</v>
      </c>
      <c r="F2" s="2359"/>
      <c r="G2" s="2359"/>
      <c r="H2" s="2359"/>
      <c r="I2" s="2359"/>
      <c r="J2" s="2359"/>
      <c r="K2" s="2359"/>
      <c r="L2" s="1"/>
      <c r="O2" s="37" t="s">
        <v>145</v>
      </c>
      <c r="AE2" s="37" t="s">
        <v>146</v>
      </c>
      <c r="AS2" s="37" t="s">
        <v>147</v>
      </c>
      <c r="BA2" s="38" t="s">
        <v>4</v>
      </c>
      <c r="BB2" s="38" t="s">
        <v>4</v>
      </c>
      <c r="BM2" s="37" t="s">
        <v>207</v>
      </c>
      <c r="BO2" s="38"/>
      <c r="BP2" s="38"/>
      <c r="BQ2" s="38"/>
      <c r="BV2" s="2"/>
      <c r="BX2" s="17"/>
      <c r="BY2" s="19"/>
      <c r="BZ2" s="40"/>
      <c r="CA2" s="40"/>
      <c r="CB2" s="18"/>
      <c r="CC2" s="40"/>
      <c r="CD2" s="40"/>
      <c r="CE2" s="40"/>
      <c r="CF2" s="40"/>
      <c r="CG2" s="40"/>
      <c r="CH2" s="40"/>
      <c r="CI2" s="40"/>
      <c r="CJ2" s="18"/>
      <c r="CK2" s="8"/>
      <c r="CY2" s="37"/>
      <c r="CZ2" s="37"/>
    </row>
    <row r="3" spans="1:104" ht="15.6">
      <c r="B3" s="271" t="s">
        <v>1085</v>
      </c>
      <c r="C3" s="2359" t="s">
        <v>1086</v>
      </c>
      <c r="D3" s="2359"/>
      <c r="E3" s="2359"/>
      <c r="F3" s="2359"/>
      <c r="G3" s="2359"/>
      <c r="H3" s="2359"/>
      <c r="I3" s="2359"/>
      <c r="J3" s="2359"/>
      <c r="K3" s="2359"/>
      <c r="L3" s="2359"/>
      <c r="M3" s="2359"/>
      <c r="O3" s="271" t="s">
        <v>986</v>
      </c>
      <c r="BH3" s="830" t="s">
        <v>1339</v>
      </c>
      <c r="BN3" s="38"/>
      <c r="BO3" s="38"/>
      <c r="BP3" s="38"/>
      <c r="BQ3" s="38"/>
      <c r="BV3" s="2"/>
      <c r="BX3" s="17"/>
      <c r="BY3" s="40"/>
      <c r="CA3" s="8"/>
      <c r="CB3" s="8"/>
      <c r="CC3" s="8"/>
      <c r="CD3" s="13"/>
      <c r="CE3" s="13"/>
      <c r="CF3" s="13"/>
      <c r="CG3" s="13"/>
      <c r="CH3" s="13"/>
      <c r="CI3" s="13"/>
      <c r="CJ3" s="13"/>
      <c r="CK3" s="13"/>
      <c r="CL3" s="37" t="e">
        <f>+#REF!+#REF!</f>
        <v>#REF!</v>
      </c>
      <c r="CN3" s="37" t="e">
        <f>+#REF!+#REF!</f>
        <v>#REF!</v>
      </c>
      <c r="CY3" s="37"/>
      <c r="CZ3" s="37"/>
    </row>
    <row r="4" spans="1:104" ht="15.6">
      <c r="G4" s="38"/>
      <c r="H4" s="38"/>
      <c r="I4" s="38"/>
      <c r="J4" s="38"/>
      <c r="L4" s="1"/>
      <c r="O4" s="37" t="s">
        <v>0</v>
      </c>
      <c r="BA4" s="37" t="s">
        <v>5</v>
      </c>
      <c r="BB4" s="235" t="s">
        <v>816</v>
      </c>
      <c r="BC4" s="202"/>
      <c r="BN4"/>
      <c r="BO4"/>
      <c r="BP4"/>
      <c r="BQ4"/>
      <c r="BR4"/>
      <c r="BV4" s="3"/>
      <c r="BX4" s="17"/>
      <c r="BY4" s="19"/>
      <c r="CA4" s="8"/>
      <c r="CC4" s="8"/>
      <c r="CD4" s="16"/>
      <c r="CE4" s="16"/>
      <c r="CF4" s="16"/>
      <c r="CG4" s="16"/>
      <c r="CH4" s="16"/>
      <c r="CI4" s="16"/>
      <c r="CJ4" s="16"/>
      <c r="CK4" s="16"/>
      <c r="CY4" s="37"/>
      <c r="CZ4" s="37"/>
    </row>
    <row r="5" spans="1:104" ht="15.6">
      <c r="D5" s="37">
        <f>F17-CC!$F$17</f>
        <v>-33.455222337500004</v>
      </c>
      <c r="E5" s="2336" t="s">
        <v>6</v>
      </c>
      <c r="F5" s="2336"/>
      <c r="G5" s="2336"/>
      <c r="H5" s="2336"/>
      <c r="I5" s="2336"/>
      <c r="J5" s="2336"/>
      <c r="K5" s="2336"/>
      <c r="O5" s="4" t="s">
        <v>316</v>
      </c>
      <c r="W5" s="37" t="s">
        <v>0</v>
      </c>
      <c r="AE5" s="37" t="str">
        <f>+O5</f>
        <v>Figures in Rs. Crore</v>
      </c>
      <c r="AS5" s="37" t="str">
        <f>+AE5</f>
        <v>Figures in Rs. Crore</v>
      </c>
      <c r="BM5" s="37" t="s">
        <v>208</v>
      </c>
      <c r="BN5"/>
      <c r="BO5"/>
      <c r="BP5"/>
      <c r="BQ5"/>
      <c r="BR5"/>
      <c r="BS5" s="38"/>
      <c r="BT5" s="38"/>
      <c r="CI5" s="16"/>
      <c r="CJ5" s="16"/>
      <c r="CY5" s="37"/>
      <c r="CZ5" s="37"/>
    </row>
    <row r="6" spans="1:104">
      <c r="F6" s="10"/>
      <c r="R6" s="42"/>
      <c r="BH6" s="40" t="s">
        <v>24</v>
      </c>
      <c r="BI6" s="40" t="s">
        <v>25</v>
      </c>
      <c r="BJ6" s="37" t="s">
        <v>199</v>
      </c>
      <c r="BK6" s="37" t="s">
        <v>29</v>
      </c>
      <c r="BL6" s="40" t="s">
        <v>18</v>
      </c>
      <c r="BM6" s="37" t="s">
        <v>26</v>
      </c>
      <c r="BN6"/>
      <c r="BO6"/>
      <c r="BP6"/>
      <c r="BQ6"/>
      <c r="BR6"/>
      <c r="BS6" s="38"/>
      <c r="BT6" s="38"/>
      <c r="CI6" s="45"/>
      <c r="CJ6" s="45"/>
      <c r="CY6" s="37"/>
      <c r="CZ6" s="37"/>
    </row>
    <row r="7" spans="1:104" ht="15.6">
      <c r="E7" s="925" t="s">
        <v>210</v>
      </c>
      <c r="F7" s="6" t="s">
        <v>421</v>
      </c>
      <c r="G7" s="6" t="s">
        <v>434</v>
      </c>
      <c r="H7" s="925" t="s">
        <v>317</v>
      </c>
      <c r="I7" s="40" t="s">
        <v>162</v>
      </c>
      <c r="J7" s="6" t="s">
        <v>148</v>
      </c>
      <c r="K7" s="6"/>
      <c r="R7" s="8"/>
      <c r="S7" s="8"/>
      <c r="BH7" s="44"/>
      <c r="BI7" s="43" t="s">
        <v>28</v>
      </c>
      <c r="BJ7" s="44"/>
      <c r="BK7" s="1125">
        <v>1</v>
      </c>
      <c r="BL7" s="227" t="s">
        <v>383</v>
      </c>
      <c r="BM7" s="44" t="s">
        <v>30</v>
      </c>
      <c r="BN7"/>
      <c r="BO7"/>
      <c r="BP7"/>
      <c r="BQ7"/>
      <c r="BR7"/>
      <c r="BS7" s="38"/>
      <c r="BT7" s="38"/>
      <c r="CI7" s="16"/>
      <c r="CJ7" s="16"/>
      <c r="CY7" s="37"/>
      <c r="CZ7" s="37"/>
    </row>
    <row r="8" spans="1:104" ht="15.6">
      <c r="C8" s="37">
        <f>D17+F17</f>
        <v>0</v>
      </c>
      <c r="E8" s="926">
        <f>BB63</f>
        <v>7.4999999999999997E-2</v>
      </c>
      <c r="F8" s="20">
        <f>CC!BB64</f>
        <v>0.18</v>
      </c>
      <c r="G8" s="216">
        <f>CC!BB65</f>
        <v>0.18</v>
      </c>
      <c r="H8" s="927">
        <f>BB69</f>
        <v>0.11111111111111112</v>
      </c>
      <c r="I8" s="1268">
        <f>(+BB38+BB40+BB41+BB39)*0+11%</f>
        <v>0.11</v>
      </c>
      <c r="J8" s="20">
        <f>+$BB$73</f>
        <v>0.05</v>
      </c>
      <c r="K8" s="20"/>
      <c r="R8" s="8"/>
      <c r="S8" s="8"/>
      <c r="AI8" s="581"/>
      <c r="BD8" s="4" t="s">
        <v>328</v>
      </c>
      <c r="BN8"/>
      <c r="BO8"/>
      <c r="BP8"/>
      <c r="BQ8"/>
      <c r="BR8"/>
      <c r="BS8" s="38"/>
      <c r="BT8" s="38"/>
      <c r="CI8" s="16"/>
      <c r="CJ8" s="16"/>
      <c r="CY8" s="37"/>
      <c r="CZ8" s="37"/>
    </row>
    <row r="9" spans="1:104" ht="15.6">
      <c r="A9" s="13"/>
      <c r="B9" s="251" t="s">
        <v>802</v>
      </c>
      <c r="C9" s="873">
        <f>BB17</f>
        <v>0</v>
      </c>
      <c r="D9" s="2"/>
      <c r="F9" s="10"/>
      <c r="G9" s="20"/>
      <c r="H9" s="20"/>
      <c r="I9" s="928" t="s">
        <v>804</v>
      </c>
      <c r="J9" s="46"/>
      <c r="K9" s="12"/>
      <c r="L9" s="47"/>
      <c r="M9" s="11"/>
      <c r="N9" s="48"/>
      <c r="O9" s="20"/>
      <c r="R9" s="8"/>
      <c r="S9" s="8"/>
      <c r="BA9" s="4" t="s">
        <v>320</v>
      </c>
      <c r="BG9" s="831">
        <f>90%</f>
        <v>0.9</v>
      </c>
      <c r="BH9" s="40" t="s">
        <v>200</v>
      </c>
      <c r="BI9" s="335" t="e">
        <f>+BI1*BG9</f>
        <v>#REF!</v>
      </c>
      <c r="BJ9" s="335" t="e">
        <f>+BI9*0</f>
        <v>#REF!</v>
      </c>
      <c r="BK9" s="335" t="e">
        <f>+BI9*1</f>
        <v>#REF!</v>
      </c>
      <c r="BL9" s="1124" t="e">
        <f>BK9*0.1/2</f>
        <v>#REF!</v>
      </c>
      <c r="BM9" s="335" t="e">
        <f>+BL9+BK9+BJ9</f>
        <v>#REF!</v>
      </c>
      <c r="BN9"/>
      <c r="BO9"/>
      <c r="BP9"/>
      <c r="BQ9"/>
      <c r="BR9"/>
      <c r="BS9" s="38"/>
      <c r="BT9" s="38"/>
      <c r="CI9" s="16"/>
      <c r="CJ9" s="16"/>
      <c r="CY9" s="37"/>
      <c r="CZ9" s="37"/>
    </row>
    <row r="10" spans="1:104" ht="16.2" thickBot="1">
      <c r="A10" s="198"/>
      <c r="B10" s="870" t="s">
        <v>803</v>
      </c>
      <c r="C10" s="872">
        <f>BB19</f>
        <v>0</v>
      </c>
      <c r="D10" s="871"/>
      <c r="E10" s="871"/>
      <c r="F10" s="252"/>
      <c r="G10" s="342"/>
      <c r="H10" s="197"/>
      <c r="I10" s="197"/>
      <c r="J10" s="197"/>
      <c r="K10" s="197"/>
      <c r="L10" s="197"/>
      <c r="M10" s="197"/>
      <c r="N10" s="197"/>
      <c r="O10" s="197"/>
      <c r="P10" s="197"/>
      <c r="Q10" s="271" t="s">
        <v>784</v>
      </c>
      <c r="R10" s="818">
        <f>BB29</f>
        <v>0.12</v>
      </c>
      <c r="S10" s="818">
        <f>BB31</f>
        <v>0.2</v>
      </c>
      <c r="T10" s="197"/>
      <c r="U10" s="197"/>
      <c r="V10" s="197"/>
      <c r="W10" s="197"/>
      <c r="X10" s="818">
        <f>BB41</f>
        <v>0.05</v>
      </c>
      <c r="Y10" s="818">
        <f>BB38</f>
        <v>2.5000000000000001E-2</v>
      </c>
      <c r="Z10" s="1128" t="s">
        <v>981</v>
      </c>
      <c r="AA10" s="197"/>
      <c r="AB10" s="197" t="s">
        <v>772</v>
      </c>
      <c r="AC10" s="197"/>
      <c r="AD10" s="197"/>
      <c r="AE10" s="197"/>
      <c r="AF10" s="197"/>
      <c r="AG10" s="197"/>
      <c r="AH10" s="197"/>
      <c r="AI10" s="197"/>
      <c r="AJ10" s="197"/>
      <c r="AK10" s="197"/>
      <c r="AL10" s="197"/>
      <c r="AM10" s="197"/>
      <c r="AN10" s="197"/>
      <c r="AO10" s="197"/>
      <c r="AP10" s="197"/>
      <c r="AQ10" s="197"/>
      <c r="AR10" s="924">
        <v>0.05</v>
      </c>
      <c r="AS10" s="198"/>
      <c r="AT10" s="198"/>
      <c r="AU10" s="198"/>
      <c r="AV10" s="199"/>
      <c r="AW10" s="199"/>
      <c r="BA10" s="37" t="s">
        <v>7</v>
      </c>
      <c r="BB10" s="824"/>
      <c r="BD10" s="50">
        <f>1.075*0+1</f>
        <v>1</v>
      </c>
      <c r="BG10" s="76">
        <f>100%-BG13-BG12-BG11-BG9</f>
        <v>0</v>
      </c>
      <c r="BH10" s="6" t="s">
        <v>1151</v>
      </c>
      <c r="BI10" s="335" t="e">
        <f>+BI1*BG10</f>
        <v>#REF!</v>
      </c>
      <c r="BJ10" s="335" t="e">
        <f>+BI10*0</f>
        <v>#REF!</v>
      </c>
      <c r="BK10" s="335" t="e">
        <f>+BI10*1</f>
        <v>#REF!</v>
      </c>
      <c r="BL10" s="1124" t="e">
        <f>(BK10*0.1/2+BK9*0.1)*0/12</f>
        <v>#REF!</v>
      </c>
      <c r="BM10" s="335" t="e">
        <f>+BL10+BK10+BJ10</f>
        <v>#REF!</v>
      </c>
      <c r="BN10"/>
      <c r="BO10"/>
      <c r="BP10"/>
      <c r="BQ10"/>
      <c r="BR10"/>
      <c r="CY10" s="37"/>
      <c r="CZ10" s="37"/>
    </row>
    <row r="11" spans="1:104" ht="15.6">
      <c r="A11" s="211" t="s">
        <v>92</v>
      </c>
      <c r="B11" s="211" t="s">
        <v>96</v>
      </c>
      <c r="C11" s="211" t="s">
        <v>37</v>
      </c>
      <c r="D11" s="206" t="s">
        <v>39</v>
      </c>
      <c r="E11" s="106"/>
      <c r="F11" s="106"/>
      <c r="G11" s="201"/>
      <c r="H11" s="200" t="s">
        <v>97</v>
      </c>
      <c r="I11" s="201"/>
      <c r="J11" s="16" t="s">
        <v>98</v>
      </c>
      <c r="K11" s="59"/>
      <c r="L11" s="2349" t="s">
        <v>99</v>
      </c>
      <c r="M11" s="2350"/>
      <c r="N11" s="2351" t="s">
        <v>100</v>
      </c>
      <c r="O11" s="2336"/>
      <c r="P11" s="2325" t="s">
        <v>101</v>
      </c>
      <c r="Q11" s="2330"/>
      <c r="R11" s="2328" t="s">
        <v>102</v>
      </c>
      <c r="S11" s="2329"/>
      <c r="T11" s="2329"/>
      <c r="U11" s="2330"/>
      <c r="V11" s="2325" t="s">
        <v>103</v>
      </c>
      <c r="W11" s="2326"/>
      <c r="X11" s="2326"/>
      <c r="Y11" s="2327"/>
      <c r="Z11" s="2331" t="s">
        <v>104</v>
      </c>
      <c r="AA11" s="2326"/>
      <c r="AB11" s="2332"/>
      <c r="AC11" s="2333" t="s">
        <v>105</v>
      </c>
      <c r="AD11" s="2334"/>
      <c r="AE11" s="2334"/>
      <c r="AF11" s="2334"/>
      <c r="AG11" s="2335"/>
      <c r="AH11" s="2342" t="s">
        <v>805</v>
      </c>
      <c r="AI11" s="2334"/>
      <c r="AJ11" s="2335"/>
      <c r="AK11" s="2343" t="s">
        <v>106</v>
      </c>
      <c r="AL11" s="2344"/>
      <c r="AM11" s="2345" t="s">
        <v>107</v>
      </c>
      <c r="AN11" s="2344"/>
      <c r="AO11" s="2345" t="s">
        <v>108</v>
      </c>
      <c r="AP11" s="2344"/>
      <c r="AQ11" s="2345" t="s">
        <v>109</v>
      </c>
      <c r="AR11" s="2346"/>
      <c r="AS11" s="2325" t="s">
        <v>110</v>
      </c>
      <c r="AT11" s="2326"/>
      <c r="AU11" s="2332"/>
      <c r="AV11" s="19" t="s">
        <v>149</v>
      </c>
      <c r="AW11" s="19"/>
      <c r="AX11" s="1080"/>
      <c r="BA11" s="37" t="s">
        <v>10</v>
      </c>
      <c r="BB11" s="49"/>
      <c r="BG11" s="831"/>
      <c r="BH11" s="6" t="s">
        <v>818</v>
      </c>
      <c r="BI11" s="335" t="e">
        <f>+BI1*BG11</f>
        <v>#REF!</v>
      </c>
      <c r="BJ11" s="335" t="e">
        <f>+BI11*0</f>
        <v>#REF!</v>
      </c>
      <c r="BK11" s="335" t="e">
        <f>+BI11*1</f>
        <v>#REF!</v>
      </c>
      <c r="BL11" s="1124" t="e">
        <f>(BK11*0.1/2+BK10*0.1+BK9*0.1)*0/12</f>
        <v>#REF!</v>
      </c>
      <c r="BM11" s="335" t="e">
        <f>+BL11+BK11+BJ11</f>
        <v>#REF!</v>
      </c>
      <c r="BN11"/>
      <c r="BO11"/>
      <c r="BP11"/>
      <c r="BQ11"/>
      <c r="BR11"/>
      <c r="BS11" s="50"/>
      <c r="CY11" s="37"/>
      <c r="CZ11" s="37"/>
    </row>
    <row r="12" spans="1:104" ht="17.399999999999999">
      <c r="A12" s="25"/>
      <c r="B12" s="25"/>
      <c r="C12" s="29" t="s">
        <v>11</v>
      </c>
      <c r="D12" s="55" t="s">
        <v>111</v>
      </c>
      <c r="E12" s="54"/>
      <c r="F12" s="55" t="s">
        <v>112</v>
      </c>
      <c r="G12" s="56"/>
      <c r="H12" s="53" t="s">
        <v>111</v>
      </c>
      <c r="I12" s="57" t="s">
        <v>112</v>
      </c>
      <c r="J12" s="58" t="s">
        <v>111</v>
      </c>
      <c r="K12" s="28" t="s">
        <v>112</v>
      </c>
      <c r="L12" s="17" t="s">
        <v>113</v>
      </c>
      <c r="M12" s="64" t="s">
        <v>114</v>
      </c>
      <c r="N12" s="338" t="s">
        <v>111</v>
      </c>
      <c r="O12" s="338" t="s">
        <v>112</v>
      </c>
      <c r="P12" s="340" t="s">
        <v>122</v>
      </c>
      <c r="Q12" s="343" t="s">
        <v>431</v>
      </c>
      <c r="R12" s="52" t="s">
        <v>55</v>
      </c>
      <c r="S12" s="52" t="s">
        <v>115</v>
      </c>
      <c r="T12" s="191" t="s">
        <v>86</v>
      </c>
      <c r="U12" s="52" t="s">
        <v>116</v>
      </c>
      <c r="V12" s="2339" t="s">
        <v>117</v>
      </c>
      <c r="W12" s="2340"/>
      <c r="X12" s="2341"/>
      <c r="Y12" s="192" t="s">
        <v>118</v>
      </c>
      <c r="Z12" s="33" t="s">
        <v>119</v>
      </c>
      <c r="AA12" s="190" t="s">
        <v>120</v>
      </c>
      <c r="AB12" s="183" t="s">
        <v>120</v>
      </c>
      <c r="AC12" s="52" t="s">
        <v>210</v>
      </c>
      <c r="AD12" s="191" t="s">
        <v>422</v>
      </c>
      <c r="AE12" s="52" t="s">
        <v>121</v>
      </c>
      <c r="AF12" s="191" t="s">
        <v>456</v>
      </c>
      <c r="AG12" s="270" t="s">
        <v>422</v>
      </c>
      <c r="AH12" s="191" t="s">
        <v>422</v>
      </c>
      <c r="AI12" s="272" t="s">
        <v>422</v>
      </c>
      <c r="AJ12" s="52" t="s">
        <v>122</v>
      </c>
      <c r="AK12" s="60"/>
      <c r="AL12" s="60"/>
      <c r="AM12" s="60"/>
      <c r="AN12" s="60"/>
      <c r="AO12" s="60"/>
      <c r="AP12" s="60"/>
      <c r="AQ12" s="60"/>
      <c r="AR12" s="193"/>
      <c r="AS12" s="260"/>
      <c r="AT12" s="196"/>
      <c r="AU12" s="261"/>
      <c r="AV12" s="258" t="s">
        <v>151</v>
      </c>
      <c r="AW12" s="258"/>
      <c r="AX12" s="259"/>
      <c r="BA12" s="37" t="s">
        <v>12</v>
      </c>
      <c r="BB12" s="826"/>
      <c r="BG12" s="1126">
        <v>0</v>
      </c>
      <c r="BH12" s="4" t="s">
        <v>1150</v>
      </c>
      <c r="BI12" s="335" t="e">
        <f>+BI1*BG12</f>
        <v>#REF!</v>
      </c>
      <c r="BJ12" s="335"/>
      <c r="BK12" s="335" t="e">
        <f>+BI12*1</f>
        <v>#REF!</v>
      </c>
      <c r="BL12" s="1124" t="e">
        <f>(BK12*0.05+BK9*0.1+BK10*0.1+BK11*0.1)*0/12</f>
        <v>#REF!</v>
      </c>
      <c r="BM12" s="335" t="e">
        <f>+BL12+BK12+BJ12</f>
        <v>#REF!</v>
      </c>
      <c r="BN12"/>
      <c r="BO12"/>
      <c r="BP12"/>
      <c r="BQ12"/>
      <c r="BR12"/>
      <c r="CY12" s="37"/>
      <c r="CZ12" s="37"/>
    </row>
    <row r="13" spans="1:104" ht="17.399999999999999">
      <c r="A13" s="25"/>
      <c r="B13" s="25"/>
      <c r="C13" s="25"/>
      <c r="D13" s="207" t="s">
        <v>123</v>
      </c>
      <c r="E13" s="56" t="s">
        <v>124</v>
      </c>
      <c r="F13" s="61" t="s">
        <v>123</v>
      </c>
      <c r="G13" s="62" t="s">
        <v>124</v>
      </c>
      <c r="H13" s="53"/>
      <c r="I13" s="63"/>
      <c r="J13" s="33"/>
      <c r="K13" s="33"/>
      <c r="L13" s="28" t="s">
        <v>112</v>
      </c>
      <c r="M13" s="27" t="s">
        <v>112</v>
      </c>
      <c r="N13" s="338"/>
      <c r="O13" s="338"/>
      <c r="P13" s="340"/>
      <c r="Q13" s="344"/>
      <c r="R13" s="60"/>
      <c r="S13" s="60"/>
      <c r="T13" s="60"/>
      <c r="U13" s="60"/>
      <c r="V13" s="60" t="s">
        <v>308</v>
      </c>
      <c r="W13" s="346" t="s">
        <v>309</v>
      </c>
      <c r="X13" s="33"/>
      <c r="Y13" s="51"/>
      <c r="Z13" s="33" t="s">
        <v>21</v>
      </c>
      <c r="AA13" s="33" t="s">
        <v>21</v>
      </c>
      <c r="AB13" s="52" t="s">
        <v>125</v>
      </c>
      <c r="AC13" s="69"/>
      <c r="AD13" s="191" t="s">
        <v>425</v>
      </c>
      <c r="AE13" s="52" t="s">
        <v>126</v>
      </c>
      <c r="AF13" s="191" t="s">
        <v>457</v>
      </c>
      <c r="AG13" s="270" t="s">
        <v>426</v>
      </c>
      <c r="AH13" s="191" t="s">
        <v>429</v>
      </c>
      <c r="AI13" s="191" t="s">
        <v>423</v>
      </c>
      <c r="AJ13" s="51"/>
      <c r="AK13" s="52"/>
      <c r="AL13" s="52"/>
      <c r="AM13" s="51"/>
      <c r="AN13" s="51"/>
      <c r="AO13" s="52"/>
      <c r="AP13" s="52"/>
      <c r="AQ13" s="51"/>
      <c r="AR13" s="51"/>
      <c r="AS13" s="194"/>
      <c r="AT13" s="51"/>
      <c r="AU13" s="195"/>
      <c r="AV13" s="60" t="s">
        <v>150</v>
      </c>
      <c r="AW13" s="60"/>
      <c r="AX13" s="65"/>
      <c r="BA13" s="37" t="s">
        <v>13</v>
      </c>
      <c r="BB13" s="827"/>
      <c r="BD13" s="4" t="s">
        <v>561</v>
      </c>
      <c r="BE13" s="828"/>
      <c r="BG13" s="47">
        <v>0.1</v>
      </c>
      <c r="BH13" s="43" t="s">
        <v>38</v>
      </c>
      <c r="BI13" s="336" t="e">
        <f>+BI1*BG13</f>
        <v>#REF!</v>
      </c>
      <c r="BJ13" s="336" t="e">
        <f>+BI13*0</f>
        <v>#REF!</v>
      </c>
      <c r="BK13" s="336" t="e">
        <f>+BI13*1</f>
        <v>#REF!</v>
      </c>
      <c r="BL13" s="336">
        <v>0</v>
      </c>
      <c r="BM13" s="336" t="e">
        <f>+BL13+BK13+BJ13</f>
        <v>#REF!</v>
      </c>
      <c r="BN13"/>
      <c r="BO13"/>
      <c r="BP13"/>
      <c r="BQ13"/>
      <c r="BR13"/>
      <c r="CY13" s="37"/>
      <c r="CZ13" s="37"/>
    </row>
    <row r="14" spans="1:104" ht="15.6">
      <c r="A14" s="25"/>
      <c r="B14" s="25"/>
      <c r="C14" s="24"/>
      <c r="D14" s="208" t="s">
        <v>37</v>
      </c>
      <c r="E14" s="52" t="s">
        <v>37</v>
      </c>
      <c r="F14" s="66" t="s">
        <v>32</v>
      </c>
      <c r="G14" s="52" t="s">
        <v>32</v>
      </c>
      <c r="H14" s="53" t="s">
        <v>37</v>
      </c>
      <c r="I14" s="63" t="s">
        <v>32</v>
      </c>
      <c r="J14" s="52" t="s">
        <v>37</v>
      </c>
      <c r="K14" s="52" t="s">
        <v>32</v>
      </c>
      <c r="L14" s="52" t="s">
        <v>32</v>
      </c>
      <c r="M14" s="52" t="s">
        <v>32</v>
      </c>
      <c r="N14" s="19" t="s">
        <v>37</v>
      </c>
      <c r="O14" s="19" t="s">
        <v>32</v>
      </c>
      <c r="P14" s="337" t="s">
        <v>32</v>
      </c>
      <c r="Q14" s="345" t="s">
        <v>32</v>
      </c>
      <c r="R14" s="52" t="s">
        <v>32</v>
      </c>
      <c r="S14" s="67" t="s">
        <v>32</v>
      </c>
      <c r="T14" s="67" t="s">
        <v>32</v>
      </c>
      <c r="U14" s="52" t="s">
        <v>32</v>
      </c>
      <c r="V14" s="52" t="s">
        <v>37</v>
      </c>
      <c r="W14" s="52" t="s">
        <v>37</v>
      </c>
      <c r="X14" s="52" t="s">
        <v>32</v>
      </c>
      <c r="Y14" s="52" t="s">
        <v>32</v>
      </c>
      <c r="Z14" s="52" t="s">
        <v>37</v>
      </c>
      <c r="AA14" s="52" t="s">
        <v>32</v>
      </c>
      <c r="AB14" s="52" t="s">
        <v>32</v>
      </c>
      <c r="AC14" s="68" t="s">
        <v>32</v>
      </c>
      <c r="AD14" s="52" t="s">
        <v>32</v>
      </c>
      <c r="AE14" s="52" t="s">
        <v>32</v>
      </c>
      <c r="AF14" s="52" t="s">
        <v>32</v>
      </c>
      <c r="AG14" s="30" t="s">
        <v>37</v>
      </c>
      <c r="AH14" s="52" t="s">
        <v>32</v>
      </c>
      <c r="AI14" s="52" t="s">
        <v>32</v>
      </c>
      <c r="AJ14" s="52" t="s">
        <v>32</v>
      </c>
      <c r="AK14" s="52" t="s">
        <v>37</v>
      </c>
      <c r="AL14" s="52" t="s">
        <v>32</v>
      </c>
      <c r="AM14" s="52" t="s">
        <v>37</v>
      </c>
      <c r="AN14" s="52" t="s">
        <v>32</v>
      </c>
      <c r="AO14" s="52" t="s">
        <v>37</v>
      </c>
      <c r="AP14" s="52" t="s">
        <v>32</v>
      </c>
      <c r="AQ14" s="52" t="s">
        <v>37</v>
      </c>
      <c r="AR14" s="52" t="s">
        <v>32</v>
      </c>
      <c r="AS14" s="69" t="s">
        <v>37</v>
      </c>
      <c r="AT14" s="52" t="s">
        <v>32</v>
      </c>
      <c r="AU14" s="30" t="s">
        <v>60</v>
      </c>
      <c r="AV14" s="52" t="s">
        <v>32</v>
      </c>
      <c r="AW14" s="52" t="s">
        <v>32</v>
      </c>
      <c r="AX14" s="30" t="s">
        <v>60</v>
      </c>
      <c r="BA14" s="37" t="s">
        <v>195</v>
      </c>
      <c r="BB14" s="49"/>
      <c r="BD14" s="4" t="s">
        <v>451</v>
      </c>
      <c r="BE14" s="828"/>
      <c r="BG14" s="47">
        <v>1</v>
      </c>
      <c r="BH14" s="44" t="s">
        <v>9</v>
      </c>
      <c r="BI14" s="336" t="e">
        <f>SUM(BI9:BI13)</f>
        <v>#REF!</v>
      </c>
      <c r="BJ14" s="336" t="e">
        <f>SUM(BJ9:BJ13)</f>
        <v>#REF!</v>
      </c>
      <c r="BK14" s="336" t="e">
        <f>SUM(BK9:BK13)</f>
        <v>#REF!</v>
      </c>
      <c r="BL14" s="336" t="e">
        <f>SUM(BL9:BL13)</f>
        <v>#REF!</v>
      </c>
      <c r="BM14" s="336" t="e">
        <f>SUM(BM9:BM13)</f>
        <v>#REF!</v>
      </c>
      <c r="BN14"/>
      <c r="BO14"/>
      <c r="BP14"/>
      <c r="BQ14"/>
      <c r="BR14"/>
      <c r="CI14" s="37">
        <f>+CH14*(1.3*1.04)+CH14*0.03</f>
        <v>0</v>
      </c>
      <c r="CY14" s="37"/>
      <c r="CZ14" s="37"/>
    </row>
    <row r="15" spans="1:104" ht="15.6">
      <c r="A15" s="108" t="s">
        <v>197</v>
      </c>
      <c r="B15" s="108" t="s">
        <v>61</v>
      </c>
      <c r="C15" s="108" t="s">
        <v>62</v>
      </c>
      <c r="D15" s="70" t="s">
        <v>63</v>
      </c>
      <c r="E15" s="71" t="s">
        <v>64</v>
      </c>
      <c r="F15" s="71" t="s">
        <v>65</v>
      </c>
      <c r="G15" s="71" t="s">
        <v>66</v>
      </c>
      <c r="H15" s="71" t="s">
        <v>67</v>
      </c>
      <c r="I15" s="71" t="s">
        <v>298</v>
      </c>
      <c r="J15" s="71" t="s">
        <v>68</v>
      </c>
      <c r="K15" s="71" t="s">
        <v>69</v>
      </c>
      <c r="L15" s="71" t="s">
        <v>70</v>
      </c>
      <c r="M15" s="71" t="s">
        <v>59</v>
      </c>
      <c r="N15" s="339" t="s">
        <v>71</v>
      </c>
      <c r="O15" s="339" t="s">
        <v>72</v>
      </c>
      <c r="P15" s="341" t="s">
        <v>73</v>
      </c>
      <c r="Q15" s="70" t="s">
        <v>74</v>
      </c>
      <c r="R15" s="71" t="s">
        <v>75</v>
      </c>
      <c r="S15" s="73" t="s">
        <v>76</v>
      </c>
      <c r="T15" s="71" t="s">
        <v>41</v>
      </c>
      <c r="U15" s="71" t="s">
        <v>77</v>
      </c>
      <c r="V15" s="71" t="s">
        <v>78</v>
      </c>
      <c r="W15" s="71" t="s">
        <v>79</v>
      </c>
      <c r="X15" s="71" t="s">
        <v>80</v>
      </c>
      <c r="Y15" s="71" t="s">
        <v>81</v>
      </c>
      <c r="Z15" s="71" t="s">
        <v>82</v>
      </c>
      <c r="AA15" s="71" t="s">
        <v>127</v>
      </c>
      <c r="AB15" s="71" t="s">
        <v>128</v>
      </c>
      <c r="AC15" s="71" t="s">
        <v>129</v>
      </c>
      <c r="AD15" s="71" t="s">
        <v>130</v>
      </c>
      <c r="AE15" s="582" t="s">
        <v>552</v>
      </c>
      <c r="AF15" s="71" t="s">
        <v>131</v>
      </c>
      <c r="AG15" s="72" t="s">
        <v>132</v>
      </c>
      <c r="AH15" s="71" t="s">
        <v>133</v>
      </c>
      <c r="AI15" s="71" t="s">
        <v>134</v>
      </c>
      <c r="AJ15" s="582" t="s">
        <v>553</v>
      </c>
      <c r="AK15" s="582" t="s">
        <v>554</v>
      </c>
      <c r="AL15" s="582" t="s">
        <v>555</v>
      </c>
      <c r="AM15" s="582" t="s">
        <v>135</v>
      </c>
      <c r="AN15" s="582" t="s">
        <v>556</v>
      </c>
      <c r="AO15" s="71" t="s">
        <v>136</v>
      </c>
      <c r="AP15" s="71" t="s">
        <v>137</v>
      </c>
      <c r="AQ15" s="71" t="s">
        <v>138</v>
      </c>
      <c r="AR15" s="71" t="s">
        <v>139</v>
      </c>
      <c r="AS15" s="71" t="s">
        <v>140</v>
      </c>
      <c r="AT15" s="71" t="s">
        <v>141</v>
      </c>
      <c r="AU15" s="71" t="s">
        <v>142</v>
      </c>
      <c r="AV15" s="71" t="s">
        <v>143</v>
      </c>
      <c r="AW15" s="71" t="s">
        <v>144</v>
      </c>
      <c r="AX15" s="583" t="s">
        <v>312</v>
      </c>
      <c r="AY15" s="72" t="s">
        <v>144</v>
      </c>
      <c r="BA15" s="37" t="s">
        <v>14</v>
      </c>
      <c r="BB15" s="49"/>
      <c r="BD15" s="253" t="s">
        <v>397</v>
      </c>
      <c r="BE15" s="829">
        <v>1.08</v>
      </c>
      <c r="BH15" s="34" t="s">
        <v>438</v>
      </c>
      <c r="BI15" s="336"/>
      <c r="BJ15" s="336"/>
      <c r="BK15" s="336"/>
      <c r="BL15" s="336"/>
      <c r="BM15" s="336" t="e">
        <f>+AU24</f>
        <v>#REF!</v>
      </c>
      <c r="BN15"/>
      <c r="BO15"/>
      <c r="BP15"/>
      <c r="BQ15"/>
      <c r="BR15"/>
      <c r="BS15"/>
      <c r="BT15"/>
      <c r="CI15" s="37">
        <f>+CH15*(1.3*1.04)+CH15*0.03</f>
        <v>0</v>
      </c>
      <c r="CY15" s="37"/>
      <c r="CZ15" s="37"/>
    </row>
    <row r="16" spans="1:104" ht="34.799999999999997">
      <c r="A16" s="1140" t="str">
        <f>B3</f>
        <v>01/DE/4941</v>
      </c>
      <c r="B16" s="237" t="str">
        <f>C3</f>
        <v>Extension of mixer bay and replacement of 02 nos mixer cranes 125+30t, span 28 m in SMS-2</v>
      </c>
      <c r="C16" s="236"/>
      <c r="D16" s="209"/>
      <c r="E16" s="114"/>
      <c r="F16" s="114"/>
      <c r="G16" s="114"/>
      <c r="H16" s="114"/>
      <c r="I16" s="114"/>
      <c r="J16" s="114"/>
      <c r="K16" s="114"/>
      <c r="L16" s="114"/>
      <c r="M16" s="114"/>
      <c r="N16" s="114"/>
      <c r="O16" s="114"/>
      <c r="P16" s="114"/>
      <c r="Q16" s="115"/>
      <c r="R16" s="114">
        <f>$BC$29*(D16+$BB$47*D16)+$BB$29*F16</f>
        <v>0</v>
      </c>
      <c r="S16" s="114">
        <f>$BB$31*(J16+$BB$47*J16+K16+L16+M16)</f>
        <v>0</v>
      </c>
      <c r="T16" s="114">
        <f>$BB$33*(N16+$BB$47*N16+O16)</f>
        <v>0</v>
      </c>
      <c r="U16" s="114"/>
      <c r="V16" s="114">
        <f>$BB$39*(D16+J16+N16+$BB$47*(D16+J16+N16)+F16+K16+L16+M16+O16+P16+R16+S16+T16+U16)</f>
        <v>0</v>
      </c>
      <c r="W16" s="114"/>
      <c r="X16" s="114">
        <f>$BB$41*(D16+J16+N16+$BB$47*(D16+J16+N16)+F16+K16+L16+M16+O16+P16+R16+S16+T16+U16)</f>
        <v>0</v>
      </c>
      <c r="Y16" s="114">
        <f>$BB$38*(D16+J16+N16+$BB$47*(D16+J16+N16)+F16+K16+L16+M16+O16+P16+R16+S16+T16+U16)</f>
        <v>0</v>
      </c>
      <c r="Z16" s="114">
        <f>$BB$47*(D16+H16+J16+N16)</f>
        <v>0</v>
      </c>
      <c r="AA16" s="114">
        <f>($BB$51*(D16+H16+$BB$47*(D16+H16))+$BB$53*(J16+N16+$BB$47*(J16+N16)))*(1+$BB$67)</f>
        <v>0</v>
      </c>
      <c r="AB16" s="114">
        <f>($BB$56*(F16+I16)+$BB$58*(K16+L16+O16))*(1+$BB$67)</f>
        <v>0</v>
      </c>
      <c r="AC16" s="114">
        <f>$BB$63*(D16+H16+J16+N16+$BB$47*(D16+H16+J16+N16))*1.01</f>
        <v>0</v>
      </c>
      <c r="AD16" s="114">
        <f>$BB$64*((D16+H16+J16+N16+$BB$47*(D16+H16+J16+N16))*1.01+AC16)</f>
        <v>0</v>
      </c>
      <c r="AE16" s="114">
        <f>$BB$69*(E16+V16+W16+AK16+AM16+AO16)</f>
        <v>0</v>
      </c>
      <c r="AF16" s="114">
        <f>$BB$71*(E16+$BB$69*W16+AK16+AM16)</f>
        <v>0</v>
      </c>
      <c r="AG16" s="114"/>
      <c r="AH16" s="209">
        <f>$BB$66*(F16+I16+K16+L16+O16)</f>
        <v>0</v>
      </c>
      <c r="AI16" s="114">
        <f>$BB$67*((R16+S16+T16+U16)*0.7+V16+W16+X16+0.33*(P16+AM16))</f>
        <v>0</v>
      </c>
      <c r="AJ16" s="114"/>
      <c r="AK16" s="114"/>
      <c r="AL16" s="114"/>
      <c r="AM16" s="114"/>
      <c r="AN16" s="114"/>
      <c r="AO16" s="114"/>
      <c r="AP16" s="114"/>
      <c r="AQ16" s="114">
        <f>+$BB$73*(D16+E16+H16+J16+N16+V16+W16+Z16+AG16+AK16+AM16+AO16)</f>
        <v>0</v>
      </c>
      <c r="AR16" s="114"/>
      <c r="AS16" s="114"/>
      <c r="AT16" s="114"/>
      <c r="AU16" s="115"/>
      <c r="AV16" s="37">
        <f>$BB$62*((D16+H16+J16+L16+O16)+$BB$47*(D16+H16+J16+L16+O16))</f>
        <v>0</v>
      </c>
      <c r="BA16" s="37" t="s">
        <v>164</v>
      </c>
      <c r="BB16" s="824">
        <f>80.99</f>
        <v>80.989999999999995</v>
      </c>
      <c r="BD16" s="254" t="s">
        <v>573</v>
      </c>
      <c r="BE16" s="825"/>
      <c r="BG16" s="44"/>
      <c r="BH16" s="34" t="s">
        <v>439</v>
      </c>
      <c r="BI16" s="336"/>
      <c r="BJ16" s="336"/>
      <c r="BK16" s="336"/>
      <c r="BL16" s="336"/>
      <c r="BM16" s="336" t="e">
        <f>+BM14-BM15</f>
        <v>#REF!</v>
      </c>
      <c r="BQ16"/>
      <c r="BR16"/>
      <c r="BS16"/>
      <c r="BT16"/>
      <c r="CY16" s="37"/>
      <c r="CZ16" s="37"/>
    </row>
    <row r="17" spans="1:104" ht="60">
      <c r="A17" s="862" t="s">
        <v>793</v>
      </c>
      <c r="B17" s="930" t="s">
        <v>1087</v>
      </c>
      <c r="C17" s="217"/>
      <c r="D17" s="209"/>
      <c r="E17" s="114"/>
      <c r="F17" s="114"/>
      <c r="G17" s="114"/>
      <c r="H17" s="114"/>
      <c r="I17" s="114"/>
      <c r="J17" s="114"/>
      <c r="K17" s="114"/>
      <c r="L17" s="114"/>
      <c r="M17" s="114"/>
      <c r="N17" s="114"/>
      <c r="O17" s="114"/>
      <c r="P17" s="114"/>
      <c r="Q17" s="115"/>
      <c r="R17" s="1127"/>
      <c r="S17" s="114">
        <f>$BB$31*(J17+$BB$47*J17+K17+L17+M17)</f>
        <v>0</v>
      </c>
      <c r="T17" s="1127">
        <f>$BB$33*(N17+$BB$47*N17+O17)</f>
        <v>0</v>
      </c>
      <c r="U17" s="114"/>
      <c r="V17" s="1119">
        <f>$BB$39*(D17+J17+N17+$BB$47*(D17+J17+N17)+F17+K17+L17+M17+O17+P17+R17+S17+T17+U17)*0</f>
        <v>0</v>
      </c>
      <c r="W17" s="1119">
        <f>$BB$40*(D17+J17+N17+$BB$47*(D17+J17+N17)+F17+K17+L17+M17+O17+P17+Q17+R17+S17+T17+U17)*0</f>
        <v>0</v>
      </c>
      <c r="X17" s="114">
        <f>$BB$41*(D17+J17+N17+$BB$47*(D17+J17+N17)+F17+K17+L17+M17+O17+P17+Q17+R17+S17+T17+U17)</f>
        <v>0</v>
      </c>
      <c r="Y17" s="114">
        <f>$BB$38*(D17+J17+N17+$BB$47*(D17+J17+N17)+F17+K17+L17+M17+O17+P17+Q17+R17+S17+T17+U17)</f>
        <v>0</v>
      </c>
      <c r="Z17" s="114">
        <f>$BB$47*(D17+H17+J17+N17)</f>
        <v>0</v>
      </c>
      <c r="AA17" s="114">
        <f>($BB$51*(D17+H17+$BB$47*(D17+H17))+$BB$53*(J17+N17+$BB$47*(J17+N17)))</f>
        <v>0</v>
      </c>
      <c r="AB17" s="114">
        <f>(($BB$56*(F17+I17)+$BB$58*(K17+L17+O17)))</f>
        <v>0</v>
      </c>
      <c r="AC17" s="114">
        <f>$BB$63*(D17+H17+J17+N17+Z17)</f>
        <v>0</v>
      </c>
      <c r="AD17" s="114">
        <f>$BB$64*((D17+E17+H17+J17+N17+Z17)+AC17+AF17)</f>
        <v>0</v>
      </c>
      <c r="AE17" s="114">
        <f>$BB$69*(V17+W17+AK17+AM17+AO17)</f>
        <v>0</v>
      </c>
      <c r="AF17" s="348">
        <f>$BB$71*(AC17)</f>
        <v>0</v>
      </c>
      <c r="AG17" s="114">
        <f>$BB$65*(V17+W17+AE17+AK17+AM17+AO17)</f>
        <v>0</v>
      </c>
      <c r="AH17" s="209">
        <f>$BB$66*(F17+G17+I17+K17+L17+M17+O17)</f>
        <v>0</v>
      </c>
      <c r="AI17" s="114">
        <f>$BB$67*(P17+Q17+R17+S17+T17+U17+X17+AL17+AN17+AP17)+$BB$68*(AA17+AB17)</f>
        <v>0</v>
      </c>
      <c r="AJ17" s="114"/>
      <c r="AK17" s="114"/>
      <c r="AL17" s="114"/>
      <c r="AM17" s="114"/>
      <c r="AN17" s="114"/>
      <c r="AO17" s="114"/>
      <c r="AP17" s="114"/>
      <c r="AQ17" s="114">
        <f>+$BB$73*(D17+E17+H17+J17+N17+V17+W17+Z17+AK17+AM17+AO17)</f>
        <v>0</v>
      </c>
      <c r="AR17" s="114">
        <f>+$BB$73*(F17+G17+I17+K17+L17+M17+O17+P17+Q17+R17+S17+T17+U17+X17+Y17+AA17+AB17+AC17+AD17+AE17+AF17+AG17+AH17+AI17+AJ17+AL17+AN17+AP17)</f>
        <v>0</v>
      </c>
      <c r="AS17" s="114">
        <f>D17+E17+H17+J17+N17+V17+W17+Z17+AK17+AM17+AO17+AQ17</f>
        <v>0</v>
      </c>
      <c r="AT17" s="114">
        <f>(F17+G17+I17+K17+L17+M17+O17+P17+Q17+R17+S17+T17+U17+X17+Y17+AA17+AB17+AC17+AD17+AE17+AF17+AG17+AH17+AI17+AJ17+AL17+AN17+AP17+AR17)</f>
        <v>0</v>
      </c>
      <c r="AU17" s="115">
        <f t="shared" ref="AU17:AU20" si="0">AS17+AT17</f>
        <v>0</v>
      </c>
      <c r="AW17" s="335">
        <f>AU17-AR17-AQ17-Y17</f>
        <v>0</v>
      </c>
      <c r="AX17" s="335">
        <f>AD17+AH17-$BB$66*(L17+M17)+$BB$65*(V17+W17+AE17+AK17+AM17+AO17)+$BB$67*(Q17+R17+T17+$BB$31*(J17+K17)+X17+AL17+AN17+AP17)+$BB$68*(AA17+AB17)</f>
        <v>0</v>
      </c>
      <c r="AY17" s="335">
        <f>AW17-AX17</f>
        <v>0</v>
      </c>
      <c r="BA17" s="4" t="s">
        <v>449</v>
      </c>
      <c r="BB17" s="1123">
        <f>(BB10+BE17/2)*0</f>
        <v>0</v>
      </c>
      <c r="BD17" s="254" t="s">
        <v>817</v>
      </c>
      <c r="BE17" s="95">
        <f>BE16*(22+6)/24*0+(951.259+(1327.067-951.259)*1/12)/100</f>
        <v>9.8257633333333327</v>
      </c>
      <c r="BF17" s="37">
        <f>BE17/2</f>
        <v>4.9128816666666664</v>
      </c>
      <c r="BG17" s="117"/>
      <c r="BQ17"/>
      <c r="BR17"/>
      <c r="BS17"/>
      <c r="BT17"/>
      <c r="CY17" s="37"/>
      <c r="CZ17" s="37"/>
    </row>
    <row r="18" spans="1:104" ht="24.6">
      <c r="A18" s="862" t="s">
        <v>794</v>
      </c>
      <c r="B18" s="930" t="s">
        <v>797</v>
      </c>
      <c r="C18" s="217"/>
      <c r="D18" s="209"/>
      <c r="E18" s="114"/>
      <c r="F18" s="114"/>
      <c r="G18" s="114"/>
      <c r="H18" s="114"/>
      <c r="I18" s="114"/>
      <c r="J18" s="114"/>
      <c r="K18" s="114"/>
      <c r="L18" s="114"/>
      <c r="M18" s="114"/>
      <c r="N18" s="114"/>
      <c r="O18" s="114"/>
      <c r="P18" s="114"/>
      <c r="Q18" s="115"/>
      <c r="R18" s="114">
        <f t="shared" ref="R18:R20" si="1">($BC$29*(D18+$BB$47*D18)+$BB$29*F18)</f>
        <v>0</v>
      </c>
      <c r="S18" s="114">
        <f t="shared" ref="S18:S19" si="2">$BB$31*(J18+$BB$47*J18+K18+L18+M18)</f>
        <v>0</v>
      </c>
      <c r="T18" s="114">
        <f t="shared" ref="T18:T20" si="3">$BB$33*(N18+$BB$47*N18+O18)</f>
        <v>0</v>
      </c>
      <c r="U18" s="114"/>
      <c r="V18" s="114">
        <f>$BB$39*(D18+J18+N18+$BB$47*(D18+J18+N18)+F18+K18+L18+M18+O18+P18+R18+S18+T18+U18)*0</f>
        <v>0</v>
      </c>
      <c r="W18" s="114">
        <f>$BB$40*(D18+J18+N18+$BB$47*(D18+J18+N18)+F18+K18+L18+M18+O18+P18+Q18+R18+S18+T18+U18)*0</f>
        <v>0</v>
      </c>
      <c r="X18" s="1119">
        <f>$BB$41*(D18+J18+N18+$BB$47*(D18+J18+N18)+F18+K18+L18+M18+O18+P18+Q18+R18+S18+T18+U18)*0</f>
        <v>0</v>
      </c>
      <c r="Y18" s="348">
        <f t="shared" ref="Y18:Y20" si="4">$BB$38*(D18+J18+N18+$BB$47*(D18+J18+N18)+F18+K18+L18+M18+O18+P18+Q18+R18+S18+T18+U18)</f>
        <v>0</v>
      </c>
      <c r="Z18" s="114">
        <f t="shared" ref="Z18:Z20" si="5">$BB$47*(D18+H18+J18+N18)</f>
        <v>0</v>
      </c>
      <c r="AA18" s="114">
        <f t="shared" ref="AA18:AA20" si="6">($BB$51*(D18+H18+$BB$47*(D18+H18))+$BB$53*(J18+N18+$BB$47*(J18+N18)))</f>
        <v>0</v>
      </c>
      <c r="AB18" s="114">
        <f t="shared" ref="AB18:AB20" si="7">(($BB$56*(F18+I18)+$BB$58*(K18+L18+O18)))</f>
        <v>0</v>
      </c>
      <c r="AC18" s="114">
        <f t="shared" ref="AC18:AC20" si="8">$BB$63*(D18+H18+J18+N18+Z18)</f>
        <v>0</v>
      </c>
      <c r="AD18" s="114">
        <f t="shared" ref="AD18:AD20" si="9">$BB$64*((D18+E18+H18+J18+N18+Z18)+AC18+AF18)</f>
        <v>0</v>
      </c>
      <c r="AE18" s="114">
        <f t="shared" ref="AE18:AE20" si="10">$BB$69*(V18+W18+AK18+AM18+AO18)</f>
        <v>0</v>
      </c>
      <c r="AF18" s="348">
        <f t="shared" ref="AF18:AF20" si="11">$BB$71*(AC18)</f>
        <v>0</v>
      </c>
      <c r="AG18" s="114">
        <f t="shared" ref="AG18:AG20" si="12">$BB$65*(V18+W18+AE18+AK18+AM18+AO18)</f>
        <v>0</v>
      </c>
      <c r="AH18" s="209">
        <f t="shared" ref="AH18:AH20" si="13">$BB$66*(F18+G18+I18+K18+L18+M18+O18)</f>
        <v>0</v>
      </c>
      <c r="AI18" s="114">
        <f t="shared" ref="AI18:AI20" si="14">$BB$67*(P18+Q18+R18+S18+T18+U18+X18+AL18+AN18+AP18)+$BB$68*(AA18+AB18)</f>
        <v>0</v>
      </c>
      <c r="AJ18" s="114"/>
      <c r="AK18" s="114"/>
      <c r="AL18" s="114"/>
      <c r="AM18" s="114"/>
      <c r="AN18" s="114"/>
      <c r="AO18" s="114"/>
      <c r="AP18" s="114"/>
      <c r="AQ18" s="114">
        <f t="shared" ref="AQ18" si="15">+$BB$73*(D18+E18+H18+J18+N18+V18+W18+Z18+AK18+AM18+AO18)</f>
        <v>0</v>
      </c>
      <c r="AR18" s="114">
        <f t="shared" ref="AR18:AR20" si="16">+$BB$73*(F18+G18+I18+K18+L18+M18+O18+P18+Q18+R18+S18+T18+U18+X18+Y18+AA18+AB18+AC18+AD18+AE18+AF18+AG18+AH18+AI18+AJ18+AL18+AN18+AP18)</f>
        <v>0</v>
      </c>
      <c r="AS18" s="114">
        <f t="shared" ref="AS18" si="17">D18+E18+H18+J18+N18+V18+W18+Z18+AK18+AM18+AO18+AQ18</f>
        <v>0</v>
      </c>
      <c r="AT18" s="114">
        <f t="shared" ref="AT18:AT20" si="18">(F18+G18+I18+K18+L18+M18+O18+P18+Q18+R18+S18+T18+U18+X18+Y18+AA18+AB18+AC18+AD18+AE18+AF18+AG18+AH18+AI18+AJ18+AL18+AN18+AP18+AR18)</f>
        <v>0</v>
      </c>
      <c r="AU18" s="115">
        <f t="shared" si="0"/>
        <v>0</v>
      </c>
      <c r="AW18" s="335">
        <f t="shared" ref="AW18:AW21" si="19">AU18-AR18-AQ18-Y18</f>
        <v>0</v>
      </c>
      <c r="AX18" s="335">
        <f t="shared" ref="AX18:AX21" si="20">AD18+AH18-$BB$66*(L18+M18)+$BB$65*(V18+W18+AE18+AK18+AM18+AO18)+$BB$67*(Q18+R18+T18+$BB$31*(J18+K18)+X18+AL18+AN18+AP18)+$BB$68*(AA18+AB18)</f>
        <v>0</v>
      </c>
      <c r="AY18" s="335">
        <f t="shared" ref="AY18:AY21" si="21">AW18-AX18</f>
        <v>0</v>
      </c>
      <c r="BA18" s="4"/>
      <c r="BB18" s="49"/>
      <c r="BD18" s="254"/>
      <c r="BE18" s="95"/>
      <c r="BG18" s="117"/>
      <c r="BQ18"/>
      <c r="BR18"/>
      <c r="BS18"/>
      <c r="BT18"/>
      <c r="CY18" s="37"/>
      <c r="CZ18" s="37"/>
    </row>
    <row r="19" spans="1:104" ht="104.4">
      <c r="A19" s="862" t="s">
        <v>795</v>
      </c>
      <c r="B19" s="930" t="s">
        <v>980</v>
      </c>
      <c r="C19" s="217"/>
      <c r="D19" s="209"/>
      <c r="E19" s="114"/>
      <c r="F19" s="114"/>
      <c r="G19" s="114"/>
      <c r="H19" s="114" t="s">
        <v>0</v>
      </c>
      <c r="I19" s="114"/>
      <c r="J19" s="114"/>
      <c r="K19" s="114"/>
      <c r="L19" s="114"/>
      <c r="M19" s="114"/>
      <c r="N19" s="114"/>
      <c r="O19" s="114"/>
      <c r="P19" s="114"/>
      <c r="Q19" s="115"/>
      <c r="R19" s="1119">
        <f>($BC$29*(D19+$BB$47*D19)+$BB$29*F19)*0</f>
        <v>0</v>
      </c>
      <c r="S19" s="114">
        <f t="shared" si="2"/>
        <v>0</v>
      </c>
      <c r="T19" s="114">
        <f t="shared" si="3"/>
        <v>0</v>
      </c>
      <c r="U19" s="114"/>
      <c r="V19" s="114">
        <f t="shared" ref="V19" si="22">$BB$39*(D19+J19+N19+$BB$47*(D19+J19+N19)+F19+K19+L19+M19+O19+P19+R19+S19+T19+U19)*0</f>
        <v>0</v>
      </c>
      <c r="W19" s="114">
        <f>$BB$40*(D19+J19+N19+$BB$47*(D19+J19+N19)+F19+K19+L19+M19+O19+P19+Q19+R19+S19+T19+U19)*0</f>
        <v>0</v>
      </c>
      <c r="X19" s="1119">
        <f>$BB$41*(D19+J19+N19+$BB$47*(D19+J19+N19)+F19+K19+L19+M19+O19+P19+Q19+R19+S19+T19+U19)*0</f>
        <v>0</v>
      </c>
      <c r="Y19" s="114">
        <f t="shared" si="4"/>
        <v>0</v>
      </c>
      <c r="Z19" s="1871"/>
      <c r="AA19" s="114"/>
      <c r="AB19" s="114">
        <f t="shared" si="7"/>
        <v>0</v>
      </c>
      <c r="AC19" s="114"/>
      <c r="AD19" s="114"/>
      <c r="AE19" s="114">
        <f t="shared" si="10"/>
        <v>0</v>
      </c>
      <c r="AF19" s="348">
        <f t="shared" si="11"/>
        <v>0</v>
      </c>
      <c r="AG19" s="114">
        <f t="shared" si="12"/>
        <v>0</v>
      </c>
      <c r="AH19" s="209">
        <f t="shared" si="13"/>
        <v>0</v>
      </c>
      <c r="AI19" s="114">
        <f t="shared" si="14"/>
        <v>0</v>
      </c>
      <c r="AJ19" s="114"/>
      <c r="AK19" s="114"/>
      <c r="AL19" s="114"/>
      <c r="AM19" s="114"/>
      <c r="AN19" s="114"/>
      <c r="AO19" s="114"/>
      <c r="AP19" s="114"/>
      <c r="AQ19" s="114"/>
      <c r="AR19" s="114">
        <f t="shared" si="16"/>
        <v>0</v>
      </c>
      <c r="AS19" s="114"/>
      <c r="AT19" s="114">
        <f t="shared" si="18"/>
        <v>0</v>
      </c>
      <c r="AU19" s="115">
        <f t="shared" si="0"/>
        <v>0</v>
      </c>
      <c r="AW19" s="335">
        <f t="shared" si="19"/>
        <v>0</v>
      </c>
      <c r="AX19" s="335">
        <f t="shared" si="20"/>
        <v>0</v>
      </c>
      <c r="AY19" s="335">
        <f t="shared" si="21"/>
        <v>0</v>
      </c>
      <c r="BA19" s="4" t="s">
        <v>453</v>
      </c>
      <c r="BB19" s="49">
        <f>(BB16+BE19/2)*0</f>
        <v>0</v>
      </c>
      <c r="BD19" s="254" t="s">
        <v>744</v>
      </c>
      <c r="BE19" s="95">
        <f>BE17*BE15</f>
        <v>10.6118244</v>
      </c>
      <c r="BF19" s="37">
        <f>BE19/2</f>
        <v>5.3059121999999999</v>
      </c>
      <c r="BQ19"/>
      <c r="BR19"/>
      <c r="BS19"/>
      <c r="BT19"/>
      <c r="CY19" s="37"/>
      <c r="CZ19" s="37"/>
    </row>
    <row r="20" spans="1:104" ht="24.6">
      <c r="A20" s="862" t="s">
        <v>796</v>
      </c>
      <c r="B20" s="930" t="s">
        <v>1145</v>
      </c>
      <c r="C20" s="217"/>
      <c r="D20" s="209"/>
      <c r="E20" s="114"/>
      <c r="F20" s="114">
        <f>Electrical!F46/100</f>
        <v>0.39819691775000005</v>
      </c>
      <c r="G20" s="114"/>
      <c r="H20" s="114"/>
      <c r="I20" s="114"/>
      <c r="J20" s="114"/>
      <c r="K20" s="114"/>
      <c r="L20" s="114" t="e">
        <f>Structural!F27/100</f>
        <v>#REF!</v>
      </c>
      <c r="M20" s="114"/>
      <c r="N20" s="114"/>
      <c r="O20" s="114"/>
      <c r="P20" s="114">
        <f>Civil!F44/100</f>
        <v>0.40793928869565221</v>
      </c>
      <c r="Q20" s="115"/>
      <c r="R20" s="114">
        <f t="shared" si="1"/>
        <v>4.7783630130000004E-2</v>
      </c>
      <c r="S20" s="114" t="e">
        <f>$BB$31*(J20+$BB$47*J20+K20+L20+M20)+Structural!F18/100</f>
        <v>#REF!</v>
      </c>
      <c r="T20" s="114">
        <f t="shared" si="3"/>
        <v>0</v>
      </c>
      <c r="U20" s="114" t="e">
        <f>(Structural!F25+Structural!F26)/100</f>
        <v>#REF!</v>
      </c>
      <c r="V20" s="114" t="e">
        <f>$BB$39*(D20+J20+N20+$BB$47*(D20+J20+N20)+F20+K20+L20+M20+O20+P20+R20+S20+T20+U20)*0</f>
        <v>#REF!</v>
      </c>
      <c r="W20" s="114" t="e">
        <f>$BB$40*(D20+J20+N20+$BB$47*(D20+J20+N20)+F20+K20+L20+M20+O20+P20+Q20+R20+S20+T20+U20)*0</f>
        <v>#REF!</v>
      </c>
      <c r="X20" s="114" t="e">
        <f t="shared" ref="X20" si="23">$BB$41*(D20+J20+N20+$BB$47*(D20+J20+N20)+F20+K20+L20+M20+O20+P20+Q20+R20+S20+T20+U20)</f>
        <v>#REF!</v>
      </c>
      <c r="Y20" s="114" t="e">
        <f t="shared" si="4"/>
        <v>#REF!</v>
      </c>
      <c r="Z20" s="114">
        <f t="shared" si="5"/>
        <v>0</v>
      </c>
      <c r="AA20" s="114">
        <f t="shared" si="6"/>
        <v>0</v>
      </c>
      <c r="AB20" s="114" t="e">
        <f t="shared" si="7"/>
        <v>#REF!</v>
      </c>
      <c r="AC20" s="114">
        <f t="shared" si="8"/>
        <v>0</v>
      </c>
      <c r="AD20" s="114">
        <f t="shared" si="9"/>
        <v>0</v>
      </c>
      <c r="AE20" s="114" t="e">
        <f t="shared" si="10"/>
        <v>#REF!</v>
      </c>
      <c r="AF20" s="348">
        <f t="shared" si="11"/>
        <v>0</v>
      </c>
      <c r="AG20" s="114" t="e">
        <f t="shared" si="12"/>
        <v>#REF!</v>
      </c>
      <c r="AH20" s="209" t="e">
        <f t="shared" si="13"/>
        <v>#REF!</v>
      </c>
      <c r="AI20" s="114" t="e">
        <f t="shared" si="14"/>
        <v>#REF!</v>
      </c>
      <c r="AJ20" s="114"/>
      <c r="AK20" s="114"/>
      <c r="AL20" s="114"/>
      <c r="AM20" s="114"/>
      <c r="AN20" s="114"/>
      <c r="AO20" s="114"/>
      <c r="AP20" s="114"/>
      <c r="AQ20" s="114" t="e">
        <f>+$BB$73*(D20+E20+H20+J20+N20+V20+W20+Z20+AK20+AM20+AO20)</f>
        <v>#REF!</v>
      </c>
      <c r="AR20" s="114" t="e">
        <f t="shared" si="16"/>
        <v>#REF!</v>
      </c>
      <c r="AS20" s="114" t="e">
        <f>(D20+E20+H20+J20+N20+V20+W20+Z20+AK20+AM20+AO20+AQ20)</f>
        <v>#REF!</v>
      </c>
      <c r="AT20" s="114" t="e">
        <f t="shared" si="18"/>
        <v>#REF!</v>
      </c>
      <c r="AU20" s="115" t="e">
        <f t="shared" si="0"/>
        <v>#REF!</v>
      </c>
      <c r="AW20" s="335" t="e">
        <f t="shared" si="19"/>
        <v>#REF!</v>
      </c>
      <c r="AX20" s="335" t="e">
        <f t="shared" si="20"/>
        <v>#REF!</v>
      </c>
      <c r="AY20" s="335" t="e">
        <f t="shared" si="21"/>
        <v>#REF!</v>
      </c>
      <c r="BA20" s="4"/>
      <c r="BB20" s="49"/>
      <c r="BD20" s="254"/>
      <c r="BE20" s="95"/>
      <c r="BQ20"/>
      <c r="BR20"/>
      <c r="BS20"/>
      <c r="BT20"/>
      <c r="CY20" s="37"/>
      <c r="CZ20" s="37"/>
    </row>
    <row r="21" spans="1:104" s="897" customFormat="1" ht="60">
      <c r="A21" s="911">
        <v>1</v>
      </c>
      <c r="B21" s="912" t="s">
        <v>90</v>
      </c>
      <c r="C21" s="913"/>
      <c r="D21" s="914">
        <f>SUM(D17:D20)</f>
        <v>0</v>
      </c>
      <c r="E21" s="915">
        <f>SUM(E17:E20)</f>
        <v>0</v>
      </c>
      <c r="F21" s="915">
        <f t="shared" ref="F21:AT21" si="24">SUM(F17:F20)</f>
        <v>0.39819691775000005</v>
      </c>
      <c r="G21" s="915">
        <f t="shared" si="24"/>
        <v>0</v>
      </c>
      <c r="H21" s="915">
        <f t="shared" si="24"/>
        <v>0</v>
      </c>
      <c r="I21" s="915">
        <f t="shared" si="24"/>
        <v>0</v>
      </c>
      <c r="J21" s="915">
        <f t="shared" si="24"/>
        <v>0</v>
      </c>
      <c r="K21" s="915">
        <f t="shared" si="24"/>
        <v>0</v>
      </c>
      <c r="L21" s="915" t="e">
        <f t="shared" si="24"/>
        <v>#REF!</v>
      </c>
      <c r="M21" s="915">
        <f t="shared" si="24"/>
        <v>0</v>
      </c>
      <c r="N21" s="915">
        <f t="shared" si="24"/>
        <v>0</v>
      </c>
      <c r="O21" s="915">
        <f t="shared" si="24"/>
        <v>0</v>
      </c>
      <c r="P21" s="915">
        <f t="shared" si="24"/>
        <v>0.40793928869565221</v>
      </c>
      <c r="Q21" s="915">
        <f t="shared" si="24"/>
        <v>0</v>
      </c>
      <c r="R21" s="915">
        <f t="shared" si="24"/>
        <v>4.7783630130000004E-2</v>
      </c>
      <c r="S21" s="915" t="e">
        <f t="shared" si="24"/>
        <v>#REF!</v>
      </c>
      <c r="T21" s="915">
        <f t="shared" si="24"/>
        <v>0</v>
      </c>
      <c r="U21" s="915" t="e">
        <f t="shared" si="24"/>
        <v>#REF!</v>
      </c>
      <c r="V21" s="915" t="e">
        <f t="shared" si="24"/>
        <v>#REF!</v>
      </c>
      <c r="W21" s="915" t="e">
        <f t="shared" si="24"/>
        <v>#REF!</v>
      </c>
      <c r="X21" s="915" t="e">
        <f t="shared" si="24"/>
        <v>#REF!</v>
      </c>
      <c r="Y21" s="915" t="e">
        <f t="shared" si="24"/>
        <v>#REF!</v>
      </c>
      <c r="Z21" s="915">
        <f t="shared" si="24"/>
        <v>0</v>
      </c>
      <c r="AA21" s="915">
        <f t="shared" si="24"/>
        <v>0</v>
      </c>
      <c r="AB21" s="915" t="e">
        <f t="shared" si="24"/>
        <v>#REF!</v>
      </c>
      <c r="AC21" s="915">
        <f t="shared" si="24"/>
        <v>0</v>
      </c>
      <c r="AD21" s="915">
        <f t="shared" si="24"/>
        <v>0</v>
      </c>
      <c r="AE21" s="915" t="e">
        <f t="shared" si="24"/>
        <v>#REF!</v>
      </c>
      <c r="AF21" s="915">
        <f t="shared" si="24"/>
        <v>0</v>
      </c>
      <c r="AG21" s="916" t="e">
        <f t="shared" si="24"/>
        <v>#REF!</v>
      </c>
      <c r="AH21" s="915" t="e">
        <f t="shared" si="24"/>
        <v>#REF!</v>
      </c>
      <c r="AI21" s="915" t="e">
        <f t="shared" si="24"/>
        <v>#REF!</v>
      </c>
      <c r="AJ21" s="915">
        <f t="shared" si="24"/>
        <v>0</v>
      </c>
      <c r="AK21" s="915">
        <f t="shared" si="24"/>
        <v>0</v>
      </c>
      <c r="AL21" s="915">
        <f t="shared" si="24"/>
        <v>0</v>
      </c>
      <c r="AM21" s="915">
        <f t="shared" si="24"/>
        <v>0</v>
      </c>
      <c r="AN21" s="915">
        <f t="shared" si="24"/>
        <v>0</v>
      </c>
      <c r="AO21" s="915">
        <f t="shared" si="24"/>
        <v>0</v>
      </c>
      <c r="AP21" s="915">
        <f t="shared" si="24"/>
        <v>0</v>
      </c>
      <c r="AQ21" s="915" t="e">
        <f t="shared" si="24"/>
        <v>#REF!</v>
      </c>
      <c r="AR21" s="915" t="e">
        <f t="shared" si="24"/>
        <v>#REF!</v>
      </c>
      <c r="AS21" s="915" t="e">
        <f t="shared" si="24"/>
        <v>#REF!</v>
      </c>
      <c r="AT21" s="915" t="e">
        <f t="shared" si="24"/>
        <v>#REF!</v>
      </c>
      <c r="AU21" s="1121" t="e">
        <f>SUM(AU17:AU20)*'Fin. Summary'!E22</f>
        <v>#REF!</v>
      </c>
      <c r="AW21" s="1793" t="e">
        <f t="shared" si="19"/>
        <v>#REF!</v>
      </c>
      <c r="AX21" s="1793" t="e">
        <f t="shared" si="20"/>
        <v>#REF!</v>
      </c>
      <c r="AY21" s="1793" t="e">
        <f t="shared" si="21"/>
        <v>#REF!</v>
      </c>
      <c r="BA21" s="244" t="s">
        <v>450</v>
      </c>
      <c r="BB21" s="917">
        <f>BB13+BE21/2</f>
        <v>0</v>
      </c>
      <c r="BD21" s="918" t="s">
        <v>745</v>
      </c>
      <c r="BE21" s="897">
        <f>BE17*BE14</f>
        <v>0</v>
      </c>
      <c r="BQ21" s="919"/>
      <c r="BR21" s="919"/>
      <c r="BS21" s="919"/>
      <c r="BT21" s="919"/>
    </row>
    <row r="22" spans="1:104" ht="61.8">
      <c r="A22" s="231">
        <v>2</v>
      </c>
      <c r="B22" s="864" t="s">
        <v>18</v>
      </c>
      <c r="C22" s="215"/>
      <c r="D22" s="210"/>
      <c r="E22" s="101"/>
      <c r="F22" s="101"/>
      <c r="G22" s="101"/>
      <c r="H22" s="101"/>
      <c r="I22" s="101"/>
      <c r="J22" s="101"/>
      <c r="K22" s="101"/>
      <c r="L22" s="101"/>
      <c r="M22" s="101"/>
      <c r="N22" s="101"/>
      <c r="O22" s="101"/>
      <c r="P22" s="101"/>
      <c r="Q22" s="204"/>
      <c r="R22" s="101"/>
      <c r="S22" s="101"/>
      <c r="T22" s="101"/>
      <c r="U22" s="101"/>
      <c r="V22" s="101"/>
      <c r="W22" s="101"/>
      <c r="X22" s="101"/>
      <c r="Y22" s="101"/>
      <c r="Z22" s="101"/>
      <c r="AA22" s="101"/>
      <c r="AB22" s="101"/>
      <c r="AC22" s="101"/>
      <c r="AD22" s="101"/>
      <c r="AE22" s="101"/>
      <c r="AF22" s="101"/>
      <c r="AG22" s="101"/>
      <c r="AH22" s="210"/>
      <c r="AI22" s="101"/>
      <c r="AJ22" s="101"/>
      <c r="AK22" s="101"/>
      <c r="AL22" s="101"/>
      <c r="AM22" s="101"/>
      <c r="AN22" s="101"/>
      <c r="AO22" s="101"/>
      <c r="AP22" s="101"/>
      <c r="AQ22" s="101"/>
      <c r="AR22" s="101"/>
      <c r="AS22" s="101"/>
      <c r="AT22" s="101" t="e">
        <f>+BL14</f>
        <v>#REF!</v>
      </c>
      <c r="AU22" s="204" t="e">
        <f>+AT22+AS22</f>
        <v>#REF!</v>
      </c>
      <c r="BA22" s="4" t="s">
        <v>571</v>
      </c>
      <c r="BB22" s="49">
        <f>BB12+BE22/2</f>
        <v>0</v>
      </c>
      <c r="BD22" s="611" t="s">
        <v>746</v>
      </c>
      <c r="BE22" s="37">
        <f>BE17*BE13</f>
        <v>0</v>
      </c>
      <c r="BF22" s="13"/>
      <c r="BM22" s="38"/>
      <c r="BQ22"/>
      <c r="BR22"/>
      <c r="BS22"/>
      <c r="BT22"/>
      <c r="CY22" s="37"/>
      <c r="CZ22" s="37"/>
    </row>
    <row r="23" spans="1:104" s="74" customFormat="1" ht="24.6">
      <c r="A23" s="231">
        <v>3</v>
      </c>
      <c r="B23" s="866" t="s">
        <v>196</v>
      </c>
      <c r="C23" s="102"/>
      <c r="D23" s="205">
        <f>SUM(D21:D22)</f>
        <v>0</v>
      </c>
      <c r="E23" s="103">
        <f>SUM(E21:E22)</f>
        <v>0</v>
      </c>
      <c r="F23" s="103">
        <f t="shared" ref="F23:AT23" si="25">SUM(F21:F22)</f>
        <v>0.39819691775000005</v>
      </c>
      <c r="G23" s="103">
        <f t="shared" si="25"/>
        <v>0</v>
      </c>
      <c r="H23" s="103">
        <f t="shared" si="25"/>
        <v>0</v>
      </c>
      <c r="I23" s="103">
        <f t="shared" si="25"/>
        <v>0</v>
      </c>
      <c r="J23" s="103">
        <f t="shared" si="25"/>
        <v>0</v>
      </c>
      <c r="K23" s="103">
        <f t="shared" si="25"/>
        <v>0</v>
      </c>
      <c r="L23" s="103" t="e">
        <f t="shared" si="25"/>
        <v>#REF!</v>
      </c>
      <c r="M23" s="103">
        <f t="shared" si="25"/>
        <v>0</v>
      </c>
      <c r="N23" s="103">
        <f t="shared" si="25"/>
        <v>0</v>
      </c>
      <c r="O23" s="103">
        <f t="shared" si="25"/>
        <v>0</v>
      </c>
      <c r="P23" s="103">
        <f t="shared" si="25"/>
        <v>0.40793928869565221</v>
      </c>
      <c r="Q23" s="104">
        <f t="shared" si="25"/>
        <v>0</v>
      </c>
      <c r="R23" s="103">
        <f t="shared" si="25"/>
        <v>4.7783630130000004E-2</v>
      </c>
      <c r="S23" s="103" t="e">
        <f t="shared" si="25"/>
        <v>#REF!</v>
      </c>
      <c r="T23" s="103">
        <f t="shared" si="25"/>
        <v>0</v>
      </c>
      <c r="U23" s="103" t="e">
        <f t="shared" si="25"/>
        <v>#REF!</v>
      </c>
      <c r="V23" s="103" t="e">
        <f t="shared" si="25"/>
        <v>#REF!</v>
      </c>
      <c r="W23" s="103" t="e">
        <f t="shared" si="25"/>
        <v>#REF!</v>
      </c>
      <c r="X23" s="103" t="e">
        <f t="shared" si="25"/>
        <v>#REF!</v>
      </c>
      <c r="Y23" s="103" t="e">
        <f t="shared" si="25"/>
        <v>#REF!</v>
      </c>
      <c r="Z23" s="103">
        <f t="shared" si="25"/>
        <v>0</v>
      </c>
      <c r="AA23" s="103">
        <f t="shared" si="25"/>
        <v>0</v>
      </c>
      <c r="AB23" s="103" t="e">
        <f t="shared" si="25"/>
        <v>#REF!</v>
      </c>
      <c r="AC23" s="103">
        <f t="shared" si="25"/>
        <v>0</v>
      </c>
      <c r="AD23" s="103">
        <f t="shared" si="25"/>
        <v>0</v>
      </c>
      <c r="AE23" s="103" t="e">
        <f t="shared" si="25"/>
        <v>#REF!</v>
      </c>
      <c r="AF23" s="103">
        <f t="shared" si="25"/>
        <v>0</v>
      </c>
      <c r="AG23" s="103" t="e">
        <f t="shared" si="25"/>
        <v>#REF!</v>
      </c>
      <c r="AH23" s="205" t="e">
        <f t="shared" si="25"/>
        <v>#REF!</v>
      </c>
      <c r="AI23" s="103" t="e">
        <f t="shared" si="25"/>
        <v>#REF!</v>
      </c>
      <c r="AJ23" s="103">
        <f t="shared" si="25"/>
        <v>0</v>
      </c>
      <c r="AK23" s="103">
        <f t="shared" si="25"/>
        <v>0</v>
      </c>
      <c r="AL23" s="352">
        <f t="shared" si="25"/>
        <v>0</v>
      </c>
      <c r="AM23" s="103">
        <f t="shared" si="25"/>
        <v>0</v>
      </c>
      <c r="AN23" s="103">
        <f t="shared" si="25"/>
        <v>0</v>
      </c>
      <c r="AO23" s="103">
        <f t="shared" si="25"/>
        <v>0</v>
      </c>
      <c r="AP23" s="103">
        <f t="shared" si="25"/>
        <v>0</v>
      </c>
      <c r="AQ23" s="103" t="e">
        <f t="shared" si="25"/>
        <v>#REF!</v>
      </c>
      <c r="AR23" s="103" t="e">
        <f t="shared" si="25"/>
        <v>#REF!</v>
      </c>
      <c r="AS23" s="356" t="e">
        <f t="shared" si="25"/>
        <v>#REF!</v>
      </c>
      <c r="AT23" s="356" t="e">
        <f t="shared" si="25"/>
        <v>#REF!</v>
      </c>
      <c r="AU23" s="355" t="e">
        <f>SUM(AU21:AU22)</f>
        <v>#REF!</v>
      </c>
      <c r="AV23" s="37"/>
      <c r="AW23" s="232"/>
      <c r="AX23" s="37"/>
      <c r="AZ23" s="37"/>
      <c r="BA23" s="37"/>
      <c r="BB23" s="37">
        <f>BB22-BB12</f>
        <v>0</v>
      </c>
      <c r="BC23" s="37"/>
      <c r="BD23" s="37"/>
      <c r="BE23" s="37"/>
      <c r="BF23" s="37"/>
      <c r="BG23" s="13"/>
      <c r="BH23" s="37"/>
      <c r="BI23" s="37"/>
      <c r="BJ23" s="37"/>
      <c r="BK23" s="37"/>
      <c r="BL23" s="37"/>
      <c r="BM23" s="37"/>
      <c r="BN23" s="37"/>
      <c r="BO23" s="37"/>
      <c r="BP23" s="37"/>
      <c r="BQ23"/>
      <c r="BR23"/>
      <c r="BS23"/>
      <c r="BT23"/>
      <c r="BU23" s="37"/>
      <c r="BV23" s="37"/>
      <c r="BW23" s="37"/>
      <c r="BX23" s="37"/>
      <c r="BY23" s="37"/>
      <c r="BZ23" s="37"/>
      <c r="CA23" s="37"/>
      <c r="CB23" s="37"/>
      <c r="CC23" s="37"/>
      <c r="CD23" s="37"/>
      <c r="CE23" s="37"/>
      <c r="CF23" s="37"/>
      <c r="CG23" s="37"/>
      <c r="CH23" s="37"/>
      <c r="CI23" s="37"/>
      <c r="CJ23" s="37"/>
      <c r="CK23" s="37"/>
      <c r="CL23" s="37"/>
      <c r="CM23" s="37"/>
      <c r="CN23" s="37"/>
      <c r="CO23" s="37"/>
      <c r="CP23" s="37"/>
      <c r="CQ23" s="37"/>
    </row>
    <row r="24" spans="1:104" ht="24.6">
      <c r="A24" s="231">
        <v>4</v>
      </c>
      <c r="B24" s="865" t="s">
        <v>435</v>
      </c>
      <c r="C24" s="102"/>
      <c r="D24" s="205"/>
      <c r="E24" s="349">
        <f>E21</f>
        <v>0</v>
      </c>
      <c r="F24" s="103"/>
      <c r="G24" s="349">
        <f>G21</f>
        <v>0</v>
      </c>
      <c r="H24" s="103"/>
      <c r="I24" s="103"/>
      <c r="J24" s="349">
        <f t="shared" ref="J24:M24" si="26">J21</f>
        <v>0</v>
      </c>
      <c r="K24" s="349">
        <f t="shared" si="26"/>
        <v>0</v>
      </c>
      <c r="L24" s="349" t="e">
        <f t="shared" si="26"/>
        <v>#REF!</v>
      </c>
      <c r="M24" s="349">
        <f t="shared" si="26"/>
        <v>0</v>
      </c>
      <c r="N24" s="103"/>
      <c r="O24" s="103"/>
      <c r="P24" s="103"/>
      <c r="Q24" s="350">
        <f t="shared" ref="Q24:X24" si="27">Q21</f>
        <v>0</v>
      </c>
      <c r="R24" s="349">
        <f t="shared" si="27"/>
        <v>4.7783630130000004E-2</v>
      </c>
      <c r="S24" s="349" t="e">
        <f>S21-$BB$31*(L21+M21)</f>
        <v>#REF!</v>
      </c>
      <c r="T24" s="349">
        <f t="shared" si="27"/>
        <v>0</v>
      </c>
      <c r="U24" s="103"/>
      <c r="V24" s="349" t="e">
        <f t="shared" si="27"/>
        <v>#REF!</v>
      </c>
      <c r="W24" s="349" t="e">
        <f t="shared" si="27"/>
        <v>#REF!</v>
      </c>
      <c r="X24" s="349" t="e">
        <f t="shared" si="27"/>
        <v>#REF!</v>
      </c>
      <c r="Y24" s="103"/>
      <c r="Z24" s="103"/>
      <c r="AA24" s="349">
        <f t="shared" ref="AA24:AG24" si="28">AA21</f>
        <v>0</v>
      </c>
      <c r="AB24" s="833" t="e">
        <f>AB21-$BB$58*L24*0</f>
        <v>#REF!</v>
      </c>
      <c r="AC24" s="103"/>
      <c r="AD24" s="351">
        <f t="shared" si="28"/>
        <v>0</v>
      </c>
      <c r="AE24" s="349" t="e">
        <f t="shared" si="28"/>
        <v>#REF!</v>
      </c>
      <c r="AF24" s="103"/>
      <c r="AG24" s="357" t="e">
        <f t="shared" si="28"/>
        <v>#REF!</v>
      </c>
      <c r="AH24" s="351" t="e">
        <f>AH21-$BB$66*(L24+M24)</f>
        <v>#REF!</v>
      </c>
      <c r="AI24" s="832" t="e">
        <f>$BB$67*(Q24+R24+T24+$BB$31*(J24+K24)+X24+AL24+AN24+AP24)+$BB$68*(AA24+AB24)</f>
        <v>#REF!</v>
      </c>
      <c r="AJ24" s="103"/>
      <c r="AK24" s="354">
        <f t="shared" ref="AK24:AP24" si="29">AK21</f>
        <v>0</v>
      </c>
      <c r="AL24" s="349">
        <f t="shared" si="29"/>
        <v>0</v>
      </c>
      <c r="AM24" s="354">
        <f t="shared" si="29"/>
        <v>0</v>
      </c>
      <c r="AN24" s="354">
        <f t="shared" si="29"/>
        <v>0</v>
      </c>
      <c r="AO24" s="354">
        <f t="shared" si="29"/>
        <v>0</v>
      </c>
      <c r="AP24" s="354">
        <f t="shared" si="29"/>
        <v>0</v>
      </c>
      <c r="AQ24" s="103"/>
      <c r="AR24" s="103"/>
      <c r="AS24" s="103"/>
      <c r="AT24" s="103" t="e">
        <f>AD24+AG24+AH24+AI24</f>
        <v>#REF!</v>
      </c>
      <c r="AU24" s="1120" t="e">
        <f>(+AT24+AS24)*'Fin. Summary'!E22</f>
        <v>#REF!</v>
      </c>
      <c r="AV24" s="37" t="e">
        <f>AD24+AH24+AI24</f>
        <v>#REF!</v>
      </c>
      <c r="AW24" s="37" t="e">
        <f>AV24-AT24</f>
        <v>#REF!</v>
      </c>
      <c r="AX24" s="4" t="s">
        <v>249</v>
      </c>
      <c r="BA24" s="37" t="s">
        <v>15</v>
      </c>
      <c r="BB24" s="37">
        <f>BB19-BB16</f>
        <v>-80.989999999999995</v>
      </c>
      <c r="BF24" s="14"/>
      <c r="BQ24"/>
      <c r="BR24"/>
      <c r="BS24"/>
      <c r="BT24"/>
      <c r="CY24" s="37"/>
      <c r="CZ24" s="37"/>
    </row>
    <row r="25" spans="1:104" ht="24.6">
      <c r="A25" s="231">
        <v>5</v>
      </c>
      <c r="B25" s="866" t="s">
        <v>424</v>
      </c>
      <c r="C25" s="102"/>
      <c r="D25" s="205"/>
      <c r="E25" s="103"/>
      <c r="F25" s="103"/>
      <c r="G25" s="103"/>
      <c r="H25" s="103"/>
      <c r="I25" s="103"/>
      <c r="J25" s="103"/>
      <c r="K25" s="103"/>
      <c r="L25" s="103"/>
      <c r="M25" s="103"/>
      <c r="N25" s="103"/>
      <c r="O25" s="103"/>
      <c r="P25" s="103"/>
      <c r="Q25" s="104"/>
      <c r="R25" s="103"/>
      <c r="S25" s="103"/>
      <c r="T25" s="103"/>
      <c r="U25" s="103"/>
      <c r="V25" s="103"/>
      <c r="W25" s="103"/>
      <c r="X25" s="103"/>
      <c r="Y25" s="103"/>
      <c r="Z25" s="103"/>
      <c r="AA25" s="103"/>
      <c r="AB25" s="103"/>
      <c r="AC25" s="103"/>
      <c r="AD25" s="103"/>
      <c r="AE25" s="103"/>
      <c r="AF25" s="103"/>
      <c r="AG25" s="103"/>
      <c r="AH25" s="205"/>
      <c r="AI25" s="103"/>
      <c r="AJ25" s="103"/>
      <c r="AK25" s="103"/>
      <c r="AL25" s="353"/>
      <c r="AM25" s="103"/>
      <c r="AN25" s="103"/>
      <c r="AO25" s="103"/>
      <c r="AP25" s="103"/>
      <c r="AQ25" s="103"/>
      <c r="AR25" s="103"/>
      <c r="AS25" s="103"/>
      <c r="AT25" s="103"/>
      <c r="AU25" s="355" t="e">
        <f>+AU23-AU24</f>
        <v>#REF!</v>
      </c>
      <c r="BA25" s="37" t="s">
        <v>16</v>
      </c>
      <c r="BQ25"/>
      <c r="BR25"/>
      <c r="BS25"/>
      <c r="BT25"/>
      <c r="CY25" s="37"/>
      <c r="CZ25" s="37"/>
    </row>
    <row r="26" spans="1:104">
      <c r="A26" s="75"/>
      <c r="BA26" s="37" t="s">
        <v>17</v>
      </c>
      <c r="BB26" s="37">
        <v>0</v>
      </c>
      <c r="BG26" s="40"/>
      <c r="BH26" s="40"/>
      <c r="BJ26" s="40"/>
      <c r="BQ26" s="38"/>
      <c r="BR26" s="38"/>
      <c r="BS26" s="38"/>
      <c r="BT26" s="38"/>
      <c r="CY26" s="37"/>
      <c r="CZ26" s="37"/>
    </row>
    <row r="27" spans="1:104" ht="15.6">
      <c r="D27" s="4" t="s">
        <v>329</v>
      </c>
      <c r="J27" s="37" t="e">
        <f>F21+I21+L21+Q21+U21</f>
        <v>#REF!</v>
      </c>
      <c r="K27" s="37" t="e">
        <f>AU25/J27</f>
        <v>#REF!</v>
      </c>
      <c r="P27" s="13"/>
      <c r="AB27" s="271" t="s">
        <v>786</v>
      </c>
      <c r="AE27" s="13"/>
      <c r="AF27" s="13"/>
      <c r="AT27" s="13"/>
      <c r="BH27" s="40"/>
      <c r="BJ27" s="41"/>
      <c r="BL27" s="38"/>
      <c r="BQ27" s="76"/>
      <c r="BS27" s="76"/>
      <c r="CY27" s="37"/>
      <c r="CZ27" s="37"/>
    </row>
    <row r="28" spans="1:104">
      <c r="L28" s="1"/>
      <c r="AS28" s="4"/>
      <c r="AT28" s="100" t="e">
        <f>AT27-AU28</f>
        <v>#REF!</v>
      </c>
      <c r="AU28" t="e">
        <f>AU25</f>
        <v>#REF!</v>
      </c>
      <c r="BA28" s="37" t="s">
        <v>19</v>
      </c>
      <c r="BB28" s="36" t="s">
        <v>20</v>
      </c>
      <c r="BC28" s="5" t="s">
        <v>21</v>
      </c>
      <c r="BD28" s="36"/>
      <c r="BE28" s="36"/>
      <c r="BG28" s="38"/>
      <c r="BH28" s="38"/>
      <c r="BI28" s="38"/>
      <c r="BJ28" s="38"/>
      <c r="BK28" s="38"/>
      <c r="BP28" s="38"/>
      <c r="CY28" s="37"/>
      <c r="CZ28" s="37"/>
    </row>
    <row r="29" spans="1:104">
      <c r="K29" s="1"/>
      <c r="W29" s="4" t="s">
        <v>566</v>
      </c>
      <c r="X29" s="37" t="e">
        <f>AU25/(SUM(D17:Q17)+U17+V17+SUM(AK17:AP17))</f>
        <v>#REF!</v>
      </c>
      <c r="AS29" s="4"/>
      <c r="AU29"/>
      <c r="BA29" s="37" t="s">
        <v>22</v>
      </c>
      <c r="BB29" s="77">
        <v>0.12</v>
      </c>
      <c r="BC29" s="834">
        <v>0.06</v>
      </c>
      <c r="BE29" s="4" t="s">
        <v>612</v>
      </c>
      <c r="BM29" s="38"/>
      <c r="CY29" s="37"/>
      <c r="CZ29" s="37"/>
    </row>
    <row r="30" spans="1:104">
      <c r="C30" s="4" t="s">
        <v>542</v>
      </c>
      <c r="D30" s="4" t="s">
        <v>543</v>
      </c>
      <c r="E30" s="4" t="s">
        <v>544</v>
      </c>
      <c r="F30" s="4" t="s">
        <v>545</v>
      </c>
      <c r="G30" s="4" t="s">
        <v>538</v>
      </c>
      <c r="H30" s="4" t="s">
        <v>539</v>
      </c>
      <c r="I30" s="4" t="s">
        <v>540</v>
      </c>
      <c r="J30" s="4" t="s">
        <v>541</v>
      </c>
      <c r="K30" s="4" t="s">
        <v>210</v>
      </c>
      <c r="L30" s="1" t="s">
        <v>456</v>
      </c>
      <c r="M30" s="4" t="s">
        <v>551</v>
      </c>
      <c r="N30" s="4" t="s">
        <v>421</v>
      </c>
      <c r="O30" s="4" t="s">
        <v>557</v>
      </c>
      <c r="P30" s="4" t="s">
        <v>558</v>
      </c>
      <c r="Q30" s="4" t="s">
        <v>559</v>
      </c>
      <c r="R30" s="4" t="s">
        <v>560</v>
      </c>
      <c r="AU30"/>
      <c r="BA30" s="37" t="s">
        <v>23</v>
      </c>
      <c r="BB30" s="77"/>
      <c r="CY30" s="37"/>
      <c r="CZ30" s="37"/>
    </row>
    <row r="31" spans="1:104">
      <c r="B31" s="4" t="s">
        <v>525</v>
      </c>
      <c r="C31" s="37">
        <f>D21</f>
        <v>0</v>
      </c>
      <c r="D31" s="37">
        <f>$BB$47*C31</f>
        <v>0</v>
      </c>
      <c r="E31" s="37">
        <f>$BB$51*(C31+D31)</f>
        <v>0</v>
      </c>
      <c r="G31" s="37">
        <f>$BC$29*(C31+D31)</f>
        <v>0</v>
      </c>
      <c r="H31" s="37">
        <f>$BB$38*(C31+D31+G31)</f>
        <v>0</v>
      </c>
      <c r="I31" s="37">
        <f>$BB$41*(C31+D31+G31)</f>
        <v>0</v>
      </c>
      <c r="J31" s="37">
        <f>$BB$38*(C31+D31+G31)</f>
        <v>0</v>
      </c>
      <c r="K31" s="37">
        <f>$BB$63*(C31+D31)</f>
        <v>0</v>
      </c>
      <c r="L31" s="37">
        <f>$BB$71*K31</f>
        <v>0</v>
      </c>
      <c r="M31" s="37">
        <f t="shared" ref="M31:M42" si="30">$BB$69*H31</f>
        <v>0</v>
      </c>
      <c r="N31" s="37">
        <f t="shared" ref="N31:N40" si="31">$BB$64*(C31+D31+K31+L31)</f>
        <v>0</v>
      </c>
      <c r="O31" s="37">
        <f>$BB$65*(H31+M31)</f>
        <v>0</v>
      </c>
      <c r="P31" s="37">
        <f>$BB$64*(E31+F31+G31+I31)</f>
        <v>0</v>
      </c>
      <c r="Q31" s="37">
        <f>$BB$73*(C31+D31+H31)</f>
        <v>0</v>
      </c>
      <c r="BA31" s="37" t="s">
        <v>27</v>
      </c>
      <c r="BB31" s="77">
        <v>0.2</v>
      </c>
      <c r="BE31" s="4"/>
      <c r="BF31" s="77"/>
      <c r="BG31" s="40"/>
      <c r="BM31" s="38"/>
      <c r="CY31" s="37"/>
      <c r="CZ31" s="37"/>
    </row>
    <row r="32" spans="1:104">
      <c r="B32" s="4" t="s">
        <v>526</v>
      </c>
      <c r="C32" s="37">
        <f>F21</f>
        <v>0.39819691775000005</v>
      </c>
      <c r="F32" s="579">
        <f>$BB$56*C32</f>
        <v>7.9639383550000019E-3</v>
      </c>
      <c r="G32" s="37">
        <f>$BB$29*C32</f>
        <v>4.7783630130000004E-2</v>
      </c>
      <c r="H32" s="37">
        <f t="shared" ref="H32:H42" si="32">$BB$38*(C32+D32+G32)</f>
        <v>1.1149513697000003E-2</v>
      </c>
      <c r="I32" s="37">
        <f t="shared" ref="I32:I42" si="33">$BB$41*(C32+D32+G32)</f>
        <v>2.2299027394000005E-2</v>
      </c>
      <c r="J32" s="37">
        <f t="shared" ref="J32:J42" si="34">$BB$38*(C32+D32+G32)</f>
        <v>1.1149513697000003E-2</v>
      </c>
      <c r="M32" s="37">
        <f t="shared" si="30"/>
        <v>1.2388348552222225E-3</v>
      </c>
      <c r="N32" s="37">
        <f t="shared" si="31"/>
        <v>7.1675445195000007E-2</v>
      </c>
      <c r="O32" s="37">
        <f>$BB$65*(H32+M32)</f>
        <v>2.2299027394000006E-3</v>
      </c>
      <c r="P32" s="37">
        <f t="shared" ref="P32:P44" si="35">$BB$64*(E32+F32+G32+I32)</f>
        <v>1.4048387258220002E-2</v>
      </c>
      <c r="R32" s="42"/>
      <c r="BA32" s="37" t="s">
        <v>31</v>
      </c>
      <c r="BB32" s="77"/>
      <c r="BF32" s="77"/>
      <c r="BG32" s="40"/>
      <c r="CY32" s="37"/>
      <c r="CZ32" s="37"/>
    </row>
    <row r="33" spans="1:104">
      <c r="B33" s="7" t="s">
        <v>527</v>
      </c>
      <c r="C33" s="37">
        <f>H21</f>
        <v>0</v>
      </c>
      <c r="D33" s="37">
        <f>$BB$47*C33</f>
        <v>0</v>
      </c>
      <c r="E33" s="37">
        <f>$BB$51*(C33+D33)</f>
        <v>0</v>
      </c>
      <c r="K33" s="37">
        <f>$BB$63*(C33+D33)</f>
        <v>0</v>
      </c>
      <c r="L33" s="50">
        <f>$BB$71*K33</f>
        <v>0</v>
      </c>
      <c r="M33" s="50">
        <f t="shared" si="30"/>
        <v>0</v>
      </c>
      <c r="N33" s="37">
        <f t="shared" si="31"/>
        <v>0</v>
      </c>
      <c r="P33" s="37">
        <f t="shared" si="35"/>
        <v>0</v>
      </c>
      <c r="Q33" s="37">
        <f>$BB$73*(C33+D33+H33)</f>
        <v>0</v>
      </c>
      <c r="R33" s="8"/>
      <c r="S33" s="8"/>
      <c r="BA33" s="37" t="s">
        <v>32</v>
      </c>
      <c r="BB33" s="77">
        <v>0.12</v>
      </c>
      <c r="BE33"/>
      <c r="BF33"/>
      <c r="BG33"/>
      <c r="BH33"/>
      <c r="BI33"/>
      <c r="BJ33"/>
      <c r="BK33"/>
      <c r="BL33"/>
      <c r="BR33" s="37" t="s">
        <v>0</v>
      </c>
      <c r="CY33" s="37"/>
      <c r="CZ33" s="37"/>
    </row>
    <row r="34" spans="1:104">
      <c r="B34" s="7" t="s">
        <v>528</v>
      </c>
      <c r="C34" s="37">
        <f>I21</f>
        <v>0</v>
      </c>
      <c r="E34" s="9"/>
      <c r="F34" s="579">
        <f>$BB$56*C34</f>
        <v>0</v>
      </c>
      <c r="G34" s="23"/>
      <c r="K34" s="11"/>
      <c r="L34" s="11"/>
      <c r="M34" s="37">
        <f t="shared" si="30"/>
        <v>0</v>
      </c>
      <c r="N34" s="37">
        <f t="shared" si="31"/>
        <v>0</v>
      </c>
      <c r="P34" s="37">
        <f t="shared" si="35"/>
        <v>0</v>
      </c>
      <c r="R34" s="8"/>
      <c r="S34" s="8"/>
      <c r="BA34" s="37" t="s">
        <v>33</v>
      </c>
      <c r="BB34" s="77"/>
      <c r="BE34"/>
      <c r="BF34"/>
      <c r="BG34"/>
      <c r="BH34"/>
      <c r="BI34"/>
      <c r="BJ34"/>
      <c r="BK34"/>
      <c r="BL34"/>
      <c r="CY34" s="37"/>
      <c r="CZ34" s="37"/>
    </row>
    <row r="35" spans="1:104" ht="15.6">
      <c r="A35" s="13"/>
      <c r="B35" s="7" t="s">
        <v>529</v>
      </c>
      <c r="C35" s="37">
        <f>J21</f>
        <v>0</v>
      </c>
      <c r="D35" s="37">
        <f>$BB$47*C35</f>
        <v>0</v>
      </c>
      <c r="E35" s="5">
        <f>$BB$53*(C35+D35)</f>
        <v>0</v>
      </c>
      <c r="F35" s="10"/>
      <c r="G35" s="580">
        <f>$BB$31*(C35+D35)</f>
        <v>0</v>
      </c>
      <c r="H35" s="37">
        <f t="shared" si="32"/>
        <v>0</v>
      </c>
      <c r="I35" s="37">
        <f t="shared" si="33"/>
        <v>0</v>
      </c>
      <c r="J35" s="37">
        <f t="shared" si="34"/>
        <v>0</v>
      </c>
      <c r="K35" s="37">
        <f>$BB$63*(C35+D35)</f>
        <v>0</v>
      </c>
      <c r="L35" s="37">
        <f>$BB$71*K35</f>
        <v>0</v>
      </c>
      <c r="M35" s="50">
        <f t="shared" si="30"/>
        <v>0</v>
      </c>
      <c r="N35" s="37">
        <f t="shared" si="31"/>
        <v>0</v>
      </c>
      <c r="O35" s="37">
        <f t="shared" ref="O35:O42" si="36">$BB$65*(H35+M35)</f>
        <v>0</v>
      </c>
      <c r="P35" s="37">
        <f t="shared" si="35"/>
        <v>0</v>
      </c>
      <c r="Q35" s="37">
        <f>$BB$73*(C35+D35+H35)</f>
        <v>0</v>
      </c>
      <c r="R35" s="8"/>
      <c r="S35" s="8"/>
      <c r="BB35" s="77"/>
      <c r="BE35"/>
      <c r="BF35"/>
      <c r="BG35"/>
      <c r="BH35"/>
      <c r="BI35"/>
      <c r="BJ35"/>
      <c r="BK35"/>
      <c r="BL35"/>
      <c r="CY35" s="37"/>
      <c r="CZ35" s="37"/>
    </row>
    <row r="36" spans="1:104" ht="15.6">
      <c r="A36" s="13"/>
      <c r="B36" s="7" t="s">
        <v>530</v>
      </c>
      <c r="C36" s="13">
        <f>K21</f>
        <v>0</v>
      </c>
      <c r="D36" s="13"/>
      <c r="E36" s="9"/>
      <c r="F36" s="5">
        <f>$BB$58*C36</f>
        <v>0</v>
      </c>
      <c r="G36" s="580">
        <f>$BB$31*(C36+D36)</f>
        <v>0</v>
      </c>
      <c r="H36" s="37">
        <f t="shared" si="32"/>
        <v>0</v>
      </c>
      <c r="I36" s="37">
        <f t="shared" si="33"/>
        <v>0</v>
      </c>
      <c r="J36" s="37">
        <f t="shared" si="34"/>
        <v>0</v>
      </c>
      <c r="K36" s="4"/>
      <c r="L36" s="4"/>
      <c r="M36" s="37">
        <f t="shared" si="30"/>
        <v>0</v>
      </c>
      <c r="N36" s="37">
        <f t="shared" si="31"/>
        <v>0</v>
      </c>
      <c r="O36" s="37">
        <f t="shared" si="36"/>
        <v>0</v>
      </c>
      <c r="P36" s="37">
        <f t="shared" si="35"/>
        <v>0</v>
      </c>
      <c r="Q36" s="13"/>
      <c r="R36" s="13"/>
      <c r="S36" s="4"/>
      <c r="T36" s="13"/>
      <c r="U36" s="13"/>
      <c r="V36" s="13"/>
      <c r="W36" s="13"/>
      <c r="X36" s="13"/>
      <c r="Y36" s="4"/>
      <c r="Z36" s="4"/>
      <c r="AA36" s="4"/>
      <c r="AB36" s="4"/>
      <c r="AC36" s="4"/>
      <c r="AD36" s="4"/>
      <c r="AE36" s="4"/>
      <c r="AF36" s="4"/>
      <c r="AG36" s="4"/>
      <c r="AH36" s="4"/>
      <c r="AI36" s="4"/>
      <c r="AJ36" s="4"/>
      <c r="AK36" s="4"/>
      <c r="AL36" s="4"/>
      <c r="AM36" s="4"/>
      <c r="AN36" s="4"/>
      <c r="AO36" s="13"/>
      <c r="AP36" s="13"/>
      <c r="AQ36" s="13"/>
      <c r="AR36" s="4"/>
      <c r="AS36" s="13"/>
      <c r="AT36" s="13"/>
      <c r="AU36" s="13"/>
      <c r="BA36" s="37" t="s">
        <v>35</v>
      </c>
      <c r="BB36" s="77"/>
      <c r="BE36"/>
      <c r="BF36"/>
      <c r="BG36"/>
      <c r="BH36"/>
      <c r="BI36"/>
      <c r="BJ36"/>
      <c r="BK36"/>
      <c r="BL36"/>
      <c r="CY36" s="37"/>
      <c r="CZ36" s="37"/>
    </row>
    <row r="37" spans="1:104" ht="15.6">
      <c r="A37" s="19"/>
      <c r="B37" s="203" t="s">
        <v>531</v>
      </c>
      <c r="C37" s="18" t="e">
        <f>L21</f>
        <v>#REF!</v>
      </c>
      <c r="D37" s="16"/>
      <c r="E37" s="16"/>
      <c r="F37" s="5" t="e">
        <f>$BB$58*C37</f>
        <v>#REF!</v>
      </c>
      <c r="G37" s="580" t="e">
        <f>$BB$31*(C37+D37)</f>
        <v>#REF!</v>
      </c>
      <c r="H37" s="37" t="e">
        <f t="shared" si="32"/>
        <v>#REF!</v>
      </c>
      <c r="I37" s="37" t="e">
        <f t="shared" si="33"/>
        <v>#REF!</v>
      </c>
      <c r="J37" s="37" t="e">
        <f t="shared" si="34"/>
        <v>#REF!</v>
      </c>
      <c r="K37" s="16"/>
      <c r="L37" s="16"/>
      <c r="M37" s="37" t="e">
        <f t="shared" si="30"/>
        <v>#REF!</v>
      </c>
      <c r="N37" s="37" t="e">
        <f t="shared" si="31"/>
        <v>#REF!</v>
      </c>
      <c r="O37" s="37" t="e">
        <f t="shared" si="36"/>
        <v>#REF!</v>
      </c>
      <c r="P37" s="37" t="e">
        <f t="shared" si="35"/>
        <v>#REF!</v>
      </c>
      <c r="Q37" s="19"/>
      <c r="R37" s="16"/>
      <c r="S37" s="16"/>
      <c r="T37" s="16"/>
      <c r="U37" s="16"/>
      <c r="V37" s="2336"/>
      <c r="W37" s="2338"/>
      <c r="X37" s="2338"/>
      <c r="Y37" s="2338"/>
      <c r="Z37" s="16"/>
      <c r="AA37" s="16"/>
      <c r="AB37" s="16"/>
      <c r="AC37" s="78"/>
      <c r="AD37" s="78"/>
      <c r="AE37" s="78"/>
      <c r="AF37" s="78"/>
      <c r="AG37" s="79"/>
      <c r="AH37" s="78"/>
      <c r="AI37" s="78"/>
      <c r="AJ37" s="78"/>
      <c r="AK37" s="16"/>
      <c r="AL37" s="16"/>
      <c r="AM37" s="16"/>
      <c r="AN37" s="16"/>
      <c r="AO37" s="16"/>
      <c r="AP37" s="16"/>
      <c r="AQ37" s="16"/>
      <c r="AR37" s="16"/>
      <c r="AS37" s="13"/>
      <c r="AT37" s="4"/>
      <c r="AU37" s="4"/>
      <c r="BA37" s="37" t="s">
        <v>36</v>
      </c>
      <c r="BB37" s="77">
        <v>0</v>
      </c>
      <c r="BE37"/>
      <c r="BF37"/>
      <c r="BG37"/>
      <c r="BH37"/>
      <c r="BI37"/>
      <c r="BJ37"/>
      <c r="BK37"/>
      <c r="BL37"/>
      <c r="CY37" s="37"/>
      <c r="CZ37" s="37"/>
    </row>
    <row r="38" spans="1:104" ht="15.6">
      <c r="A38" s="13"/>
      <c r="B38" s="203" t="s">
        <v>532</v>
      </c>
      <c r="C38" s="18">
        <f>M21</f>
        <v>0</v>
      </c>
      <c r="D38" s="16"/>
      <c r="E38" s="16"/>
      <c r="F38" s="16"/>
      <c r="G38" s="580">
        <f>$BB$31*(C38+D38)</f>
        <v>0</v>
      </c>
      <c r="H38" s="37">
        <f t="shared" si="32"/>
        <v>0</v>
      </c>
      <c r="I38" s="37">
        <f t="shared" si="33"/>
        <v>0</v>
      </c>
      <c r="J38" s="37">
        <f t="shared" si="34"/>
        <v>0</v>
      </c>
      <c r="K38" s="16"/>
      <c r="L38" s="16"/>
      <c r="M38" s="37">
        <f t="shared" si="30"/>
        <v>0</v>
      </c>
      <c r="N38" s="37">
        <f t="shared" si="31"/>
        <v>0</v>
      </c>
      <c r="O38" s="37">
        <f t="shared" si="36"/>
        <v>0</v>
      </c>
      <c r="P38" s="37">
        <f t="shared" si="35"/>
        <v>0</v>
      </c>
      <c r="Q38" s="16"/>
      <c r="R38" s="16"/>
      <c r="S38" s="16"/>
      <c r="T38" s="80"/>
      <c r="U38" s="16"/>
      <c r="V38" s="16"/>
      <c r="W38" s="8"/>
      <c r="X38" s="2336"/>
      <c r="Y38" s="2337"/>
      <c r="Z38" s="16"/>
      <c r="AA38" s="16"/>
      <c r="AB38" s="16"/>
      <c r="AC38" s="16"/>
      <c r="AD38" s="16"/>
      <c r="AE38" s="19"/>
      <c r="AF38" s="19"/>
      <c r="AG38" s="19"/>
      <c r="AH38" s="19"/>
      <c r="AI38" s="19"/>
      <c r="AJ38" s="16"/>
      <c r="AK38" s="13"/>
      <c r="AL38" s="13"/>
      <c r="AM38" s="13"/>
      <c r="AN38" s="13"/>
      <c r="AO38" s="13"/>
      <c r="AP38" s="13"/>
      <c r="AQ38" s="13"/>
      <c r="AR38" s="4"/>
      <c r="AS38" s="16"/>
      <c r="AT38" s="16"/>
      <c r="AU38" s="16"/>
      <c r="BA38" s="4" t="s">
        <v>379</v>
      </c>
      <c r="BB38" s="835">
        <f>(2.5)%</f>
        <v>2.5000000000000001E-2</v>
      </c>
      <c r="BC38" s="4" t="s">
        <v>785</v>
      </c>
      <c r="BE38"/>
      <c r="BF38"/>
      <c r="BG38"/>
      <c r="BH38"/>
      <c r="BI38"/>
      <c r="BJ38"/>
      <c r="BK38"/>
      <c r="BL38"/>
      <c r="CI38" s="5"/>
      <c r="CJ38" s="5"/>
      <c r="CY38" s="37"/>
      <c r="CZ38" s="37"/>
    </row>
    <row r="39" spans="1:104" ht="15.6">
      <c r="A39" s="13"/>
      <c r="B39" s="2" t="s">
        <v>533</v>
      </c>
      <c r="C39" s="13">
        <f>N21</f>
        <v>0</v>
      </c>
      <c r="D39" s="37">
        <f>$BB$47*C39</f>
        <v>0</v>
      </c>
      <c r="E39" s="5">
        <f>$BB$53*(C39+D39)</f>
        <v>0</v>
      </c>
      <c r="F39" s="19"/>
      <c r="G39" s="5">
        <f>$BB$33*(C39+D39)</f>
        <v>0</v>
      </c>
      <c r="H39" s="37">
        <f t="shared" si="32"/>
        <v>0</v>
      </c>
      <c r="I39" s="37">
        <f t="shared" si="33"/>
        <v>0</v>
      </c>
      <c r="J39" s="37">
        <f t="shared" si="34"/>
        <v>0</v>
      </c>
      <c r="K39" s="37">
        <f>$BB$63*(C39+D39)</f>
        <v>0</v>
      </c>
      <c r="L39" s="37">
        <f>$BB$71*K39</f>
        <v>0</v>
      </c>
      <c r="M39" s="50">
        <f t="shared" si="30"/>
        <v>0</v>
      </c>
      <c r="N39" s="37">
        <f t="shared" si="31"/>
        <v>0</v>
      </c>
      <c r="O39" s="37">
        <f t="shared" si="36"/>
        <v>0</v>
      </c>
      <c r="P39" s="37">
        <f t="shared" si="35"/>
        <v>0</v>
      </c>
      <c r="Q39" s="37">
        <f>$BB$73*(C39+D39+H39)</f>
        <v>0</v>
      </c>
      <c r="R39" s="13"/>
      <c r="S39" s="13"/>
      <c r="T39" s="13"/>
      <c r="U39" s="13"/>
      <c r="V39" s="13"/>
      <c r="W39" s="13"/>
      <c r="X39" s="13"/>
      <c r="Y39" s="13"/>
      <c r="Z39" s="19"/>
      <c r="AA39" s="19"/>
      <c r="AB39" s="19"/>
      <c r="AC39" s="16"/>
      <c r="AD39" s="16"/>
      <c r="AE39" s="19"/>
      <c r="AF39" s="19"/>
      <c r="AG39" s="19"/>
      <c r="AH39" s="19"/>
      <c r="AI39" s="19"/>
      <c r="AJ39" s="13"/>
      <c r="AK39" s="19"/>
      <c r="AL39" s="19"/>
      <c r="AM39" s="13"/>
      <c r="AN39" s="13"/>
      <c r="AO39" s="19"/>
      <c r="AP39" s="19"/>
      <c r="AQ39" s="13"/>
      <c r="AR39" s="13"/>
      <c r="AS39" s="13"/>
      <c r="AT39" s="13"/>
      <c r="AU39" s="13"/>
      <c r="BA39" s="4" t="s">
        <v>310</v>
      </c>
      <c r="BB39" s="835">
        <f>1%</f>
        <v>0.01</v>
      </c>
      <c r="BE39"/>
      <c r="BF39"/>
      <c r="BG39"/>
      <c r="BH39"/>
      <c r="BI39"/>
      <c r="BJ39"/>
      <c r="BK39"/>
      <c r="BL39"/>
      <c r="CI39" s="5"/>
      <c r="CJ39" s="5"/>
      <c r="CY39" s="37"/>
      <c r="CZ39" s="37"/>
    </row>
    <row r="40" spans="1:104" ht="15.6">
      <c r="A40" s="13"/>
      <c r="B40" s="2" t="s">
        <v>534</v>
      </c>
      <c r="C40" s="4">
        <f>O21</f>
        <v>0</v>
      </c>
      <c r="D40" s="19"/>
      <c r="E40" s="19"/>
      <c r="F40" s="5">
        <f>$BB$58*C40</f>
        <v>0</v>
      </c>
      <c r="G40" s="5">
        <f>$BB$33*(C40+D40)</f>
        <v>0</v>
      </c>
      <c r="H40" s="37">
        <f t="shared" si="32"/>
        <v>0</v>
      </c>
      <c r="I40" s="37">
        <f t="shared" si="33"/>
        <v>0</v>
      </c>
      <c r="J40" s="37">
        <f t="shared" si="34"/>
        <v>0</v>
      </c>
      <c r="K40" s="19"/>
      <c r="L40" s="19"/>
      <c r="M40" s="37">
        <f t="shared" si="30"/>
        <v>0</v>
      </c>
      <c r="N40" s="37">
        <f t="shared" si="31"/>
        <v>0</v>
      </c>
      <c r="O40" s="37">
        <f t="shared" si="36"/>
        <v>0</v>
      </c>
      <c r="P40" s="37">
        <f t="shared" si="35"/>
        <v>0</v>
      </c>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9"/>
      <c r="AS40" s="19"/>
      <c r="AT40" s="19"/>
      <c r="AU40" s="19"/>
      <c r="BA40" s="37" t="s">
        <v>40</v>
      </c>
      <c r="BB40" s="835">
        <f>2.5%</f>
        <v>2.5000000000000001E-2</v>
      </c>
      <c r="BF40" s="76"/>
      <c r="CI40" s="5"/>
      <c r="CJ40" s="5"/>
      <c r="CY40" s="37"/>
      <c r="CZ40" s="37"/>
    </row>
    <row r="41" spans="1:104" ht="15.6">
      <c r="A41" s="19"/>
      <c r="B41" s="2" t="s">
        <v>535</v>
      </c>
      <c r="C41" s="18">
        <f>P17</f>
        <v>0</v>
      </c>
      <c r="D41" s="19"/>
      <c r="E41" s="19"/>
      <c r="F41" s="19"/>
      <c r="G41" s="19"/>
      <c r="H41" s="37">
        <f t="shared" si="32"/>
        <v>0</v>
      </c>
      <c r="I41" s="37">
        <f t="shared" si="33"/>
        <v>0</v>
      </c>
      <c r="J41" s="37">
        <f t="shared" si="34"/>
        <v>0</v>
      </c>
      <c r="K41" s="19"/>
      <c r="L41" s="19"/>
      <c r="M41" s="37">
        <f t="shared" si="30"/>
        <v>0</v>
      </c>
      <c r="N41" s="19"/>
      <c r="O41" s="37">
        <f t="shared" si="36"/>
        <v>0</v>
      </c>
      <c r="P41" s="37">
        <f>$BB$64*(C41+E41+F41+G41+I41)</f>
        <v>0</v>
      </c>
      <c r="Q41" s="19"/>
      <c r="R41" s="19"/>
      <c r="S41" s="41"/>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9"/>
      <c r="AS41" s="19"/>
      <c r="AT41" s="19"/>
      <c r="AU41" s="19"/>
      <c r="BA41" s="37" t="s">
        <v>42</v>
      </c>
      <c r="BB41" s="835">
        <v>0.05</v>
      </c>
      <c r="BF41" s="76"/>
      <c r="CI41" s="5"/>
      <c r="CJ41" s="5"/>
      <c r="CY41" s="37"/>
      <c r="CZ41" s="37"/>
    </row>
    <row r="42" spans="1:104" ht="15.6">
      <c r="A42" s="2"/>
      <c r="B42" s="2" t="s">
        <v>536</v>
      </c>
      <c r="C42" s="2">
        <f>Q17</f>
        <v>0</v>
      </c>
      <c r="D42" s="3"/>
      <c r="E42" s="3"/>
      <c r="F42" s="3"/>
      <c r="G42" s="3"/>
      <c r="H42" s="37">
        <f t="shared" si="32"/>
        <v>0</v>
      </c>
      <c r="I42" s="37">
        <f t="shared" si="33"/>
        <v>0</v>
      </c>
      <c r="J42" s="37">
        <f t="shared" si="34"/>
        <v>0</v>
      </c>
      <c r="K42" s="3"/>
      <c r="L42" s="3"/>
      <c r="M42" s="37">
        <f t="shared" si="30"/>
        <v>0</v>
      </c>
      <c r="N42" s="3"/>
      <c r="O42" s="37">
        <f t="shared" si="36"/>
        <v>0</v>
      </c>
      <c r="P42" s="37">
        <f>$BB$64*(C42+E42+F42+G42+I42)</f>
        <v>0</v>
      </c>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BB42" s="77"/>
      <c r="CI42" s="5"/>
      <c r="CJ42" s="5"/>
      <c r="CY42" s="37"/>
      <c r="CZ42" s="37"/>
    </row>
    <row r="43" spans="1:104" ht="15.6">
      <c r="A43" s="75"/>
      <c r="B43" s="203" t="s">
        <v>310</v>
      </c>
      <c r="C43" s="81">
        <f>V17</f>
        <v>0</v>
      </c>
      <c r="M43" s="50">
        <f>$BB$69*C43</f>
        <v>0</v>
      </c>
      <c r="O43" s="37">
        <f>$BB$65*(C43+M43)</f>
        <v>0</v>
      </c>
      <c r="P43" s="37">
        <f t="shared" si="35"/>
        <v>0</v>
      </c>
      <c r="Q43" s="37">
        <f>$BB$73*(C43+D43+H43)</f>
        <v>0</v>
      </c>
      <c r="BB43" s="77">
        <f>(BB40+BB41+BB39+BB38)*0+11%</f>
        <v>0.11</v>
      </c>
      <c r="BK43" s="47"/>
      <c r="CI43" s="5"/>
      <c r="CJ43" s="5"/>
      <c r="CY43" s="37"/>
      <c r="CZ43" s="37"/>
    </row>
    <row r="44" spans="1:104">
      <c r="A44" s="75"/>
      <c r="B44" s="7" t="s">
        <v>377</v>
      </c>
      <c r="C44" s="81">
        <f>AM17</f>
        <v>0</v>
      </c>
      <c r="M44" s="50">
        <f>$BB$69*C44</f>
        <v>0</v>
      </c>
      <c r="O44" s="37">
        <f>$BB$65*(C44+M44)</f>
        <v>0</v>
      </c>
      <c r="P44" s="37">
        <f t="shared" si="35"/>
        <v>0</v>
      </c>
      <c r="Q44" s="37">
        <f>$BB$73*(C44+D44+H44)</f>
        <v>0</v>
      </c>
      <c r="BB44" s="77"/>
      <c r="BH44" s="38"/>
      <c r="CI44" s="5"/>
      <c r="CJ44" s="5"/>
      <c r="CY44" s="37"/>
      <c r="CZ44" s="37"/>
    </row>
    <row r="45" spans="1:104">
      <c r="A45" s="82"/>
      <c r="B45" s="578" t="s">
        <v>116</v>
      </c>
      <c r="C45" s="37">
        <f>U17</f>
        <v>0</v>
      </c>
      <c r="H45" s="37">
        <f>$BB$38*(C45+D45+G45)</f>
        <v>0</v>
      </c>
      <c r="I45" s="37">
        <f t="shared" ref="I45" si="37">$BB$41*(C45+D45+G45)</f>
        <v>0</v>
      </c>
      <c r="J45" s="37">
        <f t="shared" ref="J45" si="38">$BB$38*(C45+D45+G45)</f>
        <v>0</v>
      </c>
      <c r="M45" s="50">
        <f>$BB$69*H45</f>
        <v>0</v>
      </c>
      <c r="O45" s="37">
        <f>$BB$65*(H45+M45)</f>
        <v>0</v>
      </c>
      <c r="P45" s="37">
        <f>$BB$64*(C45+E45+F45+G45+I45)</f>
        <v>0</v>
      </c>
      <c r="BA45" s="37" t="s">
        <v>43</v>
      </c>
      <c r="BB45" s="77"/>
      <c r="CI45" s="5"/>
      <c r="CJ45" s="5"/>
      <c r="CY45" s="37"/>
      <c r="CZ45" s="37"/>
    </row>
    <row r="46" spans="1:104">
      <c r="A46" s="82"/>
      <c r="B46" s="578" t="s">
        <v>550</v>
      </c>
      <c r="C46" s="37">
        <f>2*0</f>
        <v>0</v>
      </c>
      <c r="G46" s="580">
        <f>$BB$31*(C46+D46)</f>
        <v>0</v>
      </c>
      <c r="N46" s="37">
        <f>$BB$64*(C46+D46+K46+L46)</f>
        <v>0</v>
      </c>
      <c r="BB46" s="77"/>
      <c r="CI46" s="5"/>
      <c r="CJ46" s="5"/>
      <c r="CY46" s="37"/>
      <c r="CZ46" s="37"/>
    </row>
    <row r="47" spans="1:104">
      <c r="A47" s="75"/>
      <c r="B47" s="7" t="s">
        <v>537</v>
      </c>
      <c r="BA47" s="37" t="s">
        <v>44</v>
      </c>
      <c r="BB47" s="77">
        <v>7.0000000000000007E-2</v>
      </c>
      <c r="CI47" s="5"/>
      <c r="CJ47" s="5"/>
      <c r="CY47" s="37"/>
      <c r="CZ47" s="37"/>
    </row>
    <row r="48" spans="1:104">
      <c r="A48" s="75"/>
      <c r="B48" s="7" t="s">
        <v>546</v>
      </c>
      <c r="C48" s="37">
        <f>AK17</f>
        <v>0</v>
      </c>
      <c r="M48" s="50">
        <f>$BB$69*C48</f>
        <v>0</v>
      </c>
      <c r="O48" s="37">
        <f>$BB$65*(C48+M48)</f>
        <v>0</v>
      </c>
      <c r="P48" s="37">
        <f>$BB$64*(D48+E48+F48+G48+I48)</f>
        <v>0</v>
      </c>
      <c r="Q48" s="37">
        <f>$BB$73*(C48+D48+H48)</f>
        <v>0</v>
      </c>
      <c r="BA48" s="37" t="s">
        <v>45</v>
      </c>
      <c r="BB48" s="77"/>
      <c r="CI48" s="5"/>
      <c r="CJ48" s="5"/>
      <c r="CY48" s="37"/>
      <c r="CZ48" s="37"/>
    </row>
    <row r="49" spans="2:127">
      <c r="B49" s="7" t="s">
        <v>547</v>
      </c>
      <c r="C49" s="37">
        <f>AL17</f>
        <v>0</v>
      </c>
      <c r="P49" s="37">
        <f>$BB$64*(C49+E49+F49+G49+I49)</f>
        <v>0</v>
      </c>
      <c r="BA49" s="4" t="s">
        <v>311</v>
      </c>
      <c r="BB49" s="77"/>
      <c r="CI49" s="5"/>
      <c r="CJ49" s="5"/>
      <c r="CY49" s="37"/>
      <c r="CZ49" s="37"/>
    </row>
    <row r="50" spans="2:127" hidden="1">
      <c r="BA50" s="37" t="s">
        <v>46</v>
      </c>
      <c r="BB50" s="77"/>
      <c r="BH50" s="37" t="s">
        <v>194</v>
      </c>
      <c r="BI50" s="37" t="e">
        <f>+#REF!</f>
        <v>#REF!</v>
      </c>
      <c r="CI50" s="5"/>
      <c r="CJ50" s="5"/>
      <c r="CY50" s="37"/>
      <c r="CZ50" s="37"/>
    </row>
    <row r="51" spans="2:127">
      <c r="B51" s="7" t="s">
        <v>548</v>
      </c>
      <c r="C51" s="37">
        <f>AO17</f>
        <v>0</v>
      </c>
      <c r="M51" s="50">
        <f>$BB$69*C51</f>
        <v>0</v>
      </c>
      <c r="O51" s="37">
        <f>$BB$65*(C51+M51)</f>
        <v>0</v>
      </c>
      <c r="P51" s="37">
        <f>$BB$64*(D51+E51+F51+G51+I51)</f>
        <v>0</v>
      </c>
      <c r="Q51" s="37">
        <f>$BB$73*(C51+D51+H51)</f>
        <v>0</v>
      </c>
      <c r="BA51" s="37" t="s">
        <v>47</v>
      </c>
      <c r="BB51" s="77">
        <v>0.03</v>
      </c>
      <c r="BH51"/>
      <c r="BI51"/>
      <c r="BJ51"/>
      <c r="BK51"/>
      <c r="BL51"/>
      <c r="BM51"/>
      <c r="CI51" s="5"/>
      <c r="CJ51" s="5"/>
      <c r="CY51" s="37"/>
      <c r="CZ51" s="37"/>
    </row>
    <row r="52" spans="2:127">
      <c r="B52" s="7" t="s">
        <v>549</v>
      </c>
      <c r="C52" s="37">
        <f>AP17</f>
        <v>0</v>
      </c>
      <c r="P52" s="37">
        <f>$BB$64*(C52+E52+F52+G52+I52)</f>
        <v>0</v>
      </c>
      <c r="BA52" s="37" t="s">
        <v>48</v>
      </c>
      <c r="BB52" s="77"/>
      <c r="BH52"/>
      <c r="BI52"/>
      <c r="BJ52"/>
      <c r="BK52"/>
      <c r="BL52"/>
      <c r="BM52"/>
      <c r="CI52" s="5"/>
      <c r="CJ52" s="5"/>
      <c r="CY52" s="37"/>
      <c r="CZ52" s="37"/>
    </row>
    <row r="53" spans="2:127">
      <c r="B53" s="5" t="s">
        <v>9</v>
      </c>
      <c r="H53" s="581" t="e">
        <f>SUM(H31:H52)</f>
        <v>#REF!</v>
      </c>
      <c r="I53" s="37" t="e">
        <f>SUM(I31:I52)</f>
        <v>#REF!</v>
      </c>
      <c r="M53" s="581" t="e">
        <f>SUM(M31:M52)</f>
        <v>#REF!</v>
      </c>
      <c r="N53" s="581" t="e">
        <f>SUM(N31:N52)</f>
        <v>#REF!</v>
      </c>
      <c r="O53" s="581" t="e">
        <f>SUM(O31:O52)</f>
        <v>#REF!</v>
      </c>
      <c r="P53" s="581" t="e">
        <f>SUM(P31:P52)</f>
        <v>#REF!</v>
      </c>
      <c r="Q53" s="581">
        <f>SUM(Q31:Q52)</f>
        <v>0</v>
      </c>
      <c r="BA53" s="37" t="s">
        <v>49</v>
      </c>
      <c r="BB53" s="77">
        <v>0.1</v>
      </c>
      <c r="BH53"/>
      <c r="BI53"/>
      <c r="BJ53"/>
      <c r="BK53"/>
      <c r="BL53"/>
      <c r="BM53"/>
      <c r="CI53" s="5"/>
      <c r="CJ53" s="5"/>
      <c r="CK53" s="5"/>
      <c r="CY53" s="37"/>
      <c r="CZ53" s="37"/>
    </row>
    <row r="54" spans="2:127">
      <c r="B54" s="5"/>
      <c r="BB54" s="77"/>
      <c r="BH54"/>
      <c r="BI54"/>
      <c r="BJ54"/>
      <c r="BK54"/>
      <c r="BL54"/>
      <c r="BM54"/>
      <c r="CI54" s="5"/>
      <c r="CJ54" s="5"/>
      <c r="CK54" s="5"/>
      <c r="CY54" s="37"/>
      <c r="CZ54" s="37"/>
    </row>
    <row r="55" spans="2:127">
      <c r="B55" s="7"/>
      <c r="H55" s="37" t="e">
        <f>H53+I53</f>
        <v>#REF!</v>
      </c>
      <c r="BA55" s="37" t="s">
        <v>50</v>
      </c>
      <c r="BB55" s="77"/>
      <c r="BH55"/>
      <c r="BI55"/>
      <c r="BJ55"/>
      <c r="BK55"/>
      <c r="BL55"/>
      <c r="BM55"/>
      <c r="CI55" s="5"/>
      <c r="CJ55" s="5"/>
      <c r="CK55" s="5"/>
      <c r="CY55" s="37"/>
      <c r="CZ55" s="37"/>
    </row>
    <row r="56" spans="2:127">
      <c r="BA56" s="37" t="s">
        <v>51</v>
      </c>
      <c r="BB56" s="77">
        <v>0.02</v>
      </c>
      <c r="BH56"/>
      <c r="BI56"/>
      <c r="BJ56"/>
      <c r="BK56"/>
      <c r="BL56"/>
      <c r="BM56"/>
      <c r="CI56" s="5"/>
      <c r="CJ56" s="5"/>
      <c r="CK56" s="5"/>
      <c r="CY56" s="37"/>
      <c r="CZ56" s="37"/>
    </row>
    <row r="57" spans="2:127">
      <c r="BA57" s="37" t="s">
        <v>52</v>
      </c>
      <c r="BB57" s="77"/>
      <c r="BH57"/>
      <c r="BI57"/>
      <c r="BJ57"/>
      <c r="BK57"/>
      <c r="BL57"/>
      <c r="BM57"/>
      <c r="CI57" s="5"/>
      <c r="CJ57" s="5"/>
      <c r="CK57" s="5"/>
      <c r="CY57" s="37"/>
      <c r="CZ57" s="37"/>
    </row>
    <row r="58" spans="2:127">
      <c r="BA58" s="37" t="s">
        <v>53</v>
      </c>
      <c r="BB58" s="77">
        <v>0.09</v>
      </c>
      <c r="BH58"/>
      <c r="BI58"/>
      <c r="BJ58"/>
      <c r="BK58"/>
      <c r="BL58"/>
      <c r="BM58"/>
      <c r="CI58" s="5"/>
      <c r="CJ58" s="5"/>
      <c r="CK58" s="5"/>
      <c r="CY58" s="37"/>
      <c r="CZ58" s="37"/>
    </row>
    <row r="59" spans="2:127">
      <c r="BB59" s="77"/>
      <c r="BH59"/>
      <c r="BI59"/>
      <c r="BJ59"/>
      <c r="BK59"/>
      <c r="BL59"/>
      <c r="BM59"/>
      <c r="CI59" s="5"/>
      <c r="CJ59" s="5"/>
      <c r="CK59" s="5"/>
      <c r="CY59" s="37"/>
      <c r="CZ59" s="37"/>
    </row>
    <row r="60" spans="2:127">
      <c r="BB60" s="77"/>
      <c r="BH60"/>
      <c r="BI60"/>
      <c r="BJ60"/>
      <c r="BK60"/>
      <c r="BL60"/>
      <c r="BM60"/>
      <c r="CI60" s="5"/>
      <c r="CJ60" s="5"/>
      <c r="CK60" s="5"/>
      <c r="CY60" s="37"/>
      <c r="CZ60" s="37"/>
    </row>
    <row r="61" spans="2:127">
      <c r="B61" s="7"/>
      <c r="BA61" s="37" t="s">
        <v>54</v>
      </c>
      <c r="BB61" s="77"/>
      <c r="BH61"/>
      <c r="BI61"/>
      <c r="BJ61"/>
      <c r="BK61"/>
      <c r="BL61"/>
      <c r="BM61"/>
      <c r="CI61" s="5"/>
      <c r="CJ61" s="5"/>
      <c r="CK61" s="5"/>
      <c r="CY61" s="37"/>
      <c r="CZ61" s="37"/>
    </row>
    <row r="62" spans="2:127">
      <c r="B62" s="5"/>
      <c r="BA62" s="37" t="s">
        <v>56</v>
      </c>
      <c r="BB62" s="77"/>
      <c r="BH62"/>
      <c r="BI62"/>
      <c r="BJ62"/>
      <c r="BK62"/>
      <c r="BL62"/>
      <c r="BM62"/>
      <c r="CI62" s="5"/>
      <c r="CJ62" s="5"/>
      <c r="CK62" s="5"/>
      <c r="CY62" s="37"/>
      <c r="CZ62" s="37"/>
    </row>
    <row r="63" spans="2:127">
      <c r="B63" s="5"/>
      <c r="BA63" s="37" t="s">
        <v>210</v>
      </c>
      <c r="BB63" s="118">
        <v>7.4999999999999997E-2</v>
      </c>
      <c r="BH63"/>
      <c r="BI63"/>
      <c r="BJ63"/>
      <c r="BK63"/>
      <c r="BL63"/>
      <c r="BM63"/>
      <c r="CK63" s="5"/>
      <c r="CY63" s="37"/>
      <c r="CZ63" s="37"/>
      <c r="DB63" s="5"/>
      <c r="DG63" s="5"/>
      <c r="DI63" s="83">
        <v>5</v>
      </c>
      <c r="DJ63" s="37" t="s">
        <v>189</v>
      </c>
      <c r="DK63" s="83">
        <v>14</v>
      </c>
      <c r="DM63" s="37">
        <v>13</v>
      </c>
      <c r="DO63" s="84">
        <v>10</v>
      </c>
      <c r="DP63" s="85"/>
      <c r="DQ63" s="85"/>
      <c r="DR63" s="85" t="e">
        <f t="shared" ref="DR63:DR73" si="39">$DM$77</f>
        <v>#REF!</v>
      </c>
      <c r="DS63" s="85" t="e">
        <f>DR63+DQ63-DP63</f>
        <v>#REF!</v>
      </c>
      <c r="DT63" s="85"/>
      <c r="DU63" s="24"/>
      <c r="DV63" s="86"/>
      <c r="DW63" s="24"/>
    </row>
    <row r="64" spans="2:127" ht="15.9" customHeight="1">
      <c r="B64" s="5"/>
      <c r="BA64" s="4" t="s">
        <v>427</v>
      </c>
      <c r="BB64" s="836">
        <v>0.18</v>
      </c>
      <c r="BH64"/>
      <c r="BI64"/>
      <c r="BJ64"/>
      <c r="BK64"/>
      <c r="BL64"/>
      <c r="BM64"/>
      <c r="CY64" s="37"/>
      <c r="CZ64" s="37"/>
      <c r="DB64" s="5"/>
      <c r="DG64" s="5"/>
      <c r="DI64" s="83">
        <v>6</v>
      </c>
      <c r="DJ64" s="37" t="s">
        <v>190</v>
      </c>
      <c r="DM64" s="37">
        <v>14</v>
      </c>
      <c r="DO64" s="84">
        <v>11</v>
      </c>
      <c r="DP64" s="85"/>
      <c r="DQ64" s="85"/>
      <c r="DR64" s="85" t="e">
        <f t="shared" si="39"/>
        <v>#REF!</v>
      </c>
      <c r="DS64" s="85" t="e">
        <f>DR64+DQ64-DP64</f>
        <v>#REF!</v>
      </c>
      <c r="DU64" s="87" t="s">
        <v>178</v>
      </c>
      <c r="DV64" s="88" t="s">
        <v>163</v>
      </c>
      <c r="DW64" s="89" t="e">
        <f>DS76</f>
        <v>#VALUE!</v>
      </c>
    </row>
    <row r="65" spans="2:127" ht="17.100000000000001" customHeight="1">
      <c r="B65" s="5"/>
      <c r="BA65" s="4" t="s">
        <v>428</v>
      </c>
      <c r="BB65" s="836">
        <v>0.18</v>
      </c>
      <c r="BH65"/>
      <c r="BI65"/>
      <c r="BJ65"/>
      <c r="BK65"/>
      <c r="BL65"/>
      <c r="BM65"/>
      <c r="CY65" s="37"/>
      <c r="CZ65" s="37"/>
      <c r="DB65" s="5"/>
      <c r="DG65" s="5"/>
      <c r="DI65" s="75" t="s">
        <v>94</v>
      </c>
      <c r="DJ65" s="37" t="s">
        <v>170</v>
      </c>
      <c r="DL65" s="37" t="s">
        <v>172</v>
      </c>
      <c r="DO65" s="84">
        <v>12</v>
      </c>
      <c r="DP65" s="85"/>
      <c r="DQ65" s="85"/>
      <c r="DR65" s="85" t="e">
        <f t="shared" si="39"/>
        <v>#REF!</v>
      </c>
      <c r="DS65" s="85" t="e">
        <f>DR65+DQ65-DP65</f>
        <v>#REF!</v>
      </c>
      <c r="DU65" s="24"/>
      <c r="DV65" s="86"/>
      <c r="DW65" s="24"/>
    </row>
    <row r="66" spans="2:127">
      <c r="B66" s="5"/>
      <c r="BA66" s="4" t="s">
        <v>430</v>
      </c>
      <c r="BB66" s="837">
        <v>0.18</v>
      </c>
      <c r="BH66"/>
      <c r="BI66"/>
      <c r="BJ66"/>
      <c r="BK66"/>
      <c r="BL66"/>
      <c r="BM66"/>
      <c r="CY66" s="37"/>
      <c r="CZ66" s="37"/>
      <c r="DB66" s="5"/>
      <c r="DC66" s="5"/>
      <c r="DD66" s="5"/>
      <c r="DE66" s="5"/>
      <c r="DF66" s="5"/>
      <c r="DG66" s="5"/>
      <c r="DI66" s="83">
        <v>1</v>
      </c>
      <c r="DJ66" s="37" t="s">
        <v>174</v>
      </c>
      <c r="DL66" s="37" t="s">
        <v>173</v>
      </c>
      <c r="DM66" s="83">
        <f>30*0.7*6*0.7*3*365</f>
        <v>96578.999999999985</v>
      </c>
      <c r="DO66" s="84">
        <v>13</v>
      </c>
      <c r="DP66" s="85"/>
      <c r="DQ66" s="85"/>
      <c r="DR66" s="85" t="e">
        <f t="shared" si="39"/>
        <v>#REF!</v>
      </c>
      <c r="DS66" s="85" t="e">
        <f>DR66+DQ66-DP66</f>
        <v>#REF!</v>
      </c>
      <c r="DU66" s="90" t="s">
        <v>179</v>
      </c>
      <c r="DV66" s="91" t="s">
        <v>180</v>
      </c>
      <c r="DW66" s="92" t="e">
        <f>DS77</f>
        <v>#REF!</v>
      </c>
    </row>
    <row r="67" spans="2:127">
      <c r="BA67" s="4" t="s">
        <v>432</v>
      </c>
      <c r="BB67" s="837">
        <v>0.18</v>
      </c>
      <c r="BH67"/>
      <c r="BI67"/>
      <c r="BJ67"/>
      <c r="BK67"/>
      <c r="BL67"/>
      <c r="BM67"/>
      <c r="CY67" s="37"/>
      <c r="CZ67" s="37"/>
      <c r="DB67" s="5"/>
      <c r="DC67" s="5"/>
      <c r="DD67" s="5"/>
      <c r="DE67" s="5"/>
      <c r="DF67" s="5"/>
      <c r="DG67" s="5"/>
      <c r="DI67" s="83">
        <v>2</v>
      </c>
      <c r="DJ67" s="37" t="s">
        <v>175</v>
      </c>
      <c r="DL67" s="37" t="s">
        <v>176</v>
      </c>
      <c r="DM67" s="37">
        <f>DM66*3.17/10^5</f>
        <v>3.0615542999999992</v>
      </c>
      <c r="DO67" s="84">
        <v>14</v>
      </c>
      <c r="DP67" s="85"/>
      <c r="DQ67" s="85"/>
      <c r="DR67" s="85" t="e">
        <f t="shared" si="39"/>
        <v>#REF!</v>
      </c>
      <c r="DS67" s="85" t="e">
        <f t="shared" ref="DS67:DS74" si="40">DR67+DQ67-DP67</f>
        <v>#REF!</v>
      </c>
      <c r="DU67" s="4"/>
      <c r="DV67" s="6"/>
      <c r="DW67" s="5"/>
    </row>
    <row r="68" spans="2:127">
      <c r="BA68" s="4" t="s">
        <v>433</v>
      </c>
      <c r="BB68" s="834">
        <v>0.18</v>
      </c>
      <c r="BH68"/>
      <c r="BI68"/>
      <c r="BJ68"/>
      <c r="BK68"/>
      <c r="BL68"/>
      <c r="BM68"/>
      <c r="CY68" s="37"/>
      <c r="CZ68" s="37"/>
      <c r="DB68" s="5"/>
      <c r="DC68" s="5"/>
      <c r="DD68" s="5"/>
      <c r="DE68" s="5"/>
      <c r="DF68" s="5"/>
      <c r="DG68" s="5"/>
      <c r="DI68" s="83">
        <v>3</v>
      </c>
      <c r="DJ68" s="37" t="s">
        <v>161</v>
      </c>
      <c r="DL68" s="37" t="s">
        <v>176</v>
      </c>
      <c r="DM68" s="37" t="e">
        <f>0.02*#REF!</f>
        <v>#REF!</v>
      </c>
      <c r="DO68" s="84">
        <v>15</v>
      </c>
      <c r="DP68" s="85"/>
      <c r="DQ68" s="85"/>
      <c r="DR68" s="85" t="e">
        <f t="shared" si="39"/>
        <v>#REF!</v>
      </c>
      <c r="DS68" s="85" t="e">
        <f t="shared" si="40"/>
        <v>#REF!</v>
      </c>
      <c r="DU68" s="7"/>
      <c r="DV68" s="6"/>
      <c r="DW68" s="5"/>
    </row>
    <row r="69" spans="2:127">
      <c r="BA69" s="37" t="s">
        <v>57</v>
      </c>
      <c r="BB69" s="929">
        <f>(0.1/(1-0.1))</f>
        <v>0.11111111111111112</v>
      </c>
      <c r="BC69" s="4"/>
      <c r="BH69"/>
      <c r="BI69"/>
      <c r="BJ69"/>
      <c r="BK69"/>
      <c r="BL69"/>
      <c r="BM69"/>
      <c r="CY69" s="37"/>
      <c r="CZ69" s="37"/>
      <c r="DB69" s="5"/>
      <c r="DC69" s="5"/>
      <c r="DD69" s="5"/>
      <c r="DE69" s="5"/>
      <c r="DF69" s="5"/>
      <c r="DG69" s="5"/>
      <c r="DI69" s="83"/>
      <c r="DJ69" s="37" t="s">
        <v>171</v>
      </c>
      <c r="DL69" s="37" t="s">
        <v>176</v>
      </c>
      <c r="DM69" s="37" t="e">
        <f>SUM(DM67:DM68)</f>
        <v>#REF!</v>
      </c>
      <c r="DO69" s="84">
        <v>16</v>
      </c>
      <c r="DP69" s="85"/>
      <c r="DQ69" s="85"/>
      <c r="DR69" s="85" t="e">
        <f t="shared" si="39"/>
        <v>#REF!</v>
      </c>
      <c r="DS69" s="85" t="e">
        <f t="shared" si="40"/>
        <v>#REF!</v>
      </c>
      <c r="DU69" s="4"/>
      <c r="DV69" s="6"/>
      <c r="DW69" s="5"/>
    </row>
    <row r="70" spans="2:127">
      <c r="BB70" s="77"/>
      <c r="BC70" s="117"/>
      <c r="BH70"/>
      <c r="BI70"/>
      <c r="BJ70"/>
      <c r="BK70"/>
      <c r="BL70"/>
      <c r="BM70"/>
      <c r="CY70" s="37"/>
      <c r="CZ70" s="37"/>
      <c r="DB70" s="36"/>
      <c r="DC70" s="36"/>
      <c r="DD70" s="36"/>
      <c r="DE70" s="36"/>
      <c r="DF70" s="36"/>
      <c r="DG70" s="36"/>
      <c r="DO70" s="84">
        <v>17</v>
      </c>
      <c r="DP70" s="85"/>
      <c r="DQ70" s="85"/>
      <c r="DR70" s="85" t="e">
        <f t="shared" si="39"/>
        <v>#REF!</v>
      </c>
      <c r="DS70" s="85" t="e">
        <f t="shared" si="40"/>
        <v>#REF!</v>
      </c>
    </row>
    <row r="71" spans="2:127">
      <c r="BA71" s="4" t="s">
        <v>458</v>
      </c>
      <c r="BB71" s="77">
        <v>0.1</v>
      </c>
      <c r="BH71"/>
      <c r="BI71"/>
      <c r="BJ71"/>
      <c r="BK71"/>
      <c r="BL71"/>
      <c r="BM71"/>
      <c r="CY71" s="37"/>
      <c r="CZ71" s="37"/>
      <c r="DB71" s="36"/>
      <c r="DC71" s="36"/>
      <c r="DD71" s="36"/>
      <c r="DE71" s="36"/>
      <c r="DF71" s="36"/>
      <c r="DG71" s="36"/>
      <c r="DI71" s="40" t="s">
        <v>95</v>
      </c>
      <c r="DJ71" s="37" t="s">
        <v>182</v>
      </c>
      <c r="DO71" s="84">
        <v>18</v>
      </c>
      <c r="DP71" s="85"/>
      <c r="DQ71" s="85"/>
      <c r="DR71" s="85" t="e">
        <f t="shared" si="39"/>
        <v>#REF!</v>
      </c>
      <c r="DS71" s="85" t="e">
        <f t="shared" si="40"/>
        <v>#REF!</v>
      </c>
    </row>
    <row r="72" spans="2:127">
      <c r="BA72" s="244" t="s">
        <v>455</v>
      </c>
      <c r="BB72" s="347">
        <v>0.04</v>
      </c>
      <c r="BH72"/>
      <c r="BI72"/>
      <c r="BJ72"/>
      <c r="BK72"/>
      <c r="BL72"/>
      <c r="BM72"/>
      <c r="CW72" s="36"/>
      <c r="CX72" s="93"/>
      <c r="DA72" s="36"/>
      <c r="DB72" s="36"/>
      <c r="DC72" s="36"/>
      <c r="DD72" s="36"/>
      <c r="DE72" s="36"/>
      <c r="DF72" s="36"/>
      <c r="DG72" s="36"/>
      <c r="DI72" s="83">
        <v>1</v>
      </c>
      <c r="DJ72" s="37" t="s">
        <v>191</v>
      </c>
      <c r="DL72" s="37" t="s">
        <v>176</v>
      </c>
      <c r="DM72" s="37" t="e">
        <f>CU59-DM69</f>
        <v>#REF!</v>
      </c>
      <c r="DO72" s="84">
        <v>19</v>
      </c>
      <c r="DP72" s="85"/>
      <c r="DQ72" s="85"/>
      <c r="DR72" s="85" t="e">
        <f t="shared" si="39"/>
        <v>#REF!</v>
      </c>
      <c r="DS72" s="85" t="e">
        <f t="shared" si="40"/>
        <v>#REF!</v>
      </c>
    </row>
    <row r="73" spans="2:127">
      <c r="BA73" s="37" t="s">
        <v>58</v>
      </c>
      <c r="BB73" s="273">
        <v>0.05</v>
      </c>
      <c r="BH73"/>
      <c r="BI73"/>
      <c r="BJ73"/>
      <c r="BK73"/>
      <c r="BL73"/>
      <c r="BM73"/>
      <c r="CW73" s="36"/>
      <c r="CX73" s="93"/>
      <c r="DA73" s="36"/>
      <c r="DB73" s="36"/>
      <c r="DC73" s="36"/>
      <c r="DD73" s="36"/>
      <c r="DE73" s="36"/>
      <c r="DF73" s="36"/>
      <c r="DG73" s="36"/>
      <c r="DI73" s="83">
        <v>2</v>
      </c>
      <c r="DJ73" s="37" t="s">
        <v>183</v>
      </c>
      <c r="DL73" s="37" t="s">
        <v>176</v>
      </c>
      <c r="DM73" s="37" t="e">
        <f>CU60-DM69</f>
        <v>#REF!</v>
      </c>
      <c r="DO73" s="84">
        <v>20</v>
      </c>
      <c r="DP73" s="85"/>
      <c r="DQ73" s="85"/>
      <c r="DR73" s="85" t="e">
        <f t="shared" si="39"/>
        <v>#REF!</v>
      </c>
      <c r="DS73" s="85" t="e">
        <f t="shared" si="40"/>
        <v>#REF!</v>
      </c>
    </row>
    <row r="74" spans="2:127">
      <c r="BB74" s="77"/>
      <c r="CS74" s="40"/>
      <c r="CW74" s="36"/>
      <c r="CX74" s="93"/>
      <c r="DA74" s="36"/>
      <c r="DB74" s="36"/>
      <c r="DC74" s="36"/>
      <c r="DD74" s="36"/>
      <c r="DE74" s="36"/>
      <c r="DF74" s="36"/>
      <c r="DG74" s="36"/>
      <c r="DI74" s="83">
        <v>3</v>
      </c>
      <c r="DJ74" s="37" t="s">
        <v>184</v>
      </c>
      <c r="DL74" s="37" t="s">
        <v>176</v>
      </c>
      <c r="DM74" s="37" t="e">
        <f>CU61-DM69</f>
        <v>#REF!</v>
      </c>
      <c r="DO74" s="84">
        <v>21</v>
      </c>
      <c r="DP74" s="85">
        <f>-CX54*0.05</f>
        <v>0</v>
      </c>
      <c r="DQ74" s="85"/>
      <c r="DR74" s="85" t="e">
        <f>$DM$77*9/12</f>
        <v>#REF!</v>
      </c>
      <c r="DS74" s="85" t="e">
        <f t="shared" si="40"/>
        <v>#REF!</v>
      </c>
    </row>
    <row r="75" spans="2:127">
      <c r="BB75" s="77"/>
      <c r="CW75" s="36"/>
      <c r="CX75" s="93"/>
      <c r="DA75" s="36"/>
      <c r="DB75" s="36"/>
      <c r="DC75" s="36"/>
      <c r="DD75" s="36"/>
      <c r="DE75" s="36"/>
      <c r="DF75" s="36"/>
      <c r="DG75" s="36"/>
      <c r="DI75" s="94">
        <v>4</v>
      </c>
      <c r="DJ75" s="95" t="s">
        <v>185</v>
      </c>
      <c r="DL75" s="95" t="s">
        <v>176</v>
      </c>
      <c r="DM75" s="95" t="e">
        <f>CU62-DM69</f>
        <v>#REF!</v>
      </c>
      <c r="DO75" s="96" t="s">
        <v>177</v>
      </c>
      <c r="DP75" s="97">
        <f>NPV(0.14,DP54:DP74)</f>
        <v>0</v>
      </c>
      <c r="DQ75" s="97">
        <f>NPV(0.14,DQ54:DQ74)</f>
        <v>0</v>
      </c>
      <c r="DR75" s="97" t="e">
        <f>NPV(0.14,DR54:DR74)</f>
        <v>#REF!</v>
      </c>
      <c r="DS75" s="97" t="e">
        <f>NPV(0.14,DS54:DS74)</f>
        <v>#REF!</v>
      </c>
    </row>
    <row r="76" spans="2:127">
      <c r="BB76" s="77"/>
      <c r="CW76" s="36"/>
      <c r="CX76" s="93"/>
      <c r="DA76" s="36"/>
      <c r="DB76" s="36"/>
      <c r="DC76" s="36"/>
      <c r="DD76" s="36"/>
      <c r="DE76" s="36"/>
      <c r="DF76" s="36"/>
      <c r="DG76" s="36"/>
      <c r="DI76" s="83">
        <v>5</v>
      </c>
      <c r="DJ76" s="37" t="s">
        <v>188</v>
      </c>
      <c r="DL76" s="37" t="s">
        <v>176</v>
      </c>
      <c r="DM76" s="37" t="e">
        <f>DM63-DM69</f>
        <v>#REF!</v>
      </c>
      <c r="DO76" s="96" t="s">
        <v>160</v>
      </c>
      <c r="DP76" s="97"/>
      <c r="DQ76" s="97"/>
      <c r="DR76" s="97"/>
      <c r="DS76" s="98" t="e">
        <f>IRR(DS54:DS74)</f>
        <v>#VALUE!</v>
      </c>
    </row>
    <row r="77" spans="2:127">
      <c r="BE77"/>
      <c r="CW77" s="36"/>
      <c r="CX77" s="93"/>
      <c r="DA77" s="36"/>
      <c r="DB77" s="36"/>
      <c r="DC77" s="36"/>
      <c r="DD77" s="36"/>
      <c r="DE77" s="36"/>
      <c r="DF77" s="36"/>
      <c r="DG77" s="36"/>
      <c r="DI77" s="94">
        <v>6</v>
      </c>
      <c r="DJ77" s="99" t="s">
        <v>192</v>
      </c>
      <c r="DL77" s="95" t="s">
        <v>176</v>
      </c>
      <c r="DM77" s="95" t="e">
        <f>DM64-DM69</f>
        <v>#REF!</v>
      </c>
      <c r="DO77" s="96" t="s">
        <v>159</v>
      </c>
      <c r="DP77" s="97"/>
      <c r="DQ77" s="97"/>
      <c r="DR77" s="97"/>
      <c r="DS77" s="97" t="e">
        <f>(DR75+DQ75)/DP75</f>
        <v>#REF!</v>
      </c>
    </row>
    <row r="78" spans="2:127">
      <c r="CW78" s="36"/>
      <c r="CX78" s="93"/>
      <c r="DA78" s="36"/>
      <c r="DB78" s="36"/>
      <c r="DC78" s="36"/>
      <c r="DD78" s="36"/>
      <c r="DE78" s="36"/>
      <c r="DF78" s="36"/>
      <c r="DG78" s="36"/>
      <c r="DJ78" s="37" t="s">
        <v>193</v>
      </c>
    </row>
    <row r="79" spans="2:127">
      <c r="CW79" s="36"/>
      <c r="CX79" s="93"/>
      <c r="DA79" s="36"/>
      <c r="DB79" s="36"/>
      <c r="DC79" s="36"/>
      <c r="DD79" s="36"/>
      <c r="DE79" s="36"/>
      <c r="DF79" s="36"/>
      <c r="DG79" s="36"/>
      <c r="DU79" s="4"/>
      <c r="DV79" s="6"/>
      <c r="DW79" s="5"/>
    </row>
    <row r="80" spans="2:127" ht="15" customHeight="1">
      <c r="CW80" s="36"/>
      <c r="CX80" s="93"/>
      <c r="DA80" s="36"/>
      <c r="DB80" s="36"/>
      <c r="DC80" s="36"/>
      <c r="DD80" s="36"/>
      <c r="DE80" s="36"/>
      <c r="DF80" s="36"/>
      <c r="DG80" s="36"/>
    </row>
    <row r="81" spans="54:127">
      <c r="CW81" s="36"/>
      <c r="CX81" s="93"/>
      <c r="DA81" s="36"/>
      <c r="DB81" s="36"/>
      <c r="DC81" s="36"/>
      <c r="DD81" s="36"/>
      <c r="DE81" s="36"/>
      <c r="DF81" s="36"/>
      <c r="DG81" s="36"/>
      <c r="DU81" s="4"/>
      <c r="DV81" s="4"/>
      <c r="DW81" s="5"/>
    </row>
    <row r="82" spans="54:127">
      <c r="BB82" s="77"/>
      <c r="CW82" s="36"/>
      <c r="CX82" s="93"/>
      <c r="DA82" s="36"/>
      <c r="DB82" s="36"/>
      <c r="DC82" s="36"/>
      <c r="DD82" s="36"/>
      <c r="DE82" s="36"/>
      <c r="DF82" s="36"/>
      <c r="DG82" s="36"/>
    </row>
    <row r="83" spans="54:127" ht="15.6">
      <c r="BB83" s="77"/>
      <c r="CW83" s="36"/>
      <c r="CX83" s="93"/>
      <c r="DA83" s="36"/>
      <c r="DB83" s="36"/>
      <c r="DC83" s="36"/>
      <c r="DD83" s="36"/>
      <c r="DE83" s="36"/>
      <c r="DF83" s="36"/>
      <c r="DG83" s="36"/>
      <c r="DI83" s="13" t="s">
        <v>165</v>
      </c>
    </row>
    <row r="84" spans="54:127">
      <c r="BB84" s="77"/>
      <c r="CW84" s="36"/>
      <c r="CX84" s="93"/>
    </row>
    <row r="85" spans="54:127">
      <c r="BB85" s="77"/>
      <c r="CW85" s="36"/>
      <c r="CX85" s="93"/>
    </row>
    <row r="86" spans="54:127">
      <c r="BB86" s="77"/>
      <c r="CW86" s="36"/>
      <c r="CX86" s="93"/>
    </row>
    <row r="87" spans="54:127">
      <c r="BB87" s="77"/>
      <c r="CW87" s="36"/>
      <c r="CX87" s="93"/>
    </row>
    <row r="88" spans="54:127">
      <c r="BB88" s="77"/>
      <c r="CW88" s="36"/>
      <c r="CX88" s="93"/>
      <c r="DI88" s="37" t="s">
        <v>167</v>
      </c>
      <c r="DJ88" s="37" t="s">
        <v>168</v>
      </c>
      <c r="DK88" s="37" t="s">
        <v>172</v>
      </c>
      <c r="DL88" s="37" t="s">
        <v>169</v>
      </c>
    </row>
    <row r="89" spans="54:127">
      <c r="BB89" s="77"/>
      <c r="CW89" s="36"/>
      <c r="CX89" s="93"/>
      <c r="DI89" s="37" t="s">
        <v>93</v>
      </c>
      <c r="DJ89" s="37" t="s">
        <v>166</v>
      </c>
    </row>
    <row r="90" spans="54:127">
      <c r="BB90" s="77"/>
      <c r="CW90" s="36"/>
      <c r="CX90" s="93"/>
    </row>
    <row r="91" spans="54:127">
      <c r="BB91" s="77"/>
      <c r="CW91" s="36"/>
      <c r="CX91" s="93"/>
      <c r="DI91" s="37">
        <v>1</v>
      </c>
      <c r="DJ91" s="37" t="s">
        <v>186</v>
      </c>
      <c r="DK91" s="37" t="s">
        <v>176</v>
      </c>
      <c r="DL91" s="37">
        <f>14*1</f>
        <v>14</v>
      </c>
    </row>
    <row r="92" spans="54:127">
      <c r="BB92" s="77"/>
      <c r="CW92" s="36"/>
      <c r="CX92" s="93"/>
      <c r="DJ92" s="37" t="s">
        <v>181</v>
      </c>
    </row>
    <row r="93" spans="54:127">
      <c r="BB93" s="77"/>
      <c r="CW93" s="36"/>
      <c r="CX93" s="93"/>
      <c r="DI93" s="37" t="s">
        <v>94</v>
      </c>
      <c r="DJ93" s="37" t="s">
        <v>170</v>
      </c>
    </row>
    <row r="94" spans="54:127">
      <c r="BB94" s="77"/>
      <c r="CW94" s="36"/>
      <c r="CX94" s="93"/>
      <c r="DI94" s="83">
        <v>1</v>
      </c>
      <c r="DJ94" s="37" t="s">
        <v>174</v>
      </c>
      <c r="DK94" s="37" t="s">
        <v>173</v>
      </c>
      <c r="DL94" s="83">
        <f>30*6*0.7*3*365</f>
        <v>137969.99999999997</v>
      </c>
    </row>
    <row r="95" spans="54:127">
      <c r="BB95" s="77"/>
      <c r="CW95" s="36"/>
      <c r="CX95" s="93"/>
      <c r="DI95" s="83">
        <v>2</v>
      </c>
      <c r="DJ95" s="37" t="s">
        <v>175</v>
      </c>
      <c r="DK95" s="37" t="s">
        <v>176</v>
      </c>
      <c r="DL95" s="37">
        <f>DL94*3.17/10^5</f>
        <v>4.3736489999999995</v>
      </c>
    </row>
    <row r="96" spans="54:127">
      <c r="BB96" s="77"/>
      <c r="CW96" s="36"/>
      <c r="CX96" s="93"/>
      <c r="DI96" s="83">
        <v>3</v>
      </c>
      <c r="DJ96" s="37" t="s">
        <v>161</v>
      </c>
      <c r="DK96" s="37" t="s">
        <v>176</v>
      </c>
      <c r="DL96" s="37" t="e">
        <f>0.02*#REF!</f>
        <v>#REF!</v>
      </c>
    </row>
    <row r="97" spans="1:116">
      <c r="BB97" s="77"/>
      <c r="CW97" s="36"/>
      <c r="CX97" s="93"/>
      <c r="DI97" s="83"/>
      <c r="DJ97" s="37" t="s">
        <v>171</v>
      </c>
      <c r="DK97" s="37" t="s">
        <v>176</v>
      </c>
      <c r="DL97" s="37" t="e">
        <f>SUM(DL95:DL96)</f>
        <v>#REF!</v>
      </c>
    </row>
    <row r="98" spans="1:116">
      <c r="BB98" s="77"/>
      <c r="CW98" s="36"/>
      <c r="CX98" s="93"/>
    </row>
    <row r="99" spans="1:116">
      <c r="BB99" s="77"/>
      <c r="CW99" s="36"/>
      <c r="CX99" s="93"/>
      <c r="DI99" s="37" t="s">
        <v>95</v>
      </c>
      <c r="DJ99" s="37" t="s">
        <v>187</v>
      </c>
      <c r="DK99" s="37" t="s">
        <v>176</v>
      </c>
      <c r="DL99" s="37" t="e">
        <f>DL91-DL97</f>
        <v>#REF!</v>
      </c>
    </row>
    <row r="100" spans="1:116">
      <c r="BB100" s="77"/>
      <c r="CW100" s="36"/>
      <c r="CX100" s="93"/>
    </row>
    <row r="101" spans="1:116">
      <c r="BB101" s="77"/>
      <c r="CW101" s="36"/>
      <c r="CX101" s="93"/>
    </row>
    <row r="102" spans="1:116" ht="15.6">
      <c r="V102" s="203" t="s">
        <v>314</v>
      </c>
      <c r="W102" s="7"/>
      <c r="BB102" s="77"/>
      <c r="CW102" s="36"/>
      <c r="CX102" s="93"/>
    </row>
    <row r="103" spans="1:116" ht="17.399999999999999">
      <c r="A103" s="21"/>
      <c r="B103" s="21"/>
      <c r="C103" s="21"/>
      <c r="D103" s="21"/>
      <c r="E103" s="21"/>
      <c r="J103" s="21"/>
      <c r="K103" s="2352" t="s">
        <v>1</v>
      </c>
      <c r="L103" s="2352"/>
      <c r="M103" s="2352"/>
      <c r="N103" s="2352"/>
      <c r="O103" s="2352"/>
      <c r="P103" s="2352"/>
      <c r="Q103" s="2352"/>
      <c r="R103" s="2352"/>
      <c r="S103" s="21"/>
      <c r="T103" s="21"/>
      <c r="U103" s="21"/>
      <c r="V103" s="17" t="str">
        <f>$O$3</f>
        <v>Base date: 3rd Qtr 2022</v>
      </c>
      <c r="W103" s="4"/>
      <c r="X103" s="21"/>
      <c r="BB103" s="77"/>
      <c r="CW103" s="36"/>
      <c r="CX103" s="93"/>
    </row>
    <row r="104" spans="1:116" ht="17.399999999999999">
      <c r="A104" s="21"/>
      <c r="B104" s="21"/>
      <c r="C104" s="21"/>
      <c r="D104" s="21"/>
      <c r="E104" s="21"/>
      <c r="G104" s="21"/>
      <c r="I104" s="21"/>
      <c r="K104" s="2352" t="str">
        <f>E2</f>
        <v>BHILAI STEEL PLANT</v>
      </c>
      <c r="L104" s="2352"/>
      <c r="M104" s="2352"/>
      <c r="N104" s="2352"/>
      <c r="O104" s="2352"/>
      <c r="P104" s="2352"/>
      <c r="Q104" s="2352"/>
      <c r="R104" s="2352"/>
      <c r="S104" s="21"/>
      <c r="T104" s="21"/>
      <c r="U104" s="21"/>
      <c r="V104" s="17" t="str">
        <f>$O$5</f>
        <v>Figures in Rs. Crore</v>
      </c>
      <c r="W104" s="4"/>
      <c r="X104" s="21"/>
      <c r="BB104" s="77"/>
      <c r="CW104" s="36"/>
      <c r="CX104" s="93"/>
    </row>
    <row r="105" spans="1:116" ht="17.399999999999999">
      <c r="A105" s="21"/>
      <c r="B105" s="21"/>
      <c r="C105" s="21"/>
      <c r="D105" s="21"/>
      <c r="I105" s="21"/>
      <c r="J105" s="2348" t="str">
        <f>$C$3</f>
        <v>Extension of mixer bay and replacement of 02 nos mixer cranes 125+30t, span 28 m in SMS-2</v>
      </c>
      <c r="K105" s="2348"/>
      <c r="L105" s="2348"/>
      <c r="M105" s="2348"/>
      <c r="N105" s="2348"/>
      <c r="O105" s="2348"/>
      <c r="P105" s="2348"/>
      <c r="Q105" s="2348"/>
      <c r="R105" s="2348"/>
      <c r="S105" s="2348"/>
      <c r="T105" s="21"/>
      <c r="U105" s="21"/>
      <c r="V105" s="21"/>
      <c r="W105" s="21"/>
      <c r="X105" s="21"/>
      <c r="BB105" s="77"/>
      <c r="CW105" s="36"/>
      <c r="CX105" s="93"/>
    </row>
    <row r="106" spans="1:116">
      <c r="F106" s="37" t="s">
        <v>0</v>
      </c>
      <c r="BB106" s="77"/>
      <c r="CW106" s="36"/>
      <c r="CX106" s="93"/>
    </row>
    <row r="107" spans="1:116" ht="15.6">
      <c r="K107" s="2336" t="s">
        <v>204</v>
      </c>
      <c r="L107" s="2336"/>
      <c r="M107" s="2336"/>
      <c r="N107" s="2336"/>
      <c r="O107" s="2336"/>
      <c r="P107" s="2336"/>
      <c r="Q107" s="2336"/>
      <c r="R107" s="2336"/>
      <c r="BB107" s="77"/>
      <c r="CW107" s="36"/>
      <c r="CX107" s="93"/>
    </row>
    <row r="108" spans="1:116">
      <c r="C108" s="36"/>
      <c r="W108" s="37" t="s">
        <v>0</v>
      </c>
      <c r="CW108" s="36"/>
      <c r="CX108" s="93"/>
    </row>
    <row r="109" spans="1:116" s="897" customFormat="1" ht="15.6">
      <c r="B109" s="898" t="str">
        <f>B9</f>
        <v>1USD=(with forward premium rate)</v>
      </c>
      <c r="C109" s="899">
        <f>BB17</f>
        <v>0</v>
      </c>
      <c r="D109" s="900"/>
      <c r="L109" s="819" t="s">
        <v>210</v>
      </c>
      <c r="M109" s="819" t="str">
        <f>F7</f>
        <v>GST (Supply)</v>
      </c>
      <c r="N109" s="819" t="str">
        <f>G7</f>
        <v>GST (Services)</v>
      </c>
      <c r="O109" s="819" t="s">
        <v>317</v>
      </c>
      <c r="P109" s="819" t="str">
        <f>I7</f>
        <v>E&amp;C</v>
      </c>
      <c r="Q109" s="819" t="str">
        <f>J7</f>
        <v>Contingn</v>
      </c>
      <c r="R109" s="244"/>
      <c r="S109" s="819"/>
      <c r="CW109" s="901"/>
      <c r="CX109" s="902"/>
      <c r="CY109" s="903"/>
      <c r="CZ109" s="335"/>
    </row>
    <row r="110" spans="1:116" s="897" customFormat="1" ht="15.6">
      <c r="A110" s="904"/>
      <c r="B110" s="905" t="str">
        <f>B10</f>
        <v>1EURO=(with forward premium rate)</v>
      </c>
      <c r="C110" s="899">
        <f>C10</f>
        <v>0</v>
      </c>
      <c r="D110" s="906">
        <f>D10</f>
        <v>0</v>
      </c>
      <c r="E110" s="907">
        <f>E10</f>
        <v>0</v>
      </c>
      <c r="F110" s="906">
        <f>F10</f>
        <v>0</v>
      </c>
      <c r="G110" s="908"/>
      <c r="H110" s="904"/>
      <c r="I110" s="904"/>
      <c r="J110" s="904"/>
      <c r="K110" s="904"/>
      <c r="L110" s="909">
        <f>E8</f>
        <v>7.4999999999999997E-2</v>
      </c>
      <c r="M110" s="910">
        <f>F8</f>
        <v>0.18</v>
      </c>
      <c r="N110" s="910">
        <f>F8</f>
        <v>0.18</v>
      </c>
      <c r="O110" s="910">
        <f>H8</f>
        <v>0.11111111111111112</v>
      </c>
      <c r="P110" s="909">
        <f>I8</f>
        <v>0.11</v>
      </c>
      <c r="Q110" s="910">
        <f>J8</f>
        <v>0.05</v>
      </c>
      <c r="R110" s="910"/>
      <c r="S110" s="909"/>
      <c r="T110" s="904"/>
      <c r="U110" s="904"/>
      <c r="V110" s="904"/>
      <c r="W110" s="904"/>
      <c r="X110" s="904"/>
      <c r="CW110" s="901"/>
      <c r="CX110" s="902"/>
      <c r="CY110" s="903"/>
      <c r="CZ110" s="335"/>
    </row>
    <row r="111" spans="1:116" ht="15.6">
      <c r="A111" s="29" t="s">
        <v>92</v>
      </c>
      <c r="B111" s="29" t="s">
        <v>96</v>
      </c>
      <c r="C111" s="2357" t="s">
        <v>899</v>
      </c>
      <c r="D111" s="2358"/>
      <c r="E111" s="1074" t="s">
        <v>97</v>
      </c>
      <c r="F111" s="1075"/>
      <c r="G111" s="1074" t="s">
        <v>152</v>
      </c>
      <c r="H111" s="1076"/>
      <c r="I111" s="1074" t="s">
        <v>100</v>
      </c>
      <c r="J111" s="1076"/>
      <c r="K111" s="1077" t="s">
        <v>101</v>
      </c>
      <c r="L111" s="1077" t="s">
        <v>102</v>
      </c>
      <c r="M111" s="1077" t="s">
        <v>153</v>
      </c>
      <c r="N111" s="1077"/>
      <c r="O111" s="1074" t="s">
        <v>154</v>
      </c>
      <c r="P111" s="1076"/>
      <c r="Q111" s="1074" t="s">
        <v>155</v>
      </c>
      <c r="R111" s="1076"/>
      <c r="S111" s="1074" t="s">
        <v>108</v>
      </c>
      <c r="T111" s="1076"/>
      <c r="U111" s="1074" t="s">
        <v>109</v>
      </c>
      <c r="V111" s="1076"/>
      <c r="W111" s="1074" t="s">
        <v>83</v>
      </c>
      <c r="X111" s="1078"/>
      <c r="CW111" s="36"/>
      <c r="CX111" s="93"/>
    </row>
    <row r="112" spans="1:116" ht="15.6">
      <c r="A112" s="25"/>
      <c r="B112" s="25"/>
      <c r="C112" s="26" t="s">
        <v>9</v>
      </c>
      <c r="D112" s="27" t="s">
        <v>156</v>
      </c>
      <c r="E112" s="26" t="s">
        <v>9</v>
      </c>
      <c r="F112" s="27" t="s">
        <v>156</v>
      </c>
      <c r="G112" s="28" t="s">
        <v>9</v>
      </c>
      <c r="H112" s="28" t="s">
        <v>156</v>
      </c>
      <c r="I112" s="26" t="s">
        <v>9</v>
      </c>
      <c r="J112" s="28" t="s">
        <v>156</v>
      </c>
      <c r="K112" s="26" t="s">
        <v>9</v>
      </c>
      <c r="L112" s="26" t="s">
        <v>9</v>
      </c>
      <c r="M112" s="26" t="s">
        <v>9</v>
      </c>
      <c r="N112" s="28" t="s">
        <v>156</v>
      </c>
      <c r="O112" s="26" t="s">
        <v>9</v>
      </c>
      <c r="P112" s="28" t="s">
        <v>156</v>
      </c>
      <c r="Q112" s="26" t="s">
        <v>9</v>
      </c>
      <c r="R112" s="28" t="s">
        <v>156</v>
      </c>
      <c r="S112" s="26" t="s">
        <v>9</v>
      </c>
      <c r="T112" s="28" t="s">
        <v>156</v>
      </c>
      <c r="U112" s="26" t="s">
        <v>9</v>
      </c>
      <c r="V112" s="28" t="s">
        <v>156</v>
      </c>
      <c r="W112" s="26" t="s">
        <v>9</v>
      </c>
      <c r="X112" s="28" t="s">
        <v>156</v>
      </c>
      <c r="CW112" s="36"/>
      <c r="CX112" s="93"/>
    </row>
    <row r="113" spans="1:104" ht="15.6">
      <c r="A113" s="25"/>
      <c r="B113" s="25"/>
      <c r="C113" s="29" t="s">
        <v>157</v>
      </c>
      <c r="D113" s="30" t="s">
        <v>37</v>
      </c>
      <c r="E113" s="29" t="s">
        <v>157</v>
      </c>
      <c r="F113" s="30" t="s">
        <v>37</v>
      </c>
      <c r="G113" s="30" t="s">
        <v>157</v>
      </c>
      <c r="H113" s="29" t="s">
        <v>37</v>
      </c>
      <c r="I113" s="29" t="s">
        <v>157</v>
      </c>
      <c r="J113" s="30" t="s">
        <v>37</v>
      </c>
      <c r="K113" s="29" t="s">
        <v>157</v>
      </c>
      <c r="L113" s="29" t="s">
        <v>157</v>
      </c>
      <c r="M113" s="29" t="s">
        <v>157</v>
      </c>
      <c r="N113" s="31" t="s">
        <v>37</v>
      </c>
      <c r="O113" s="29" t="s">
        <v>157</v>
      </c>
      <c r="P113" s="30" t="s">
        <v>37</v>
      </c>
      <c r="Q113" s="29" t="s">
        <v>157</v>
      </c>
      <c r="R113" s="30" t="s">
        <v>37</v>
      </c>
      <c r="S113" s="29" t="s">
        <v>157</v>
      </c>
      <c r="T113" s="30" t="s">
        <v>37</v>
      </c>
      <c r="U113" s="29" t="s">
        <v>157</v>
      </c>
      <c r="V113" s="30" t="s">
        <v>37</v>
      </c>
      <c r="W113" s="29" t="s">
        <v>157</v>
      </c>
      <c r="X113" s="30" t="s">
        <v>37</v>
      </c>
      <c r="CW113" s="36"/>
      <c r="CX113" s="93"/>
    </row>
    <row r="114" spans="1:104" ht="15.6">
      <c r="A114" s="108" t="s">
        <v>197</v>
      </c>
      <c r="B114" s="108" t="s">
        <v>61</v>
      </c>
      <c r="C114" s="108" t="s">
        <v>62</v>
      </c>
      <c r="D114" s="72" t="s">
        <v>63</v>
      </c>
      <c r="E114" s="108" t="s">
        <v>64</v>
      </c>
      <c r="F114" s="72" t="s">
        <v>37</v>
      </c>
      <c r="G114" s="72" t="s">
        <v>66</v>
      </c>
      <c r="H114" s="72" t="s">
        <v>67</v>
      </c>
      <c r="I114" s="108" t="s">
        <v>158</v>
      </c>
      <c r="J114" s="72" t="s">
        <v>68</v>
      </c>
      <c r="K114" s="108" t="s">
        <v>69</v>
      </c>
      <c r="L114" s="108" t="s">
        <v>70</v>
      </c>
      <c r="M114" s="108" t="s">
        <v>59</v>
      </c>
      <c r="N114" s="72" t="s">
        <v>71</v>
      </c>
      <c r="O114" s="108" t="s">
        <v>72</v>
      </c>
      <c r="P114" s="72" t="s">
        <v>73</v>
      </c>
      <c r="Q114" s="108" t="s">
        <v>74</v>
      </c>
      <c r="R114" s="72" t="s">
        <v>75</v>
      </c>
      <c r="S114" s="108" t="s">
        <v>76</v>
      </c>
      <c r="T114" s="72" t="s">
        <v>41</v>
      </c>
      <c r="U114" s="108" t="s">
        <v>77</v>
      </c>
      <c r="V114" s="72" t="s">
        <v>78</v>
      </c>
      <c r="W114" s="108" t="s">
        <v>79</v>
      </c>
      <c r="X114" s="72" t="s">
        <v>80</v>
      </c>
      <c r="BV114" s="100"/>
      <c r="BW114" s="4"/>
      <c r="BX114" s="40"/>
      <c r="BY114" s="83"/>
      <c r="BZ114" s="83"/>
      <c r="CW114" s="36"/>
      <c r="CX114" s="93"/>
    </row>
    <row r="115" spans="1:104" ht="31.2">
      <c r="A115" s="1141" t="str">
        <f>B3</f>
        <v>01/DE/4941</v>
      </c>
      <c r="B115" s="2353" t="str">
        <f>C3</f>
        <v>Extension of mixer bay and replacement of 02 nos mixer cranes 125+30t, span 28 m in SMS-2</v>
      </c>
      <c r="C115" s="2354"/>
      <c r="D115" s="2354"/>
      <c r="E115" s="2354"/>
      <c r="F115" s="2354"/>
      <c r="G115" s="2354"/>
      <c r="H115" s="196"/>
      <c r="I115" s="196"/>
      <c r="J115" s="196"/>
      <c r="K115" s="196"/>
      <c r="L115" s="196"/>
      <c r="M115" s="196"/>
      <c r="N115" s="196"/>
      <c r="O115" s="196"/>
      <c r="P115" s="196"/>
      <c r="Q115" s="196"/>
      <c r="R115" s="196"/>
      <c r="S115" s="196"/>
      <c r="T115" s="196"/>
      <c r="U115" s="196"/>
      <c r="V115" s="196"/>
      <c r="W115" s="196"/>
      <c r="X115" s="261"/>
      <c r="BV115" s="100"/>
      <c r="BW115" s="4"/>
      <c r="BX115" s="40"/>
      <c r="BY115" s="83"/>
      <c r="BZ115" s="83"/>
      <c r="CW115" s="36"/>
      <c r="CX115" s="93"/>
    </row>
    <row r="116" spans="1:104" ht="22.8">
      <c r="A116" s="862" t="s">
        <v>793</v>
      </c>
      <c r="B116" s="212" t="str">
        <f>B17</f>
        <v>Main Package  (Pkg-II)</v>
      </c>
      <c r="C116" s="1129">
        <f>SUM(D17:G17, J17:K17)</f>
        <v>0</v>
      </c>
      <c r="D116" s="1130">
        <f>SUM(D17:E17)</f>
        <v>0</v>
      </c>
      <c r="E116" s="1130">
        <f>SUM(H17:I17)</f>
        <v>0</v>
      </c>
      <c r="F116" s="1130">
        <f>+H17</f>
        <v>0</v>
      </c>
      <c r="G116" s="1130">
        <f>SUM(L17:M17)</f>
        <v>0</v>
      </c>
      <c r="H116" s="1130">
        <f>+J17</f>
        <v>0</v>
      </c>
      <c r="I116" s="1130">
        <f>SUM(N17:O17)</f>
        <v>0</v>
      </c>
      <c r="J116" s="1130">
        <f>N17</f>
        <v>0</v>
      </c>
      <c r="K116" s="1130">
        <f>SUM(P17:Q17)</f>
        <v>0</v>
      </c>
      <c r="L116" s="1131">
        <f>SUM(R17:U17)</f>
        <v>0</v>
      </c>
      <c r="M116" s="1131">
        <f>SUM(V17:Y17)</f>
        <v>0</v>
      </c>
      <c r="N116" s="1131">
        <f>+V17+W17</f>
        <v>0</v>
      </c>
      <c r="O116" s="1131">
        <f>SUM(Z17:AB17)</f>
        <v>0</v>
      </c>
      <c r="P116" s="1131">
        <f>+Z17</f>
        <v>0</v>
      </c>
      <c r="Q116" s="1131">
        <f>SUM(AC17:AJ17)</f>
        <v>0</v>
      </c>
      <c r="R116" s="1131"/>
      <c r="S116" s="1131">
        <f>SUM(AK17:AP17)</f>
        <v>0</v>
      </c>
      <c r="T116" s="1131">
        <f>+AK17+AM17+AO17</f>
        <v>0</v>
      </c>
      <c r="U116" s="1131">
        <f>+AQ17+AR17</f>
        <v>0</v>
      </c>
      <c r="V116" s="1131">
        <f>+AQ17</f>
        <v>0</v>
      </c>
      <c r="W116" s="1131">
        <f>+AU17</f>
        <v>0</v>
      </c>
      <c r="X116" s="1132">
        <f>+AS17</f>
        <v>0</v>
      </c>
      <c r="BV116" s="100"/>
      <c r="BW116" s="4"/>
      <c r="BX116" s="40"/>
      <c r="BY116" s="83"/>
      <c r="BZ116" s="83"/>
      <c r="CW116" s="36"/>
      <c r="CX116" s="93"/>
    </row>
    <row r="117" spans="1:104" ht="22.8">
      <c r="A117" s="862" t="s">
        <v>794</v>
      </c>
      <c r="B117" s="212" t="str">
        <f>B18</f>
        <v xml:space="preserve">Area survey &amp; soil investigation </v>
      </c>
      <c r="C117" s="109">
        <f t="shared" ref="C117:C119" si="41">SUM(D18:G18, J18:K18)</f>
        <v>0</v>
      </c>
      <c r="D117" s="110">
        <f>SUM(D18:E18)</f>
        <v>0</v>
      </c>
      <c r="E117" s="110">
        <f>SUM(H18:I18)</f>
        <v>0</v>
      </c>
      <c r="F117" s="110">
        <f>+H18</f>
        <v>0</v>
      </c>
      <c r="G117" s="110">
        <f t="shared" ref="G117:G119" si="42">SUM(L18:M18)</f>
        <v>0</v>
      </c>
      <c r="H117" s="110">
        <f>+J18</f>
        <v>0</v>
      </c>
      <c r="I117" s="110">
        <f t="shared" ref="I117:I119" si="43">SUM(N18:O18)</f>
        <v>0</v>
      </c>
      <c r="J117" s="110">
        <f>N18</f>
        <v>0</v>
      </c>
      <c r="K117" s="110">
        <f t="shared" ref="K117:K119" si="44">SUM(P18:Q18)</f>
        <v>0</v>
      </c>
      <c r="L117" s="111">
        <f t="shared" ref="L117:L119" si="45">SUM(R18:U18)</f>
        <v>0</v>
      </c>
      <c r="M117" s="111">
        <f t="shared" ref="M117:M119" si="46">SUM(V18:Y18)</f>
        <v>0</v>
      </c>
      <c r="N117" s="111">
        <f>+V18+W18</f>
        <v>0</v>
      </c>
      <c r="O117" s="111">
        <f t="shared" ref="O117:O119" si="47">SUM(Z18:AB18)</f>
        <v>0</v>
      </c>
      <c r="P117" s="111">
        <f>+Z18</f>
        <v>0</v>
      </c>
      <c r="Q117" s="111">
        <f t="shared" ref="Q117:Q119" si="48">SUM(AC18:AJ18)</f>
        <v>0</v>
      </c>
      <c r="R117" s="111"/>
      <c r="S117" s="111">
        <f>SUM(AK18:AP18)</f>
        <v>0</v>
      </c>
      <c r="T117" s="111">
        <f>+AK18+AM18+AO18</f>
        <v>0</v>
      </c>
      <c r="U117" s="111">
        <f t="shared" ref="U117:U119" si="49">+AQ18+AR18</f>
        <v>0</v>
      </c>
      <c r="V117" s="111">
        <f>+AQ18</f>
        <v>0</v>
      </c>
      <c r="W117" s="1131">
        <f t="shared" ref="W117:W119" si="50">+AU18</f>
        <v>0</v>
      </c>
      <c r="X117" s="112">
        <f>+AS18</f>
        <v>0</v>
      </c>
      <c r="BV117" s="100"/>
      <c r="BW117" s="4"/>
      <c r="BX117" s="40"/>
      <c r="BY117" s="83"/>
      <c r="BZ117" s="83"/>
      <c r="CW117" s="36"/>
      <c r="CX117" s="93"/>
    </row>
    <row r="118" spans="1:104" ht="104.4">
      <c r="A118" s="862" t="s">
        <v>795</v>
      </c>
      <c r="B118" s="212" t="str">
        <f>B19</f>
        <v>Expenditure towards Corporate Environmental Responsibility (CER) and Cost for engagement of NABET accredited Consultant for environmental clearance / Supply Package</v>
      </c>
      <c r="C118" s="109">
        <f t="shared" si="41"/>
        <v>0</v>
      </c>
      <c r="D118" s="110">
        <f>SUM(D19:E19)</f>
        <v>0</v>
      </c>
      <c r="E118" s="110">
        <f>SUM(H19:I19)</f>
        <v>0</v>
      </c>
      <c r="F118" s="110" t="str">
        <f>+H19</f>
        <v xml:space="preserve"> </v>
      </c>
      <c r="G118" s="110">
        <f t="shared" si="42"/>
        <v>0</v>
      </c>
      <c r="H118" s="110">
        <f>+J19</f>
        <v>0</v>
      </c>
      <c r="I118" s="110">
        <f t="shared" si="43"/>
        <v>0</v>
      </c>
      <c r="J118" s="110">
        <f>N19</f>
        <v>0</v>
      </c>
      <c r="K118" s="110">
        <f t="shared" si="44"/>
        <v>0</v>
      </c>
      <c r="L118" s="111">
        <f t="shared" si="45"/>
        <v>0</v>
      </c>
      <c r="M118" s="111">
        <f t="shared" si="46"/>
        <v>0</v>
      </c>
      <c r="N118" s="111">
        <f>+V19+W19</f>
        <v>0</v>
      </c>
      <c r="O118" s="111">
        <f t="shared" si="47"/>
        <v>0</v>
      </c>
      <c r="P118" s="111">
        <f>+Z19</f>
        <v>0</v>
      </c>
      <c r="Q118" s="111">
        <f t="shared" si="48"/>
        <v>0</v>
      </c>
      <c r="R118" s="111"/>
      <c r="S118" s="111">
        <f>SUM(AK19:AP19)</f>
        <v>0</v>
      </c>
      <c r="T118" s="111">
        <f>+AK19+AM19+AO19</f>
        <v>0</v>
      </c>
      <c r="U118" s="111">
        <f t="shared" si="49"/>
        <v>0</v>
      </c>
      <c r="V118" s="111">
        <f>+AQ19</f>
        <v>0</v>
      </c>
      <c r="W118" s="1131">
        <f t="shared" si="50"/>
        <v>0</v>
      </c>
      <c r="X118" s="112">
        <f>+AS19</f>
        <v>0</v>
      </c>
      <c r="BV118" s="100"/>
      <c r="BW118" s="4"/>
      <c r="BX118" s="40"/>
      <c r="BY118" s="83"/>
      <c r="BZ118" s="83"/>
      <c r="CW118" s="36"/>
      <c r="CX118" s="93"/>
    </row>
    <row r="119" spans="1:104" ht="22.8">
      <c r="A119" s="862" t="s">
        <v>796</v>
      </c>
      <c r="B119" s="1118" t="str">
        <f>B20</f>
        <v>(Enabling Package)  (Pkg-I)</v>
      </c>
      <c r="C119" s="109">
        <f t="shared" si="41"/>
        <v>0.39819691775000005</v>
      </c>
      <c r="D119" s="110"/>
      <c r="E119" s="110"/>
      <c r="F119" s="110"/>
      <c r="G119" s="110" t="e">
        <f t="shared" si="42"/>
        <v>#REF!</v>
      </c>
      <c r="H119" s="110"/>
      <c r="I119" s="110">
        <f t="shared" si="43"/>
        <v>0</v>
      </c>
      <c r="J119" s="110"/>
      <c r="K119" s="110">
        <f t="shared" si="44"/>
        <v>0.40793928869565221</v>
      </c>
      <c r="L119" s="111" t="e">
        <f t="shared" si="45"/>
        <v>#REF!</v>
      </c>
      <c r="M119" s="111" t="e">
        <f t="shared" si="46"/>
        <v>#REF!</v>
      </c>
      <c r="N119" s="111"/>
      <c r="O119" s="111" t="e">
        <f t="shared" si="47"/>
        <v>#REF!</v>
      </c>
      <c r="P119" s="111"/>
      <c r="Q119" s="111" t="e">
        <f t="shared" si="48"/>
        <v>#REF!</v>
      </c>
      <c r="R119" s="111"/>
      <c r="S119" s="111"/>
      <c r="T119" s="111"/>
      <c r="U119" s="111" t="e">
        <f t="shared" si="49"/>
        <v>#REF!</v>
      </c>
      <c r="V119" s="111"/>
      <c r="W119" s="1131" t="e">
        <f t="shared" si="50"/>
        <v>#REF!</v>
      </c>
      <c r="X119" s="112"/>
      <c r="BV119" s="100"/>
      <c r="BW119" s="4"/>
      <c r="BX119" s="40"/>
      <c r="BY119" s="83"/>
      <c r="BZ119" s="83"/>
      <c r="CW119" s="36"/>
      <c r="CX119" s="93"/>
    </row>
    <row r="120" spans="1:104" s="897" customFormat="1" ht="22.8">
      <c r="A120" s="911">
        <v>1</v>
      </c>
      <c r="B120" s="912" t="str">
        <f>B21</f>
        <v>Total Plant Cost</v>
      </c>
      <c r="C120" s="920">
        <f>SUM(C116:C119)</f>
        <v>0.39819691775000005</v>
      </c>
      <c r="D120" s="920">
        <f t="shared" ref="D120:V120" si="51">SUM(D116:D119)</f>
        <v>0</v>
      </c>
      <c r="E120" s="920">
        <f t="shared" si="51"/>
        <v>0</v>
      </c>
      <c r="F120" s="920">
        <f t="shared" si="51"/>
        <v>0</v>
      </c>
      <c r="G120" s="920" t="e">
        <f t="shared" si="51"/>
        <v>#REF!</v>
      </c>
      <c r="H120" s="920">
        <f t="shared" si="51"/>
        <v>0</v>
      </c>
      <c r="I120" s="920">
        <f t="shared" si="51"/>
        <v>0</v>
      </c>
      <c r="J120" s="920">
        <f t="shared" si="51"/>
        <v>0</v>
      </c>
      <c r="K120" s="920">
        <f t="shared" si="51"/>
        <v>0.40793928869565221</v>
      </c>
      <c r="L120" s="920" t="e">
        <f t="shared" si="51"/>
        <v>#REF!</v>
      </c>
      <c r="M120" s="920" t="e">
        <f t="shared" si="51"/>
        <v>#REF!</v>
      </c>
      <c r="N120" s="920">
        <f t="shared" si="51"/>
        <v>0</v>
      </c>
      <c r="O120" s="920" t="e">
        <f t="shared" si="51"/>
        <v>#REF!</v>
      </c>
      <c r="P120" s="920">
        <f t="shared" si="51"/>
        <v>0</v>
      </c>
      <c r="Q120" s="920" t="e">
        <f t="shared" si="51"/>
        <v>#REF!</v>
      </c>
      <c r="R120" s="920">
        <f t="shared" si="51"/>
        <v>0</v>
      </c>
      <c r="S120" s="920">
        <f t="shared" si="51"/>
        <v>0</v>
      </c>
      <c r="T120" s="920">
        <f t="shared" si="51"/>
        <v>0</v>
      </c>
      <c r="U120" s="920" t="e">
        <f t="shared" si="51"/>
        <v>#REF!</v>
      </c>
      <c r="V120" s="920">
        <f t="shared" si="51"/>
        <v>0</v>
      </c>
      <c r="W120" s="1130" t="e">
        <f>SUM(W116:W119)</f>
        <v>#REF!</v>
      </c>
      <c r="X120" s="921">
        <f t="shared" ref="X120" si="52">SUM(X116:X118)</f>
        <v>0</v>
      </c>
      <c r="BV120" s="922"/>
      <c r="BW120" s="244"/>
      <c r="BX120" s="335"/>
      <c r="BY120" s="923"/>
      <c r="BZ120" s="923"/>
      <c r="CW120" s="901"/>
      <c r="CX120" s="902"/>
      <c r="CY120" s="903"/>
      <c r="CZ120" s="335"/>
    </row>
    <row r="121" spans="1:104" ht="22.8">
      <c r="A121" s="911">
        <v>2</v>
      </c>
      <c r="B121" s="868" t="str">
        <f>+B22</f>
        <v>IDC</v>
      </c>
      <c r="C121" s="32"/>
      <c r="D121" s="32"/>
      <c r="E121" s="32"/>
      <c r="F121" s="32"/>
      <c r="G121" s="32"/>
      <c r="H121" s="32"/>
      <c r="I121" s="32"/>
      <c r="J121" s="32"/>
      <c r="K121" s="32"/>
      <c r="L121" s="32"/>
      <c r="M121" s="32"/>
      <c r="N121" s="32"/>
      <c r="O121" s="32"/>
      <c r="P121" s="32"/>
      <c r="Q121" s="32"/>
      <c r="R121" s="32"/>
      <c r="S121" s="32"/>
      <c r="T121" s="32"/>
      <c r="U121" s="32"/>
      <c r="V121" s="32"/>
      <c r="W121" s="1133" t="e">
        <f>+AU22</f>
        <v>#REF!</v>
      </c>
      <c r="X121" s="113"/>
      <c r="Y121" s="4"/>
      <c r="Z121" s="4"/>
      <c r="BV121" s="100"/>
      <c r="BW121" s="4"/>
      <c r="BX121" s="40"/>
      <c r="BY121" s="83"/>
      <c r="BZ121" s="83"/>
    </row>
    <row r="122" spans="1:104" ht="22.8">
      <c r="A122" s="911">
        <v>3</v>
      </c>
      <c r="B122" s="867" t="str">
        <f>B23</f>
        <v xml:space="preserve">CAPITAL COST </v>
      </c>
      <c r="C122" s="32"/>
      <c r="D122" s="32"/>
      <c r="E122" s="32"/>
      <c r="F122" s="32"/>
      <c r="G122" s="32"/>
      <c r="H122" s="32"/>
      <c r="I122" s="32"/>
      <c r="J122" s="32"/>
      <c r="K122" s="32"/>
      <c r="L122" s="32"/>
      <c r="M122" s="32"/>
      <c r="N122" s="32"/>
      <c r="O122" s="32"/>
      <c r="P122" s="32"/>
      <c r="Q122" s="32"/>
      <c r="R122" s="32"/>
      <c r="S122" s="32"/>
      <c r="T122" s="32"/>
      <c r="U122" s="32"/>
      <c r="V122" s="32"/>
      <c r="W122" s="1133" t="e">
        <f t="shared" ref="W122:X122" si="53">SUM(W120:W121)</f>
        <v>#REF!</v>
      </c>
      <c r="X122" s="113">
        <f t="shared" si="53"/>
        <v>0</v>
      </c>
      <c r="Y122" s="4"/>
      <c r="Z122" s="4"/>
      <c r="BV122" s="100"/>
      <c r="BW122" s="4"/>
      <c r="BX122" s="40"/>
      <c r="BY122" s="83"/>
      <c r="BZ122" s="83"/>
    </row>
    <row r="123" spans="1:104" ht="22.8">
      <c r="A123" s="911">
        <v>4</v>
      </c>
      <c r="B123" s="869" t="str">
        <f>B24</f>
        <v>Input Tax Credit (ITC)</v>
      </c>
      <c r="C123" s="32"/>
      <c r="D123" s="32"/>
      <c r="E123" s="32"/>
      <c r="F123" s="32"/>
      <c r="G123" s="32"/>
      <c r="H123" s="32"/>
      <c r="I123" s="32"/>
      <c r="J123" s="32"/>
      <c r="K123" s="32"/>
      <c r="L123" s="32"/>
      <c r="M123" s="32"/>
      <c r="N123" s="32"/>
      <c r="O123" s="32"/>
      <c r="P123" s="32"/>
      <c r="Q123" s="32"/>
      <c r="R123" s="32"/>
      <c r="S123" s="32"/>
      <c r="T123" s="32"/>
      <c r="U123" s="32"/>
      <c r="V123" s="32"/>
      <c r="W123" s="1133" t="e">
        <f>+AU24</f>
        <v>#REF!</v>
      </c>
      <c r="X123" s="113"/>
      <c r="BW123" s="7"/>
      <c r="BY123" s="83"/>
      <c r="CB123" s="2"/>
    </row>
    <row r="124" spans="1:104" ht="22.8">
      <c r="A124" s="911">
        <v>5</v>
      </c>
      <c r="B124" s="867" t="str">
        <f>B25</f>
        <v>Capital Cost net of ITC</v>
      </c>
      <c r="C124" s="32"/>
      <c r="D124" s="32"/>
      <c r="E124" s="32"/>
      <c r="F124" s="32"/>
      <c r="G124" s="32"/>
      <c r="H124" s="32"/>
      <c r="I124" s="32"/>
      <c r="J124" s="32"/>
      <c r="K124" s="32"/>
      <c r="L124" s="32"/>
      <c r="M124" s="32"/>
      <c r="N124" s="32"/>
      <c r="O124" s="32"/>
      <c r="P124" s="32"/>
      <c r="Q124" s="32"/>
      <c r="R124" s="32"/>
      <c r="S124" s="32"/>
      <c r="T124" s="32"/>
      <c r="U124" s="32"/>
      <c r="V124" s="32"/>
      <c r="W124" s="1133" t="e">
        <f t="shared" ref="W124:X124" si="54">W122-W123</f>
        <v>#REF!</v>
      </c>
      <c r="X124" s="113">
        <f t="shared" si="54"/>
        <v>0</v>
      </c>
      <c r="BW124" s="4"/>
      <c r="BY124" s="83"/>
    </row>
    <row r="125" spans="1:104">
      <c r="BW125" s="4"/>
      <c r="BY125" s="83"/>
    </row>
    <row r="126" spans="1:104">
      <c r="BW126" s="4"/>
      <c r="BY126" s="83"/>
    </row>
    <row r="127" spans="1:104" ht="17.399999999999999">
      <c r="A127" s="4"/>
      <c r="B127" s="1134" t="str">
        <f>BH3</f>
        <v>PHASING OF EXPENDITURE &amp; IDC (12 months from Stg.-2 approval)</v>
      </c>
      <c r="C127" s="4"/>
      <c r="D127" s="4"/>
      <c r="E127" s="4"/>
      <c r="F127" s="4"/>
      <c r="G127" s="4"/>
      <c r="H127" s="4"/>
      <c r="BW127" s="4"/>
      <c r="BY127" s="83"/>
    </row>
    <row r="128" spans="1:104">
      <c r="A128" s="4"/>
      <c r="B128" s="4"/>
      <c r="C128" s="4"/>
      <c r="D128" s="4"/>
      <c r="E128" s="4"/>
      <c r="F128" s="4"/>
      <c r="G128" s="4"/>
      <c r="H128" s="4"/>
      <c r="BW128" s="4"/>
      <c r="BY128" s="83"/>
    </row>
    <row r="129" spans="1:77" s="37" customFormat="1">
      <c r="A129" s="4"/>
      <c r="B129" s="2321" t="s">
        <v>24</v>
      </c>
      <c r="C129" s="2321" t="s">
        <v>194</v>
      </c>
      <c r="D129" s="2321" t="s">
        <v>199</v>
      </c>
      <c r="E129" s="2321" t="s">
        <v>29</v>
      </c>
      <c r="F129" s="2321" t="s">
        <v>982</v>
      </c>
      <c r="G129" s="2324" t="s">
        <v>983</v>
      </c>
      <c r="H129" s="2324"/>
      <c r="BW129" s="4"/>
      <c r="BY129" s="83"/>
    </row>
    <row r="130" spans="1:77" s="37" customFormat="1">
      <c r="A130" s="4"/>
      <c r="B130" s="2322"/>
      <c r="C130" s="2322"/>
      <c r="D130" s="2322"/>
      <c r="E130" s="2322"/>
      <c r="F130" s="2322"/>
      <c r="G130" s="2324"/>
      <c r="H130" s="2324"/>
      <c r="BW130" s="4"/>
      <c r="BY130" s="83"/>
    </row>
    <row r="131" spans="1:77" s="37" customFormat="1">
      <c r="A131" s="4"/>
      <c r="B131" s="2323"/>
      <c r="C131" s="2323"/>
      <c r="D131" s="2323"/>
      <c r="E131" s="2323"/>
      <c r="F131" s="2323"/>
      <c r="G131" s="2324"/>
      <c r="H131" s="2324"/>
      <c r="BW131" s="4"/>
      <c r="BY131" s="83"/>
    </row>
    <row r="132" spans="1:77" s="37" customFormat="1" ht="22.8">
      <c r="A132" s="4"/>
      <c r="B132" s="1135" t="str">
        <f>BH9</f>
        <v>1 year</v>
      </c>
      <c r="C132" s="1136" t="e">
        <f>BI9</f>
        <v>#REF!</v>
      </c>
      <c r="D132" s="1136" t="e">
        <f t="shared" ref="D132:G139" si="55">BJ9</f>
        <v>#REF!</v>
      </c>
      <c r="E132" s="1136" t="e">
        <f t="shared" si="55"/>
        <v>#REF!</v>
      </c>
      <c r="F132" s="1136" t="e">
        <f t="shared" si="55"/>
        <v>#REF!</v>
      </c>
      <c r="G132" s="2316" t="e">
        <f>BM9</f>
        <v>#REF!</v>
      </c>
      <c r="H132" s="2318"/>
      <c r="BW132" s="4"/>
      <c r="BY132" s="83"/>
    </row>
    <row r="133" spans="1:77" s="37" customFormat="1" ht="22.8">
      <c r="A133" s="4"/>
      <c r="B133" s="1135" t="str">
        <f>BH10</f>
        <v>2nd year (7 months)</v>
      </c>
      <c r="C133" s="1136" t="e">
        <f t="shared" ref="C133:C137" si="56">BI10</f>
        <v>#REF!</v>
      </c>
      <c r="D133" s="1136" t="e">
        <f t="shared" si="55"/>
        <v>#REF!</v>
      </c>
      <c r="E133" s="1136" t="e">
        <f t="shared" si="55"/>
        <v>#REF!</v>
      </c>
      <c r="F133" s="1136" t="e">
        <f t="shared" si="55"/>
        <v>#REF!</v>
      </c>
      <c r="G133" s="2316" t="e">
        <f>BM10</f>
        <v>#REF!</v>
      </c>
      <c r="H133" s="2318"/>
      <c r="BW133" s="4"/>
      <c r="BY133" s="83"/>
    </row>
    <row r="134" spans="1:77" s="37" customFormat="1" ht="22.8">
      <c r="A134" s="4"/>
      <c r="B134" s="1135" t="str">
        <f>BH11</f>
        <v xml:space="preserve">3rd year </v>
      </c>
      <c r="C134" s="1136" t="e">
        <f t="shared" si="56"/>
        <v>#REF!</v>
      </c>
      <c r="D134" s="1136" t="e">
        <f t="shared" si="55"/>
        <v>#REF!</v>
      </c>
      <c r="E134" s="1136" t="e">
        <f t="shared" si="55"/>
        <v>#REF!</v>
      </c>
      <c r="F134" s="1136" t="e">
        <f t="shared" si="55"/>
        <v>#REF!</v>
      </c>
      <c r="G134" s="2316" t="e">
        <f t="shared" si="55"/>
        <v>#REF!</v>
      </c>
      <c r="H134" s="2318"/>
      <c r="BW134" s="4"/>
      <c r="BY134" s="83"/>
    </row>
    <row r="135" spans="1:77" s="37" customFormat="1" ht="22.8">
      <c r="A135" s="4"/>
      <c r="B135" s="1135" t="str">
        <f>BH12</f>
        <v xml:space="preserve">4th Year </v>
      </c>
      <c r="C135" s="1136" t="e">
        <f t="shared" si="56"/>
        <v>#REF!</v>
      </c>
      <c r="D135" s="1136">
        <f t="shared" si="55"/>
        <v>0</v>
      </c>
      <c r="E135" s="1136" t="e">
        <f t="shared" si="55"/>
        <v>#REF!</v>
      </c>
      <c r="F135" s="1136" t="e">
        <f t="shared" si="55"/>
        <v>#REF!</v>
      </c>
      <c r="G135" s="2316" t="e">
        <f t="shared" si="55"/>
        <v>#REF!</v>
      </c>
      <c r="H135" s="2318"/>
      <c r="BW135" s="4"/>
      <c r="BY135" s="83"/>
    </row>
    <row r="136" spans="1:77" s="37" customFormat="1" ht="22.8">
      <c r="A136" s="4"/>
      <c r="B136" s="1135" t="s">
        <v>984</v>
      </c>
      <c r="C136" s="1136" t="e">
        <f t="shared" si="56"/>
        <v>#REF!</v>
      </c>
      <c r="D136" s="1136" t="e">
        <f t="shared" si="55"/>
        <v>#REF!</v>
      </c>
      <c r="E136" s="1136" t="e">
        <f t="shared" si="55"/>
        <v>#REF!</v>
      </c>
      <c r="F136" s="1136">
        <f t="shared" si="55"/>
        <v>0</v>
      </c>
      <c r="G136" s="2316" t="e">
        <f t="shared" si="55"/>
        <v>#REF!</v>
      </c>
      <c r="H136" s="2318"/>
      <c r="BW136" s="4"/>
      <c r="BY136" s="83"/>
    </row>
    <row r="137" spans="1:77" s="37" customFormat="1" ht="22.8">
      <c r="A137" s="4"/>
      <c r="B137" s="1137" t="s">
        <v>9</v>
      </c>
      <c r="C137" s="1136" t="e">
        <f t="shared" si="56"/>
        <v>#REF!</v>
      </c>
      <c r="D137" s="1136" t="e">
        <f t="shared" si="55"/>
        <v>#REF!</v>
      </c>
      <c r="E137" s="1136" t="e">
        <f t="shared" si="55"/>
        <v>#REF!</v>
      </c>
      <c r="F137" s="1139" t="e">
        <f t="shared" si="55"/>
        <v>#REF!</v>
      </c>
      <c r="G137" s="2319" t="e">
        <f t="shared" si="55"/>
        <v>#REF!</v>
      </c>
      <c r="H137" s="2320"/>
      <c r="BW137" s="4"/>
      <c r="BY137" s="83"/>
    </row>
    <row r="138" spans="1:77" s="37" customFormat="1" ht="22.8">
      <c r="A138" s="4"/>
      <c r="B138" s="1137" t="s">
        <v>438</v>
      </c>
      <c r="C138" s="2316"/>
      <c r="D138" s="2317"/>
      <c r="E138" s="2317"/>
      <c r="F138" s="2318"/>
      <c r="G138" s="2316" t="e">
        <f t="shared" si="55"/>
        <v>#REF!</v>
      </c>
      <c r="H138" s="2318"/>
      <c r="BW138" s="4"/>
      <c r="BY138" s="83"/>
    </row>
    <row r="139" spans="1:77" s="37" customFormat="1" ht="22.8">
      <c r="A139" s="4"/>
      <c r="B139" s="1137" t="s">
        <v>439</v>
      </c>
      <c r="C139" s="2316"/>
      <c r="D139" s="2317"/>
      <c r="E139" s="2317"/>
      <c r="F139" s="2318"/>
      <c r="G139" s="2319" t="e">
        <f t="shared" si="55"/>
        <v>#REF!</v>
      </c>
      <c r="H139" s="2320"/>
      <c r="BW139" s="4"/>
      <c r="BY139" s="83"/>
    </row>
    <row r="140" spans="1:77" s="37" customFormat="1">
      <c r="A140" s="4"/>
      <c r="B140" s="4"/>
      <c r="C140" s="4"/>
      <c r="D140" s="4"/>
      <c r="E140" s="4"/>
      <c r="F140" s="4"/>
      <c r="G140" s="4"/>
      <c r="H140" s="4"/>
      <c r="BW140" s="4"/>
      <c r="BY140" s="83"/>
    </row>
    <row r="141" spans="1:77" s="37" customFormat="1">
      <c r="A141" s="4"/>
      <c r="B141" s="4"/>
      <c r="C141" s="4"/>
      <c r="D141" s="4"/>
      <c r="E141" s="4"/>
      <c r="F141" s="4"/>
      <c r="G141" s="4"/>
      <c r="H141" s="4"/>
      <c r="BW141" s="4"/>
      <c r="BY141" s="83"/>
    </row>
    <row r="142" spans="1:77" s="37" customFormat="1" ht="21">
      <c r="A142" s="1138" t="s">
        <v>985</v>
      </c>
      <c r="B142" s="4"/>
      <c r="C142" s="4"/>
      <c r="D142" s="4"/>
      <c r="E142" s="4"/>
      <c r="F142" s="4"/>
      <c r="G142" s="4"/>
      <c r="H142" s="4"/>
      <c r="BW142" s="4"/>
      <c r="BY142" s="83"/>
    </row>
    <row r="143" spans="1:77" s="37" customFormat="1">
      <c r="W143" s="37">
        <v>557.36115265389742</v>
      </c>
      <c r="X143" s="37">
        <v>88.38293916654861</v>
      </c>
      <c r="BW143" s="4"/>
      <c r="BY143" s="83"/>
    </row>
    <row r="144" spans="1:77" s="37" customFormat="1">
      <c r="W144" s="37">
        <v>538.40952938937096</v>
      </c>
      <c r="X144" s="37">
        <v>81.776459782456072</v>
      </c>
      <c r="BW144" s="4"/>
      <c r="BY144" s="83"/>
    </row>
    <row r="145" spans="1:24" s="37" customFormat="1">
      <c r="B145" s="4"/>
      <c r="D145" s="83"/>
      <c r="X145" s="37">
        <f>X143-X144</f>
        <v>6.6064793840925375</v>
      </c>
    </row>
    <row r="146" spans="1:24" s="37" customFormat="1" ht="15.6">
      <c r="E146" s="116" t="s">
        <v>206</v>
      </c>
    </row>
    <row r="147" spans="1:24" s="37" customFormat="1">
      <c r="C147" s="105"/>
    </row>
    <row r="148" spans="1:24" s="37" customFormat="1" ht="15.6">
      <c r="A148" s="2355" t="s">
        <v>396</v>
      </c>
      <c r="B148" s="2355"/>
      <c r="C148" s="2355"/>
      <c r="D148" s="2355"/>
      <c r="E148" s="2355"/>
    </row>
    <row r="149" spans="1:24" s="37" customFormat="1" ht="15.6">
      <c r="A149" s="2355" t="str">
        <f>K104</f>
        <v>BHILAI STEEL PLANT</v>
      </c>
      <c r="B149" s="2355"/>
      <c r="C149" s="2355"/>
      <c r="D149" s="2355"/>
      <c r="E149" s="2355"/>
    </row>
    <row r="150" spans="1:24" s="37" customFormat="1">
      <c r="A150" s="2356" t="str">
        <f>J105</f>
        <v>Extension of mixer bay and replacement of 02 nos mixer cranes 125+30t, span 28 m in SMS-2</v>
      </c>
      <c r="B150" s="2356"/>
      <c r="C150" s="2356"/>
      <c r="D150" s="2356"/>
      <c r="E150" s="2356"/>
    </row>
    <row r="151" spans="1:24" s="37" customFormat="1">
      <c r="A151" s="2356"/>
      <c r="B151" s="2356"/>
      <c r="C151" s="2356"/>
      <c r="D151" s="2356"/>
      <c r="E151" s="2356"/>
    </row>
    <row r="152" spans="1:24" s="37" customFormat="1" ht="15.6">
      <c r="A152" s="2347" t="s">
        <v>395</v>
      </c>
      <c r="B152" s="2347"/>
      <c r="C152" s="2347"/>
      <c r="D152" s="2347"/>
      <c r="E152" s="2347"/>
    </row>
    <row r="153" spans="1:24" s="37" customFormat="1" ht="15.6">
      <c r="A153" s="2347" t="s">
        <v>322</v>
      </c>
      <c r="B153" s="2347"/>
      <c r="C153" s="2347"/>
      <c r="D153" s="2347"/>
      <c r="E153" s="2347"/>
      <c r="F153" s="874"/>
      <c r="I153" s="874"/>
    </row>
    <row r="154" spans="1:24" s="37" customFormat="1" ht="15.6">
      <c r="A154" s="2"/>
      <c r="B154" s="876" t="str">
        <f>B9</f>
        <v>1USD=(with forward premium rate)</v>
      </c>
      <c r="C154" s="873">
        <f>BB17*0</f>
        <v>0</v>
      </c>
      <c r="D154" s="875"/>
      <c r="E154" s="875"/>
      <c r="F154" s="874"/>
      <c r="K154" s="783"/>
    </row>
    <row r="155" spans="1:24" s="37" customFormat="1" ht="15.6">
      <c r="A155" s="2"/>
      <c r="B155" s="876" t="str">
        <f>B10</f>
        <v>1EURO=(with forward premium rate)</v>
      </c>
      <c r="C155" s="873">
        <f>BB19</f>
        <v>0</v>
      </c>
      <c r="D155" s="875"/>
      <c r="E155" s="875"/>
      <c r="F155" s="874"/>
    </row>
    <row r="156" spans="1:24" s="37" customFormat="1" ht="16.2" thickBot="1">
      <c r="A156" s="13" t="str">
        <f>+O3</f>
        <v>Base date: 3rd Qtr 2022</v>
      </c>
      <c r="E156" s="251" t="s">
        <v>209</v>
      </c>
      <c r="G156" s="2"/>
    </row>
    <row r="157" spans="1:24" s="37" customFormat="1" ht="16.2" thickBot="1">
      <c r="A157" s="878" t="s">
        <v>318</v>
      </c>
      <c r="B157" s="879" t="s">
        <v>8</v>
      </c>
      <c r="C157" s="878" t="s">
        <v>37</v>
      </c>
      <c r="D157" s="880" t="s">
        <v>32</v>
      </c>
      <c r="E157" s="881" t="s">
        <v>9</v>
      </c>
      <c r="F157"/>
    </row>
    <row r="158" spans="1:24" s="37" customFormat="1">
      <c r="A158" s="882">
        <v>1</v>
      </c>
      <c r="B158" s="244" t="s">
        <v>900</v>
      </c>
      <c r="C158" s="893">
        <f>D120</f>
        <v>0</v>
      </c>
      <c r="D158" s="245">
        <f>C120-D120</f>
        <v>0.39819691775000005</v>
      </c>
      <c r="E158" s="883">
        <f>C158+D158</f>
        <v>0.39819691775000005</v>
      </c>
      <c r="F158"/>
      <c r="G158" s="1266"/>
      <c r="H158" s="897"/>
      <c r="I158" s="897"/>
      <c r="J158" s="1267"/>
      <c r="L158" s="244"/>
      <c r="M158" s="919"/>
    </row>
    <row r="159" spans="1:24" s="37" customFormat="1">
      <c r="A159" s="882">
        <v>2</v>
      </c>
      <c r="B159" s="244" t="s">
        <v>84</v>
      </c>
      <c r="C159" s="893">
        <f>F120</f>
        <v>0</v>
      </c>
      <c r="D159" s="245">
        <f>E120-F120</f>
        <v>0</v>
      </c>
      <c r="E159" s="883">
        <f t="shared" ref="E159:E168" si="57">C159+D159</f>
        <v>0</v>
      </c>
      <c r="F159"/>
      <c r="G159" s="1266"/>
      <c r="H159" s="897"/>
      <c r="I159" s="897"/>
      <c r="L159" s="244"/>
      <c r="M159" s="919"/>
    </row>
    <row r="160" spans="1:24" s="37" customFormat="1">
      <c r="A160" s="882">
        <v>3</v>
      </c>
      <c r="B160" s="244" t="s">
        <v>85</v>
      </c>
      <c r="C160" s="893">
        <f>H120</f>
        <v>0</v>
      </c>
      <c r="D160" s="245" t="e">
        <f>G120-H120</f>
        <v>#REF!</v>
      </c>
      <c r="E160" s="883" t="e">
        <f t="shared" si="57"/>
        <v>#REF!</v>
      </c>
      <c r="F160"/>
      <c r="G160" s="1266"/>
      <c r="H160" s="897"/>
      <c r="I160" s="897"/>
      <c r="L160" s="244"/>
      <c r="M160" s="919"/>
      <c r="N160" s="897"/>
    </row>
    <row r="161" spans="1:14" s="37" customFormat="1">
      <c r="A161" s="882">
        <v>4</v>
      </c>
      <c r="B161" s="244" t="s">
        <v>86</v>
      </c>
      <c r="C161" s="893">
        <f>J120</f>
        <v>0</v>
      </c>
      <c r="D161" s="245">
        <f>I120-J120</f>
        <v>0</v>
      </c>
      <c r="E161" s="883">
        <f t="shared" si="57"/>
        <v>0</v>
      </c>
      <c r="F161"/>
      <c r="G161" s="1266"/>
      <c r="H161" s="897"/>
      <c r="I161" s="897"/>
      <c r="L161" s="244"/>
      <c r="M161" s="919"/>
      <c r="N161" s="897"/>
    </row>
    <row r="162" spans="1:14" s="37" customFormat="1">
      <c r="A162" s="882">
        <v>5</v>
      </c>
      <c r="B162" s="244" t="s">
        <v>87</v>
      </c>
      <c r="C162" s="893"/>
      <c r="D162" s="245">
        <f>K120</f>
        <v>0.40793928869565221</v>
      </c>
      <c r="E162" s="883">
        <f t="shared" si="57"/>
        <v>0.40793928869565221</v>
      </c>
      <c r="F162"/>
      <c r="G162" s="1266"/>
      <c r="H162" s="897"/>
      <c r="I162" s="897"/>
      <c r="L162" s="244"/>
      <c r="M162" s="919"/>
    </row>
    <row r="163" spans="1:14" s="37" customFormat="1">
      <c r="A163" s="882">
        <v>6</v>
      </c>
      <c r="B163" s="244" t="s">
        <v>203</v>
      </c>
      <c r="C163" s="893"/>
      <c r="D163" s="245" t="e">
        <f>L120</f>
        <v>#REF!</v>
      </c>
      <c r="E163" s="883" t="e">
        <f t="shared" si="57"/>
        <v>#REF!</v>
      </c>
      <c r="F163"/>
      <c r="G163" s="1266"/>
      <c r="H163" s="897"/>
      <c r="I163" s="897"/>
      <c r="L163" s="244"/>
      <c r="M163" s="919"/>
    </row>
    <row r="164" spans="1:14" s="37" customFormat="1">
      <c r="A164" s="882">
        <v>7</v>
      </c>
      <c r="B164" s="244" t="s">
        <v>201</v>
      </c>
      <c r="C164" s="893">
        <f>N120</f>
        <v>0</v>
      </c>
      <c r="D164" s="245" t="e">
        <f>M120-N120</f>
        <v>#REF!</v>
      </c>
      <c r="E164" s="883" t="e">
        <f t="shared" si="57"/>
        <v>#REF!</v>
      </c>
      <c r="F164"/>
      <c r="G164" s="1266"/>
      <c r="H164" s="897"/>
      <c r="I164" s="897"/>
      <c r="J164" s="1267"/>
    </row>
    <row r="165" spans="1:14" s="37" customFormat="1">
      <c r="A165" s="882">
        <v>8</v>
      </c>
      <c r="B165" s="244" t="s">
        <v>202</v>
      </c>
      <c r="C165" s="893">
        <f>P120</f>
        <v>0</v>
      </c>
      <c r="D165" s="245" t="e">
        <f>O120-P120</f>
        <v>#REF!</v>
      </c>
      <c r="E165" s="883" t="e">
        <f t="shared" si="57"/>
        <v>#REF!</v>
      </c>
      <c r="F165"/>
      <c r="G165" s="1266"/>
      <c r="H165" s="897"/>
      <c r="I165" s="897"/>
      <c r="J165" s="4"/>
      <c r="L165" s="244"/>
      <c r="M165" s="919"/>
      <c r="N165" s="897"/>
    </row>
    <row r="166" spans="1:14" s="37" customFormat="1">
      <c r="A166" s="882">
        <v>9</v>
      </c>
      <c r="B166" s="244" t="s">
        <v>88</v>
      </c>
      <c r="C166" s="893">
        <f>R120</f>
        <v>0</v>
      </c>
      <c r="D166" s="245" t="e">
        <f>Q120-R120</f>
        <v>#REF!</v>
      </c>
      <c r="E166" s="883" t="e">
        <f t="shared" si="57"/>
        <v>#REF!</v>
      </c>
      <c r="F166"/>
      <c r="G166" s="1266"/>
      <c r="H166" s="897"/>
      <c r="I166" s="897"/>
      <c r="L166" s="919"/>
      <c r="M166" s="919"/>
    </row>
    <row r="167" spans="1:14" s="37" customFormat="1">
      <c r="A167" s="882">
        <v>10</v>
      </c>
      <c r="B167" s="244" t="s">
        <v>122</v>
      </c>
      <c r="C167" s="893">
        <f>T120</f>
        <v>0</v>
      </c>
      <c r="D167" s="245">
        <f>S120-T120</f>
        <v>0</v>
      </c>
      <c r="E167" s="883">
        <f t="shared" si="57"/>
        <v>0</v>
      </c>
      <c r="F167"/>
      <c r="G167" s="1266"/>
      <c r="H167" s="897"/>
      <c r="I167" s="897"/>
    </row>
    <row r="168" spans="1:14" s="37" customFormat="1">
      <c r="A168" s="882">
        <v>11</v>
      </c>
      <c r="B168" s="244" t="s">
        <v>89</v>
      </c>
      <c r="C168" s="893">
        <f>V120</f>
        <v>0</v>
      </c>
      <c r="D168" s="245" t="e">
        <f>U120-V120</f>
        <v>#REF!</v>
      </c>
      <c r="E168" s="883" t="e">
        <f t="shared" si="57"/>
        <v>#REF!</v>
      </c>
      <c r="F168"/>
      <c r="G168" s="1266"/>
      <c r="H168" s="897"/>
      <c r="I168" s="897"/>
    </row>
    <row r="169" spans="1:14" s="37" customFormat="1" ht="15.6">
      <c r="A169" s="884">
        <v>12</v>
      </c>
      <c r="B169" s="877" t="s">
        <v>90</v>
      </c>
      <c r="C169" s="894">
        <f>SUM(C158:C168)</f>
        <v>0</v>
      </c>
      <c r="D169" s="242" t="e">
        <f>SUM(D158:D168)</f>
        <v>#REF!</v>
      </c>
      <c r="E169" s="885" t="e">
        <f>SUM(E158:E168)</f>
        <v>#REF!</v>
      </c>
      <c r="F169"/>
      <c r="G169" s="1266"/>
      <c r="H169" s="897"/>
      <c r="I169" s="897"/>
    </row>
    <row r="170" spans="1:14" s="37" customFormat="1">
      <c r="A170" s="884">
        <v>13</v>
      </c>
      <c r="B170" s="247" t="s">
        <v>91</v>
      </c>
      <c r="C170" s="895"/>
      <c r="D170" s="246"/>
      <c r="E170" s="886" t="e">
        <f>W121</f>
        <v>#REF!</v>
      </c>
      <c r="F170"/>
      <c r="G170" s="1266"/>
      <c r="H170" s="897"/>
      <c r="I170" s="897"/>
    </row>
    <row r="171" spans="1:14" s="37" customFormat="1" ht="15.6">
      <c r="A171" s="887">
        <v>14</v>
      </c>
      <c r="B171" s="248" t="s">
        <v>205</v>
      </c>
      <c r="C171" s="895"/>
      <c r="D171" s="249"/>
      <c r="E171" s="888" t="e">
        <f>+E170+E169</f>
        <v>#REF!</v>
      </c>
      <c r="F171"/>
      <c r="G171" s="1266"/>
      <c r="H171" s="897"/>
      <c r="I171" s="897"/>
    </row>
    <row r="172" spans="1:14" s="37" customFormat="1">
      <c r="A172" s="887">
        <v>15</v>
      </c>
      <c r="B172" s="250" t="str">
        <f>B123</f>
        <v>Input Tax Credit (ITC)</v>
      </c>
      <c r="C172" s="895"/>
      <c r="D172" s="246"/>
      <c r="E172" s="886" t="e">
        <f>W123</f>
        <v>#REF!</v>
      </c>
      <c r="F172"/>
      <c r="G172" s="1266"/>
      <c r="H172" s="897"/>
      <c r="I172" s="897"/>
      <c r="M172" s="4"/>
    </row>
    <row r="173" spans="1:14" s="37" customFormat="1" ht="16.2" thickBot="1">
      <c r="A173" s="889">
        <v>16</v>
      </c>
      <c r="B173" s="890" t="s">
        <v>424</v>
      </c>
      <c r="C173" s="896"/>
      <c r="D173" s="891"/>
      <c r="E173" s="892" t="e">
        <f>+E171-E172</f>
        <v>#REF!</v>
      </c>
      <c r="F173" s="817"/>
      <c r="G173" s="1266"/>
      <c r="H173" s="897"/>
      <c r="I173" s="897"/>
    </row>
    <row r="174" spans="1:14" s="37" customFormat="1">
      <c r="A174" s="4"/>
      <c r="B174" s="4"/>
      <c r="C174" s="4"/>
      <c r="D174" s="4"/>
    </row>
    <row r="175" spans="1:14" s="37" customFormat="1">
      <c r="I175" s="1082"/>
    </row>
    <row r="176" spans="1:14" s="37" customFormat="1">
      <c r="E176" s="1082"/>
    </row>
  </sheetData>
  <mergeCells count="47">
    <mergeCell ref="A150:E151"/>
    <mergeCell ref="A152:E152"/>
    <mergeCell ref="A153:E153"/>
    <mergeCell ref="C138:F138"/>
    <mergeCell ref="G138:H138"/>
    <mergeCell ref="C139:F139"/>
    <mergeCell ref="G139:H139"/>
    <mergeCell ref="A148:E148"/>
    <mergeCell ref="A149:E149"/>
    <mergeCell ref="G137:H137"/>
    <mergeCell ref="C111:D111"/>
    <mergeCell ref="B115:G115"/>
    <mergeCell ref="B129:B131"/>
    <mergeCell ref="C129:C131"/>
    <mergeCell ref="D129:D131"/>
    <mergeCell ref="E129:E131"/>
    <mergeCell ref="F129:F131"/>
    <mergeCell ref="G129:H131"/>
    <mergeCell ref="G132:H132"/>
    <mergeCell ref="G133:H133"/>
    <mergeCell ref="G134:H134"/>
    <mergeCell ref="G135:H135"/>
    <mergeCell ref="G136:H136"/>
    <mergeCell ref="K107:R107"/>
    <mergeCell ref="AK11:AL11"/>
    <mergeCell ref="AM11:AN11"/>
    <mergeCell ref="AO11:AP11"/>
    <mergeCell ref="AQ11:AR11"/>
    <mergeCell ref="N11:O11"/>
    <mergeCell ref="V37:Y37"/>
    <mergeCell ref="X38:Y38"/>
    <mergeCell ref="K103:R103"/>
    <mergeCell ref="K104:R104"/>
    <mergeCell ref="J105:S105"/>
    <mergeCell ref="AS11:AU11"/>
    <mergeCell ref="V12:X12"/>
    <mergeCell ref="P11:Q11"/>
    <mergeCell ref="R11:U11"/>
    <mergeCell ref="V11:Y11"/>
    <mergeCell ref="Z11:AB11"/>
    <mergeCell ref="AC11:AG11"/>
    <mergeCell ref="AH11:AJ11"/>
    <mergeCell ref="E1:K1"/>
    <mergeCell ref="E2:K2"/>
    <mergeCell ref="C3:M3"/>
    <mergeCell ref="E5:K5"/>
    <mergeCell ref="L11:M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C315"/>
  <sheetViews>
    <sheetView showZeros="0" topLeftCell="A4" zoomScale="83" zoomScaleNormal="83" workbookViewId="0">
      <selection activeCell="G97" sqref="G97"/>
    </sheetView>
  </sheetViews>
  <sheetFormatPr defaultRowHeight="15"/>
  <cols>
    <col min="1" max="1" width="4.54296875" style="1265" customWidth="1"/>
    <col min="2" max="2" width="36.81640625" style="253" customWidth="1"/>
    <col min="3" max="3" width="9.90625" style="1246" customWidth="1"/>
    <col min="4" max="4" width="11.6328125" style="1366" customWidth="1"/>
    <col min="5" max="5" width="13.36328125" style="1367" customWidth="1"/>
    <col min="6" max="6" width="13.1796875" style="1367" customWidth="1"/>
    <col min="7" max="7" width="46.1796875" style="1142" customWidth="1"/>
    <col min="8" max="8" width="17.81640625" style="1142" hidden="1" customWidth="1"/>
    <col min="9" max="9" width="35.81640625" style="1142" customWidth="1"/>
    <col min="10" max="10" width="15.81640625" style="578" customWidth="1"/>
    <col min="11" max="11" width="12.6328125" style="253" customWidth="1"/>
    <col min="12" max="12" width="13.90625" style="253" customWidth="1"/>
    <col min="13" max="13" width="13.453125" style="254" customWidth="1"/>
    <col min="14" max="14" width="11.81640625" style="253" customWidth="1"/>
    <col min="15" max="15" width="13" style="253" customWidth="1"/>
    <col min="16" max="16" width="12" style="253" bestFit="1" customWidth="1"/>
    <col min="17" max="17" width="13.08984375" style="253" customWidth="1"/>
    <col min="18" max="18" width="11.6328125" style="253" customWidth="1"/>
    <col min="19" max="20" width="8.90625" style="253"/>
    <col min="21" max="21" width="12.08984375" style="253" customWidth="1"/>
    <col min="22" max="22" width="11.6328125" style="253" customWidth="1"/>
    <col min="23" max="25" width="8.90625" style="253"/>
    <col min="26" max="26" width="10.81640625" style="253" customWidth="1"/>
    <col min="27" max="28" width="8.90625" style="253"/>
    <col min="29" max="29" width="13.90625" style="253" customWidth="1"/>
    <col min="30" max="30" width="10.6328125" style="253" customWidth="1"/>
    <col min="31" max="33" width="8.90625" style="253"/>
    <col min="34" max="34" width="12" style="253" customWidth="1"/>
    <col min="35" max="36" width="8.90625" style="253"/>
    <col min="37" max="37" width="9.81640625" style="253" customWidth="1"/>
    <col min="38" max="38" width="10.6328125" style="253" customWidth="1"/>
    <col min="39" max="44" width="8.90625" style="253"/>
    <col min="45" max="45" width="9.36328125" style="253" bestFit="1" customWidth="1"/>
    <col min="46" max="46" width="9.1796875" style="253" bestFit="1" customWidth="1"/>
    <col min="47" max="47" width="9.08984375" style="253" bestFit="1" customWidth="1"/>
    <col min="48" max="258" width="8.90625" style="253"/>
    <col min="259" max="259" width="7.54296875" style="253" customWidth="1"/>
    <col min="260" max="260" width="43" style="253" customWidth="1"/>
    <col min="261" max="261" width="10.453125" style="253" customWidth="1"/>
    <col min="262" max="262" width="11.6328125" style="253" customWidth="1"/>
    <col min="263" max="263" width="11.1796875" style="253" customWidth="1"/>
    <col min="264" max="264" width="11.08984375" style="253" customWidth="1"/>
    <col min="265" max="265" width="9.90625" style="253" customWidth="1"/>
    <col min="266" max="266" width="12.1796875" style="253" customWidth="1"/>
    <col min="267" max="267" width="11.36328125" style="253" customWidth="1"/>
    <col min="268" max="268" width="10" style="253" customWidth="1"/>
    <col min="269" max="269" width="41" style="253" customWidth="1"/>
    <col min="270" max="270" width="11.81640625" style="253" customWidth="1"/>
    <col min="271" max="271" width="13" style="253" customWidth="1"/>
    <col min="272" max="272" width="12" style="253" bestFit="1" customWidth="1"/>
    <col min="273" max="273" width="13.08984375" style="253" customWidth="1"/>
    <col min="274" max="274" width="11.6328125" style="253" customWidth="1"/>
    <col min="275" max="276" width="8.90625" style="253"/>
    <col min="277" max="277" width="12.08984375" style="253" customWidth="1"/>
    <col min="278" max="278" width="11.6328125" style="253" customWidth="1"/>
    <col min="279" max="281" width="8.90625" style="253"/>
    <col min="282" max="282" width="10.81640625" style="253" customWidth="1"/>
    <col min="283" max="284" width="8.90625" style="253"/>
    <col min="285" max="285" width="13.90625" style="253" customWidth="1"/>
    <col min="286" max="286" width="10.6328125" style="253" customWidth="1"/>
    <col min="287" max="289" width="8.90625" style="253"/>
    <col min="290" max="290" width="12" style="253" customWidth="1"/>
    <col min="291" max="292" width="8.90625" style="253"/>
    <col min="293" max="293" width="9.81640625" style="253" customWidth="1"/>
    <col min="294" max="294" width="10.6328125" style="253" customWidth="1"/>
    <col min="295" max="300" width="8.90625" style="253"/>
    <col min="301" max="301" width="9.36328125" style="253" bestFit="1" customWidth="1"/>
    <col min="302" max="302" width="9.1796875" style="253" bestFit="1" customWidth="1"/>
    <col min="303" max="303" width="9.08984375" style="253" bestFit="1" customWidth="1"/>
    <col min="304" max="514" width="8.90625" style="253"/>
    <col min="515" max="515" width="7.54296875" style="253" customWidth="1"/>
    <col min="516" max="516" width="43" style="253" customWidth="1"/>
    <col min="517" max="517" width="10.453125" style="253" customWidth="1"/>
    <col min="518" max="518" width="11.6328125" style="253" customWidth="1"/>
    <col min="519" max="519" width="11.1796875" style="253" customWidth="1"/>
    <col min="520" max="520" width="11.08984375" style="253" customWidth="1"/>
    <col min="521" max="521" width="9.90625" style="253" customWidth="1"/>
    <col min="522" max="522" width="12.1796875" style="253" customWidth="1"/>
    <col min="523" max="523" width="11.36328125" style="253" customWidth="1"/>
    <col min="524" max="524" width="10" style="253" customWidth="1"/>
    <col min="525" max="525" width="41" style="253" customWidth="1"/>
    <col min="526" max="526" width="11.81640625" style="253" customWidth="1"/>
    <col min="527" max="527" width="13" style="253" customWidth="1"/>
    <col min="528" max="528" width="12" style="253" bestFit="1" customWidth="1"/>
    <col min="529" max="529" width="13.08984375" style="253" customWidth="1"/>
    <col min="530" max="530" width="11.6328125" style="253" customWidth="1"/>
    <col min="531" max="532" width="8.90625" style="253"/>
    <col min="533" max="533" width="12.08984375" style="253" customWidth="1"/>
    <col min="534" max="534" width="11.6328125" style="253" customWidth="1"/>
    <col min="535" max="537" width="8.90625" style="253"/>
    <col min="538" max="538" width="10.81640625" style="253" customWidth="1"/>
    <col min="539" max="540" width="8.90625" style="253"/>
    <col min="541" max="541" width="13.90625" style="253" customWidth="1"/>
    <col min="542" max="542" width="10.6328125" style="253" customWidth="1"/>
    <col min="543" max="545" width="8.90625" style="253"/>
    <col min="546" max="546" width="12" style="253" customWidth="1"/>
    <col min="547" max="548" width="8.90625" style="253"/>
    <col min="549" max="549" width="9.81640625" style="253" customWidth="1"/>
    <col min="550" max="550" width="10.6328125" style="253" customWidth="1"/>
    <col min="551" max="556" width="8.90625" style="253"/>
    <col min="557" max="557" width="9.36328125" style="253" bestFit="1" customWidth="1"/>
    <col min="558" max="558" width="9.1796875" style="253" bestFit="1" customWidth="1"/>
    <col min="559" max="559" width="9.08984375" style="253" bestFit="1" customWidth="1"/>
    <col min="560" max="770" width="8.90625" style="253"/>
    <col min="771" max="771" width="7.54296875" style="253" customWidth="1"/>
    <col min="772" max="772" width="43" style="253" customWidth="1"/>
    <col min="773" max="773" width="10.453125" style="253" customWidth="1"/>
    <col min="774" max="774" width="11.6328125" style="253" customWidth="1"/>
    <col min="775" max="775" width="11.1796875" style="253" customWidth="1"/>
    <col min="776" max="776" width="11.08984375" style="253" customWidth="1"/>
    <col min="777" max="777" width="9.90625" style="253" customWidth="1"/>
    <col min="778" max="778" width="12.1796875" style="253" customWidth="1"/>
    <col min="779" max="779" width="11.36328125" style="253" customWidth="1"/>
    <col min="780" max="780" width="10" style="253" customWidth="1"/>
    <col min="781" max="781" width="41" style="253" customWidth="1"/>
    <col min="782" max="782" width="11.81640625" style="253" customWidth="1"/>
    <col min="783" max="783" width="13" style="253" customWidth="1"/>
    <col min="784" max="784" width="12" style="253" bestFit="1" customWidth="1"/>
    <col min="785" max="785" width="13.08984375" style="253" customWidth="1"/>
    <col min="786" max="786" width="11.6328125" style="253" customWidth="1"/>
    <col min="787" max="788" width="8.90625" style="253"/>
    <col min="789" max="789" width="12.08984375" style="253" customWidth="1"/>
    <col min="790" max="790" width="11.6328125" style="253" customWidth="1"/>
    <col min="791" max="793" width="8.90625" style="253"/>
    <col min="794" max="794" width="10.81640625" style="253" customWidth="1"/>
    <col min="795" max="796" width="8.90625" style="253"/>
    <col min="797" max="797" width="13.90625" style="253" customWidth="1"/>
    <col min="798" max="798" width="10.6328125" style="253" customWidth="1"/>
    <col min="799" max="801" width="8.90625" style="253"/>
    <col min="802" max="802" width="12" style="253" customWidth="1"/>
    <col min="803" max="804" width="8.90625" style="253"/>
    <col min="805" max="805" width="9.81640625" style="253" customWidth="1"/>
    <col min="806" max="806" width="10.6328125" style="253" customWidth="1"/>
    <col min="807" max="812" width="8.90625" style="253"/>
    <col min="813" max="813" width="9.36328125" style="253" bestFit="1" customWidth="1"/>
    <col min="814" max="814" width="9.1796875" style="253" bestFit="1" customWidth="1"/>
    <col min="815" max="815" width="9.08984375" style="253" bestFit="1" customWidth="1"/>
    <col min="816" max="1026" width="8.90625" style="253"/>
    <col min="1027" max="1027" width="7.54296875" style="253" customWidth="1"/>
    <col min="1028" max="1028" width="43" style="253" customWidth="1"/>
    <col min="1029" max="1029" width="10.453125" style="253" customWidth="1"/>
    <col min="1030" max="1030" width="11.6328125" style="253" customWidth="1"/>
    <col min="1031" max="1031" width="11.1796875" style="253" customWidth="1"/>
    <col min="1032" max="1032" width="11.08984375" style="253" customWidth="1"/>
    <col min="1033" max="1033" width="9.90625" style="253" customWidth="1"/>
    <col min="1034" max="1034" width="12.1796875" style="253" customWidth="1"/>
    <col min="1035" max="1035" width="11.36328125" style="253" customWidth="1"/>
    <col min="1036" max="1036" width="10" style="253" customWidth="1"/>
    <col min="1037" max="1037" width="41" style="253" customWidth="1"/>
    <col min="1038" max="1038" width="11.81640625" style="253" customWidth="1"/>
    <col min="1039" max="1039" width="13" style="253" customWidth="1"/>
    <col min="1040" max="1040" width="12" style="253" bestFit="1" customWidth="1"/>
    <col min="1041" max="1041" width="13.08984375" style="253" customWidth="1"/>
    <col min="1042" max="1042" width="11.6328125" style="253" customWidth="1"/>
    <col min="1043" max="1044" width="8.90625" style="253"/>
    <col min="1045" max="1045" width="12.08984375" style="253" customWidth="1"/>
    <col min="1046" max="1046" width="11.6328125" style="253" customWidth="1"/>
    <col min="1047" max="1049" width="8.90625" style="253"/>
    <col min="1050" max="1050" width="10.81640625" style="253" customWidth="1"/>
    <col min="1051" max="1052" width="8.90625" style="253"/>
    <col min="1053" max="1053" width="13.90625" style="253" customWidth="1"/>
    <col min="1054" max="1054" width="10.6328125" style="253" customWidth="1"/>
    <col min="1055" max="1057" width="8.90625" style="253"/>
    <col min="1058" max="1058" width="12" style="253" customWidth="1"/>
    <col min="1059" max="1060" width="8.90625" style="253"/>
    <col min="1061" max="1061" width="9.81640625" style="253" customWidth="1"/>
    <col min="1062" max="1062" width="10.6328125" style="253" customWidth="1"/>
    <col min="1063" max="1068" width="8.90625" style="253"/>
    <col min="1069" max="1069" width="9.36328125" style="253" bestFit="1" customWidth="1"/>
    <col min="1070" max="1070" width="9.1796875" style="253" bestFit="1" customWidth="1"/>
    <col min="1071" max="1071" width="9.08984375" style="253" bestFit="1" customWidth="1"/>
    <col min="1072" max="1282" width="8.90625" style="253"/>
    <col min="1283" max="1283" width="7.54296875" style="253" customWidth="1"/>
    <col min="1284" max="1284" width="43" style="253" customWidth="1"/>
    <col min="1285" max="1285" width="10.453125" style="253" customWidth="1"/>
    <col min="1286" max="1286" width="11.6328125" style="253" customWidth="1"/>
    <col min="1287" max="1287" width="11.1796875" style="253" customWidth="1"/>
    <col min="1288" max="1288" width="11.08984375" style="253" customWidth="1"/>
    <col min="1289" max="1289" width="9.90625" style="253" customWidth="1"/>
    <col min="1290" max="1290" width="12.1796875" style="253" customWidth="1"/>
    <col min="1291" max="1291" width="11.36328125" style="253" customWidth="1"/>
    <col min="1292" max="1292" width="10" style="253" customWidth="1"/>
    <col min="1293" max="1293" width="41" style="253" customWidth="1"/>
    <col min="1294" max="1294" width="11.81640625" style="253" customWidth="1"/>
    <col min="1295" max="1295" width="13" style="253" customWidth="1"/>
    <col min="1296" max="1296" width="12" style="253" bestFit="1" customWidth="1"/>
    <col min="1297" max="1297" width="13.08984375" style="253" customWidth="1"/>
    <col min="1298" max="1298" width="11.6328125" style="253" customWidth="1"/>
    <col min="1299" max="1300" width="8.90625" style="253"/>
    <col min="1301" max="1301" width="12.08984375" style="253" customWidth="1"/>
    <col min="1302" max="1302" width="11.6328125" style="253" customWidth="1"/>
    <col min="1303" max="1305" width="8.90625" style="253"/>
    <col min="1306" max="1306" width="10.81640625" style="253" customWidth="1"/>
    <col min="1307" max="1308" width="8.90625" style="253"/>
    <col min="1309" max="1309" width="13.90625" style="253" customWidth="1"/>
    <col min="1310" max="1310" width="10.6328125" style="253" customWidth="1"/>
    <col min="1311" max="1313" width="8.90625" style="253"/>
    <col min="1314" max="1314" width="12" style="253" customWidth="1"/>
    <col min="1315" max="1316" width="8.90625" style="253"/>
    <col min="1317" max="1317" width="9.81640625" style="253" customWidth="1"/>
    <col min="1318" max="1318" width="10.6328125" style="253" customWidth="1"/>
    <col min="1319" max="1324" width="8.90625" style="253"/>
    <col min="1325" max="1325" width="9.36328125" style="253" bestFit="1" customWidth="1"/>
    <col min="1326" max="1326" width="9.1796875" style="253" bestFit="1" customWidth="1"/>
    <col min="1327" max="1327" width="9.08984375" style="253" bestFit="1" customWidth="1"/>
    <col min="1328" max="1538" width="8.90625" style="253"/>
    <col min="1539" max="1539" width="7.54296875" style="253" customWidth="1"/>
    <col min="1540" max="1540" width="43" style="253" customWidth="1"/>
    <col min="1541" max="1541" width="10.453125" style="253" customWidth="1"/>
    <col min="1542" max="1542" width="11.6328125" style="253" customWidth="1"/>
    <col min="1543" max="1543" width="11.1796875" style="253" customWidth="1"/>
    <col min="1544" max="1544" width="11.08984375" style="253" customWidth="1"/>
    <col min="1545" max="1545" width="9.90625" style="253" customWidth="1"/>
    <col min="1546" max="1546" width="12.1796875" style="253" customWidth="1"/>
    <col min="1547" max="1547" width="11.36328125" style="253" customWidth="1"/>
    <col min="1548" max="1548" width="10" style="253" customWidth="1"/>
    <col min="1549" max="1549" width="41" style="253" customWidth="1"/>
    <col min="1550" max="1550" width="11.81640625" style="253" customWidth="1"/>
    <col min="1551" max="1551" width="13" style="253" customWidth="1"/>
    <col min="1552" max="1552" width="12" style="253" bestFit="1" customWidth="1"/>
    <col min="1553" max="1553" width="13.08984375" style="253" customWidth="1"/>
    <col min="1554" max="1554" width="11.6328125" style="253" customWidth="1"/>
    <col min="1555" max="1556" width="8.90625" style="253"/>
    <col min="1557" max="1557" width="12.08984375" style="253" customWidth="1"/>
    <col min="1558" max="1558" width="11.6328125" style="253" customWidth="1"/>
    <col min="1559" max="1561" width="8.90625" style="253"/>
    <col min="1562" max="1562" width="10.81640625" style="253" customWidth="1"/>
    <col min="1563" max="1564" width="8.90625" style="253"/>
    <col min="1565" max="1565" width="13.90625" style="253" customWidth="1"/>
    <col min="1566" max="1566" width="10.6328125" style="253" customWidth="1"/>
    <col min="1567" max="1569" width="8.90625" style="253"/>
    <col min="1570" max="1570" width="12" style="253" customWidth="1"/>
    <col min="1571" max="1572" width="8.90625" style="253"/>
    <col min="1573" max="1573" width="9.81640625" style="253" customWidth="1"/>
    <col min="1574" max="1574" width="10.6328125" style="253" customWidth="1"/>
    <col min="1575" max="1580" width="8.90625" style="253"/>
    <col min="1581" max="1581" width="9.36328125" style="253" bestFit="1" customWidth="1"/>
    <col min="1582" max="1582" width="9.1796875" style="253" bestFit="1" customWidth="1"/>
    <col min="1583" max="1583" width="9.08984375" style="253" bestFit="1" customWidth="1"/>
    <col min="1584" max="1794" width="8.90625" style="253"/>
    <col min="1795" max="1795" width="7.54296875" style="253" customWidth="1"/>
    <col min="1796" max="1796" width="43" style="253" customWidth="1"/>
    <col min="1797" max="1797" width="10.453125" style="253" customWidth="1"/>
    <col min="1798" max="1798" width="11.6328125" style="253" customWidth="1"/>
    <col min="1799" max="1799" width="11.1796875" style="253" customWidth="1"/>
    <col min="1800" max="1800" width="11.08984375" style="253" customWidth="1"/>
    <col min="1801" max="1801" width="9.90625" style="253" customWidth="1"/>
    <col min="1802" max="1802" width="12.1796875" style="253" customWidth="1"/>
    <col min="1803" max="1803" width="11.36328125" style="253" customWidth="1"/>
    <col min="1804" max="1804" width="10" style="253" customWidth="1"/>
    <col min="1805" max="1805" width="41" style="253" customWidth="1"/>
    <col min="1806" max="1806" width="11.81640625" style="253" customWidth="1"/>
    <col min="1807" max="1807" width="13" style="253" customWidth="1"/>
    <col min="1808" max="1808" width="12" style="253" bestFit="1" customWidth="1"/>
    <col min="1809" max="1809" width="13.08984375" style="253" customWidth="1"/>
    <col min="1810" max="1810" width="11.6328125" style="253" customWidth="1"/>
    <col min="1811" max="1812" width="8.90625" style="253"/>
    <col min="1813" max="1813" width="12.08984375" style="253" customWidth="1"/>
    <col min="1814" max="1814" width="11.6328125" style="253" customWidth="1"/>
    <col min="1815" max="1817" width="8.90625" style="253"/>
    <col min="1818" max="1818" width="10.81640625" style="253" customWidth="1"/>
    <col min="1819" max="1820" width="8.90625" style="253"/>
    <col min="1821" max="1821" width="13.90625" style="253" customWidth="1"/>
    <col min="1822" max="1822" width="10.6328125" style="253" customWidth="1"/>
    <col min="1823" max="1825" width="8.90625" style="253"/>
    <col min="1826" max="1826" width="12" style="253" customWidth="1"/>
    <col min="1827" max="1828" width="8.90625" style="253"/>
    <col min="1829" max="1829" width="9.81640625" style="253" customWidth="1"/>
    <col min="1830" max="1830" width="10.6328125" style="253" customWidth="1"/>
    <col min="1831" max="1836" width="8.90625" style="253"/>
    <col min="1837" max="1837" width="9.36328125" style="253" bestFit="1" customWidth="1"/>
    <col min="1838" max="1838" width="9.1796875" style="253" bestFit="1" customWidth="1"/>
    <col min="1839" max="1839" width="9.08984375" style="253" bestFit="1" customWidth="1"/>
    <col min="1840" max="2050" width="8.90625" style="253"/>
    <col min="2051" max="2051" width="7.54296875" style="253" customWidth="1"/>
    <col min="2052" max="2052" width="43" style="253" customWidth="1"/>
    <col min="2053" max="2053" width="10.453125" style="253" customWidth="1"/>
    <col min="2054" max="2054" width="11.6328125" style="253" customWidth="1"/>
    <col min="2055" max="2055" width="11.1796875" style="253" customWidth="1"/>
    <col min="2056" max="2056" width="11.08984375" style="253" customWidth="1"/>
    <col min="2057" max="2057" width="9.90625" style="253" customWidth="1"/>
    <col min="2058" max="2058" width="12.1796875" style="253" customWidth="1"/>
    <col min="2059" max="2059" width="11.36328125" style="253" customWidth="1"/>
    <col min="2060" max="2060" width="10" style="253" customWidth="1"/>
    <col min="2061" max="2061" width="41" style="253" customWidth="1"/>
    <col min="2062" max="2062" width="11.81640625" style="253" customWidth="1"/>
    <col min="2063" max="2063" width="13" style="253" customWidth="1"/>
    <col min="2064" max="2064" width="12" style="253" bestFit="1" customWidth="1"/>
    <col min="2065" max="2065" width="13.08984375" style="253" customWidth="1"/>
    <col min="2066" max="2066" width="11.6328125" style="253" customWidth="1"/>
    <col min="2067" max="2068" width="8.90625" style="253"/>
    <col min="2069" max="2069" width="12.08984375" style="253" customWidth="1"/>
    <col min="2070" max="2070" width="11.6328125" style="253" customWidth="1"/>
    <col min="2071" max="2073" width="8.90625" style="253"/>
    <col min="2074" max="2074" width="10.81640625" style="253" customWidth="1"/>
    <col min="2075" max="2076" width="8.90625" style="253"/>
    <col min="2077" max="2077" width="13.90625" style="253" customWidth="1"/>
    <col min="2078" max="2078" width="10.6328125" style="253" customWidth="1"/>
    <col min="2079" max="2081" width="8.90625" style="253"/>
    <col min="2082" max="2082" width="12" style="253" customWidth="1"/>
    <col min="2083" max="2084" width="8.90625" style="253"/>
    <col min="2085" max="2085" width="9.81640625" style="253" customWidth="1"/>
    <col min="2086" max="2086" width="10.6328125" style="253" customWidth="1"/>
    <col min="2087" max="2092" width="8.90625" style="253"/>
    <col min="2093" max="2093" width="9.36328125" style="253" bestFit="1" customWidth="1"/>
    <col min="2094" max="2094" width="9.1796875" style="253" bestFit="1" customWidth="1"/>
    <col min="2095" max="2095" width="9.08984375" style="253" bestFit="1" customWidth="1"/>
    <col min="2096" max="2306" width="8.90625" style="253"/>
    <col min="2307" max="2307" width="7.54296875" style="253" customWidth="1"/>
    <col min="2308" max="2308" width="43" style="253" customWidth="1"/>
    <col min="2309" max="2309" width="10.453125" style="253" customWidth="1"/>
    <col min="2310" max="2310" width="11.6328125" style="253" customWidth="1"/>
    <col min="2311" max="2311" width="11.1796875" style="253" customWidth="1"/>
    <col min="2312" max="2312" width="11.08984375" style="253" customWidth="1"/>
    <col min="2313" max="2313" width="9.90625" style="253" customWidth="1"/>
    <col min="2314" max="2314" width="12.1796875" style="253" customWidth="1"/>
    <col min="2315" max="2315" width="11.36328125" style="253" customWidth="1"/>
    <col min="2316" max="2316" width="10" style="253" customWidth="1"/>
    <col min="2317" max="2317" width="41" style="253" customWidth="1"/>
    <col min="2318" max="2318" width="11.81640625" style="253" customWidth="1"/>
    <col min="2319" max="2319" width="13" style="253" customWidth="1"/>
    <col min="2320" max="2320" width="12" style="253" bestFit="1" customWidth="1"/>
    <col min="2321" max="2321" width="13.08984375" style="253" customWidth="1"/>
    <col min="2322" max="2322" width="11.6328125" style="253" customWidth="1"/>
    <col min="2323" max="2324" width="8.90625" style="253"/>
    <col min="2325" max="2325" width="12.08984375" style="253" customWidth="1"/>
    <col min="2326" max="2326" width="11.6328125" style="253" customWidth="1"/>
    <col min="2327" max="2329" width="8.90625" style="253"/>
    <col min="2330" max="2330" width="10.81640625" style="253" customWidth="1"/>
    <col min="2331" max="2332" width="8.90625" style="253"/>
    <col min="2333" max="2333" width="13.90625" style="253" customWidth="1"/>
    <col min="2334" max="2334" width="10.6328125" style="253" customWidth="1"/>
    <col min="2335" max="2337" width="8.90625" style="253"/>
    <col min="2338" max="2338" width="12" style="253" customWidth="1"/>
    <col min="2339" max="2340" width="8.90625" style="253"/>
    <col min="2341" max="2341" width="9.81640625" style="253" customWidth="1"/>
    <col min="2342" max="2342" width="10.6328125" style="253" customWidth="1"/>
    <col min="2343" max="2348" width="8.90625" style="253"/>
    <col min="2349" max="2349" width="9.36328125" style="253" bestFit="1" customWidth="1"/>
    <col min="2350" max="2350" width="9.1796875" style="253" bestFit="1" customWidth="1"/>
    <col min="2351" max="2351" width="9.08984375" style="253" bestFit="1" customWidth="1"/>
    <col min="2352" max="2562" width="8.90625" style="253"/>
    <col min="2563" max="2563" width="7.54296875" style="253" customWidth="1"/>
    <col min="2564" max="2564" width="43" style="253" customWidth="1"/>
    <col min="2565" max="2565" width="10.453125" style="253" customWidth="1"/>
    <col min="2566" max="2566" width="11.6328125" style="253" customWidth="1"/>
    <col min="2567" max="2567" width="11.1796875" style="253" customWidth="1"/>
    <col min="2568" max="2568" width="11.08984375" style="253" customWidth="1"/>
    <col min="2569" max="2569" width="9.90625" style="253" customWidth="1"/>
    <col min="2570" max="2570" width="12.1796875" style="253" customWidth="1"/>
    <col min="2571" max="2571" width="11.36328125" style="253" customWidth="1"/>
    <col min="2572" max="2572" width="10" style="253" customWidth="1"/>
    <col min="2573" max="2573" width="41" style="253" customWidth="1"/>
    <col min="2574" max="2574" width="11.81640625" style="253" customWidth="1"/>
    <col min="2575" max="2575" width="13" style="253" customWidth="1"/>
    <col min="2576" max="2576" width="12" style="253" bestFit="1" customWidth="1"/>
    <col min="2577" max="2577" width="13.08984375" style="253" customWidth="1"/>
    <col min="2578" max="2578" width="11.6328125" style="253" customWidth="1"/>
    <col min="2579" max="2580" width="8.90625" style="253"/>
    <col min="2581" max="2581" width="12.08984375" style="253" customWidth="1"/>
    <col min="2582" max="2582" width="11.6328125" style="253" customWidth="1"/>
    <col min="2583" max="2585" width="8.90625" style="253"/>
    <col min="2586" max="2586" width="10.81640625" style="253" customWidth="1"/>
    <col min="2587" max="2588" width="8.90625" style="253"/>
    <col min="2589" max="2589" width="13.90625" style="253" customWidth="1"/>
    <col min="2590" max="2590" width="10.6328125" style="253" customWidth="1"/>
    <col min="2591" max="2593" width="8.90625" style="253"/>
    <col min="2594" max="2594" width="12" style="253" customWidth="1"/>
    <col min="2595" max="2596" width="8.90625" style="253"/>
    <col min="2597" max="2597" width="9.81640625" style="253" customWidth="1"/>
    <col min="2598" max="2598" width="10.6328125" style="253" customWidth="1"/>
    <col min="2599" max="2604" width="8.90625" style="253"/>
    <col min="2605" max="2605" width="9.36328125" style="253" bestFit="1" customWidth="1"/>
    <col min="2606" max="2606" width="9.1796875" style="253" bestFit="1" customWidth="1"/>
    <col min="2607" max="2607" width="9.08984375" style="253" bestFit="1" customWidth="1"/>
    <col min="2608" max="2818" width="8.90625" style="253"/>
    <col min="2819" max="2819" width="7.54296875" style="253" customWidth="1"/>
    <col min="2820" max="2820" width="43" style="253" customWidth="1"/>
    <col min="2821" max="2821" width="10.453125" style="253" customWidth="1"/>
    <col min="2822" max="2822" width="11.6328125" style="253" customWidth="1"/>
    <col min="2823" max="2823" width="11.1796875" style="253" customWidth="1"/>
    <col min="2824" max="2824" width="11.08984375" style="253" customWidth="1"/>
    <col min="2825" max="2825" width="9.90625" style="253" customWidth="1"/>
    <col min="2826" max="2826" width="12.1796875" style="253" customWidth="1"/>
    <col min="2827" max="2827" width="11.36328125" style="253" customWidth="1"/>
    <col min="2828" max="2828" width="10" style="253" customWidth="1"/>
    <col min="2829" max="2829" width="41" style="253" customWidth="1"/>
    <col min="2830" max="2830" width="11.81640625" style="253" customWidth="1"/>
    <col min="2831" max="2831" width="13" style="253" customWidth="1"/>
    <col min="2832" max="2832" width="12" style="253" bestFit="1" customWidth="1"/>
    <col min="2833" max="2833" width="13.08984375" style="253" customWidth="1"/>
    <col min="2834" max="2834" width="11.6328125" style="253" customWidth="1"/>
    <col min="2835" max="2836" width="8.90625" style="253"/>
    <col min="2837" max="2837" width="12.08984375" style="253" customWidth="1"/>
    <col min="2838" max="2838" width="11.6328125" style="253" customWidth="1"/>
    <col min="2839" max="2841" width="8.90625" style="253"/>
    <col min="2842" max="2842" width="10.81640625" style="253" customWidth="1"/>
    <col min="2843" max="2844" width="8.90625" style="253"/>
    <col min="2845" max="2845" width="13.90625" style="253" customWidth="1"/>
    <col min="2846" max="2846" width="10.6328125" style="253" customWidth="1"/>
    <col min="2847" max="2849" width="8.90625" style="253"/>
    <col min="2850" max="2850" width="12" style="253" customWidth="1"/>
    <col min="2851" max="2852" width="8.90625" style="253"/>
    <col min="2853" max="2853" width="9.81640625" style="253" customWidth="1"/>
    <col min="2854" max="2854" width="10.6328125" style="253" customWidth="1"/>
    <col min="2855" max="2860" width="8.90625" style="253"/>
    <col min="2861" max="2861" width="9.36328125" style="253" bestFit="1" customWidth="1"/>
    <col min="2862" max="2862" width="9.1796875" style="253" bestFit="1" customWidth="1"/>
    <col min="2863" max="2863" width="9.08984375" style="253" bestFit="1" customWidth="1"/>
    <col min="2864" max="3074" width="8.90625" style="253"/>
    <col min="3075" max="3075" width="7.54296875" style="253" customWidth="1"/>
    <col min="3076" max="3076" width="43" style="253" customWidth="1"/>
    <col min="3077" max="3077" width="10.453125" style="253" customWidth="1"/>
    <col min="3078" max="3078" width="11.6328125" style="253" customWidth="1"/>
    <col min="3079" max="3079" width="11.1796875" style="253" customWidth="1"/>
    <col min="3080" max="3080" width="11.08984375" style="253" customWidth="1"/>
    <col min="3081" max="3081" width="9.90625" style="253" customWidth="1"/>
    <col min="3082" max="3082" width="12.1796875" style="253" customWidth="1"/>
    <col min="3083" max="3083" width="11.36328125" style="253" customWidth="1"/>
    <col min="3084" max="3084" width="10" style="253" customWidth="1"/>
    <col min="3085" max="3085" width="41" style="253" customWidth="1"/>
    <col min="3086" max="3086" width="11.81640625" style="253" customWidth="1"/>
    <col min="3087" max="3087" width="13" style="253" customWidth="1"/>
    <col min="3088" max="3088" width="12" style="253" bestFit="1" customWidth="1"/>
    <col min="3089" max="3089" width="13.08984375" style="253" customWidth="1"/>
    <col min="3090" max="3090" width="11.6328125" style="253" customWidth="1"/>
    <col min="3091" max="3092" width="8.90625" style="253"/>
    <col min="3093" max="3093" width="12.08984375" style="253" customWidth="1"/>
    <col min="3094" max="3094" width="11.6328125" style="253" customWidth="1"/>
    <col min="3095" max="3097" width="8.90625" style="253"/>
    <col min="3098" max="3098" width="10.81640625" style="253" customWidth="1"/>
    <col min="3099" max="3100" width="8.90625" style="253"/>
    <col min="3101" max="3101" width="13.90625" style="253" customWidth="1"/>
    <col min="3102" max="3102" width="10.6328125" style="253" customWidth="1"/>
    <col min="3103" max="3105" width="8.90625" style="253"/>
    <col min="3106" max="3106" width="12" style="253" customWidth="1"/>
    <col min="3107" max="3108" width="8.90625" style="253"/>
    <col min="3109" max="3109" width="9.81640625" style="253" customWidth="1"/>
    <col min="3110" max="3110" width="10.6328125" style="253" customWidth="1"/>
    <col min="3111" max="3116" width="8.90625" style="253"/>
    <col min="3117" max="3117" width="9.36328125" style="253" bestFit="1" customWidth="1"/>
    <col min="3118" max="3118" width="9.1796875" style="253" bestFit="1" customWidth="1"/>
    <col min="3119" max="3119" width="9.08984375" style="253" bestFit="1" customWidth="1"/>
    <col min="3120" max="3330" width="8.90625" style="253"/>
    <col min="3331" max="3331" width="7.54296875" style="253" customWidth="1"/>
    <col min="3332" max="3332" width="43" style="253" customWidth="1"/>
    <col min="3333" max="3333" width="10.453125" style="253" customWidth="1"/>
    <col min="3334" max="3334" width="11.6328125" style="253" customWidth="1"/>
    <col min="3335" max="3335" width="11.1796875" style="253" customWidth="1"/>
    <col min="3336" max="3336" width="11.08984375" style="253" customWidth="1"/>
    <col min="3337" max="3337" width="9.90625" style="253" customWidth="1"/>
    <col min="3338" max="3338" width="12.1796875" style="253" customWidth="1"/>
    <col min="3339" max="3339" width="11.36328125" style="253" customWidth="1"/>
    <col min="3340" max="3340" width="10" style="253" customWidth="1"/>
    <col min="3341" max="3341" width="41" style="253" customWidth="1"/>
    <col min="3342" max="3342" width="11.81640625" style="253" customWidth="1"/>
    <col min="3343" max="3343" width="13" style="253" customWidth="1"/>
    <col min="3344" max="3344" width="12" style="253" bestFit="1" customWidth="1"/>
    <col min="3345" max="3345" width="13.08984375" style="253" customWidth="1"/>
    <col min="3346" max="3346" width="11.6328125" style="253" customWidth="1"/>
    <col min="3347" max="3348" width="8.90625" style="253"/>
    <col min="3349" max="3349" width="12.08984375" style="253" customWidth="1"/>
    <col min="3350" max="3350" width="11.6328125" style="253" customWidth="1"/>
    <col min="3351" max="3353" width="8.90625" style="253"/>
    <col min="3354" max="3354" width="10.81640625" style="253" customWidth="1"/>
    <col min="3355" max="3356" width="8.90625" style="253"/>
    <col min="3357" max="3357" width="13.90625" style="253" customWidth="1"/>
    <col min="3358" max="3358" width="10.6328125" style="253" customWidth="1"/>
    <col min="3359" max="3361" width="8.90625" style="253"/>
    <col min="3362" max="3362" width="12" style="253" customWidth="1"/>
    <col min="3363" max="3364" width="8.90625" style="253"/>
    <col min="3365" max="3365" width="9.81640625" style="253" customWidth="1"/>
    <col min="3366" max="3366" width="10.6328125" style="253" customWidth="1"/>
    <col min="3367" max="3372" width="8.90625" style="253"/>
    <col min="3373" max="3373" width="9.36328125" style="253" bestFit="1" customWidth="1"/>
    <col min="3374" max="3374" width="9.1796875" style="253" bestFit="1" customWidth="1"/>
    <col min="3375" max="3375" width="9.08984375" style="253" bestFit="1" customWidth="1"/>
    <col min="3376" max="3586" width="8.90625" style="253"/>
    <col min="3587" max="3587" width="7.54296875" style="253" customWidth="1"/>
    <col min="3588" max="3588" width="43" style="253" customWidth="1"/>
    <col min="3589" max="3589" width="10.453125" style="253" customWidth="1"/>
    <col min="3590" max="3590" width="11.6328125" style="253" customWidth="1"/>
    <col min="3591" max="3591" width="11.1796875" style="253" customWidth="1"/>
    <col min="3592" max="3592" width="11.08984375" style="253" customWidth="1"/>
    <col min="3593" max="3593" width="9.90625" style="253" customWidth="1"/>
    <col min="3594" max="3594" width="12.1796875" style="253" customWidth="1"/>
    <col min="3595" max="3595" width="11.36328125" style="253" customWidth="1"/>
    <col min="3596" max="3596" width="10" style="253" customWidth="1"/>
    <col min="3597" max="3597" width="41" style="253" customWidth="1"/>
    <col min="3598" max="3598" width="11.81640625" style="253" customWidth="1"/>
    <col min="3599" max="3599" width="13" style="253" customWidth="1"/>
    <col min="3600" max="3600" width="12" style="253" bestFit="1" customWidth="1"/>
    <col min="3601" max="3601" width="13.08984375" style="253" customWidth="1"/>
    <col min="3602" max="3602" width="11.6328125" style="253" customWidth="1"/>
    <col min="3603" max="3604" width="8.90625" style="253"/>
    <col min="3605" max="3605" width="12.08984375" style="253" customWidth="1"/>
    <col min="3606" max="3606" width="11.6328125" style="253" customWidth="1"/>
    <col min="3607" max="3609" width="8.90625" style="253"/>
    <col min="3610" max="3610" width="10.81640625" style="253" customWidth="1"/>
    <col min="3611" max="3612" width="8.90625" style="253"/>
    <col min="3613" max="3613" width="13.90625" style="253" customWidth="1"/>
    <col min="3614" max="3614" width="10.6328125" style="253" customWidth="1"/>
    <col min="3615" max="3617" width="8.90625" style="253"/>
    <col min="3618" max="3618" width="12" style="253" customWidth="1"/>
    <col min="3619" max="3620" width="8.90625" style="253"/>
    <col min="3621" max="3621" width="9.81640625" style="253" customWidth="1"/>
    <col min="3622" max="3622" width="10.6328125" style="253" customWidth="1"/>
    <col min="3623" max="3628" width="8.90625" style="253"/>
    <col min="3629" max="3629" width="9.36328125" style="253" bestFit="1" customWidth="1"/>
    <col min="3630" max="3630" width="9.1796875" style="253" bestFit="1" customWidth="1"/>
    <col min="3631" max="3631" width="9.08984375" style="253" bestFit="1" customWidth="1"/>
    <col min="3632" max="3842" width="8.90625" style="253"/>
    <col min="3843" max="3843" width="7.54296875" style="253" customWidth="1"/>
    <col min="3844" max="3844" width="43" style="253" customWidth="1"/>
    <col min="3845" max="3845" width="10.453125" style="253" customWidth="1"/>
    <col min="3846" max="3846" width="11.6328125" style="253" customWidth="1"/>
    <col min="3847" max="3847" width="11.1796875" style="253" customWidth="1"/>
    <col min="3848" max="3848" width="11.08984375" style="253" customWidth="1"/>
    <col min="3849" max="3849" width="9.90625" style="253" customWidth="1"/>
    <col min="3850" max="3850" width="12.1796875" style="253" customWidth="1"/>
    <col min="3851" max="3851" width="11.36328125" style="253" customWidth="1"/>
    <col min="3852" max="3852" width="10" style="253" customWidth="1"/>
    <col min="3853" max="3853" width="41" style="253" customWidth="1"/>
    <col min="3854" max="3854" width="11.81640625" style="253" customWidth="1"/>
    <col min="3855" max="3855" width="13" style="253" customWidth="1"/>
    <col min="3856" max="3856" width="12" style="253" bestFit="1" customWidth="1"/>
    <col min="3857" max="3857" width="13.08984375" style="253" customWidth="1"/>
    <col min="3858" max="3858" width="11.6328125" style="253" customWidth="1"/>
    <col min="3859" max="3860" width="8.90625" style="253"/>
    <col min="3861" max="3861" width="12.08984375" style="253" customWidth="1"/>
    <col min="3862" max="3862" width="11.6328125" style="253" customWidth="1"/>
    <col min="3863" max="3865" width="8.90625" style="253"/>
    <col min="3866" max="3866" width="10.81640625" style="253" customWidth="1"/>
    <col min="3867" max="3868" width="8.90625" style="253"/>
    <col min="3869" max="3869" width="13.90625" style="253" customWidth="1"/>
    <col min="3870" max="3870" width="10.6328125" style="253" customWidth="1"/>
    <col min="3871" max="3873" width="8.90625" style="253"/>
    <col min="3874" max="3874" width="12" style="253" customWidth="1"/>
    <col min="3875" max="3876" width="8.90625" style="253"/>
    <col min="3877" max="3877" width="9.81640625" style="253" customWidth="1"/>
    <col min="3878" max="3878" width="10.6328125" style="253" customWidth="1"/>
    <col min="3879" max="3884" width="8.90625" style="253"/>
    <col min="3885" max="3885" width="9.36328125" style="253" bestFit="1" customWidth="1"/>
    <col min="3886" max="3886" width="9.1796875" style="253" bestFit="1" customWidth="1"/>
    <col min="3887" max="3887" width="9.08984375" style="253" bestFit="1" customWidth="1"/>
    <col min="3888" max="4098" width="8.90625" style="253"/>
    <col min="4099" max="4099" width="7.54296875" style="253" customWidth="1"/>
    <col min="4100" max="4100" width="43" style="253" customWidth="1"/>
    <col min="4101" max="4101" width="10.453125" style="253" customWidth="1"/>
    <col min="4102" max="4102" width="11.6328125" style="253" customWidth="1"/>
    <col min="4103" max="4103" width="11.1796875" style="253" customWidth="1"/>
    <col min="4104" max="4104" width="11.08984375" style="253" customWidth="1"/>
    <col min="4105" max="4105" width="9.90625" style="253" customWidth="1"/>
    <col min="4106" max="4106" width="12.1796875" style="253" customWidth="1"/>
    <col min="4107" max="4107" width="11.36328125" style="253" customWidth="1"/>
    <col min="4108" max="4108" width="10" style="253" customWidth="1"/>
    <col min="4109" max="4109" width="41" style="253" customWidth="1"/>
    <col min="4110" max="4110" width="11.81640625" style="253" customWidth="1"/>
    <col min="4111" max="4111" width="13" style="253" customWidth="1"/>
    <col min="4112" max="4112" width="12" style="253" bestFit="1" customWidth="1"/>
    <col min="4113" max="4113" width="13.08984375" style="253" customWidth="1"/>
    <col min="4114" max="4114" width="11.6328125" style="253" customWidth="1"/>
    <col min="4115" max="4116" width="8.90625" style="253"/>
    <col min="4117" max="4117" width="12.08984375" style="253" customWidth="1"/>
    <col min="4118" max="4118" width="11.6328125" style="253" customWidth="1"/>
    <col min="4119" max="4121" width="8.90625" style="253"/>
    <col min="4122" max="4122" width="10.81640625" style="253" customWidth="1"/>
    <col min="4123" max="4124" width="8.90625" style="253"/>
    <col min="4125" max="4125" width="13.90625" style="253" customWidth="1"/>
    <col min="4126" max="4126" width="10.6328125" style="253" customWidth="1"/>
    <col min="4127" max="4129" width="8.90625" style="253"/>
    <col min="4130" max="4130" width="12" style="253" customWidth="1"/>
    <col min="4131" max="4132" width="8.90625" style="253"/>
    <col min="4133" max="4133" width="9.81640625" style="253" customWidth="1"/>
    <col min="4134" max="4134" width="10.6328125" style="253" customWidth="1"/>
    <col min="4135" max="4140" width="8.90625" style="253"/>
    <col min="4141" max="4141" width="9.36328125" style="253" bestFit="1" customWidth="1"/>
    <col min="4142" max="4142" width="9.1796875" style="253" bestFit="1" customWidth="1"/>
    <col min="4143" max="4143" width="9.08984375" style="253" bestFit="1" customWidth="1"/>
    <col min="4144" max="4354" width="8.90625" style="253"/>
    <col min="4355" max="4355" width="7.54296875" style="253" customWidth="1"/>
    <col min="4356" max="4356" width="43" style="253" customWidth="1"/>
    <col min="4357" max="4357" width="10.453125" style="253" customWidth="1"/>
    <col min="4358" max="4358" width="11.6328125" style="253" customWidth="1"/>
    <col min="4359" max="4359" width="11.1796875" style="253" customWidth="1"/>
    <col min="4360" max="4360" width="11.08984375" style="253" customWidth="1"/>
    <col min="4361" max="4361" width="9.90625" style="253" customWidth="1"/>
    <col min="4362" max="4362" width="12.1796875" style="253" customWidth="1"/>
    <col min="4363" max="4363" width="11.36328125" style="253" customWidth="1"/>
    <col min="4364" max="4364" width="10" style="253" customWidth="1"/>
    <col min="4365" max="4365" width="41" style="253" customWidth="1"/>
    <col min="4366" max="4366" width="11.81640625" style="253" customWidth="1"/>
    <col min="4367" max="4367" width="13" style="253" customWidth="1"/>
    <col min="4368" max="4368" width="12" style="253" bestFit="1" customWidth="1"/>
    <col min="4369" max="4369" width="13.08984375" style="253" customWidth="1"/>
    <col min="4370" max="4370" width="11.6328125" style="253" customWidth="1"/>
    <col min="4371" max="4372" width="8.90625" style="253"/>
    <col min="4373" max="4373" width="12.08984375" style="253" customWidth="1"/>
    <col min="4374" max="4374" width="11.6328125" style="253" customWidth="1"/>
    <col min="4375" max="4377" width="8.90625" style="253"/>
    <col min="4378" max="4378" width="10.81640625" style="253" customWidth="1"/>
    <col min="4379" max="4380" width="8.90625" style="253"/>
    <col min="4381" max="4381" width="13.90625" style="253" customWidth="1"/>
    <col min="4382" max="4382" width="10.6328125" style="253" customWidth="1"/>
    <col min="4383" max="4385" width="8.90625" style="253"/>
    <col min="4386" max="4386" width="12" style="253" customWidth="1"/>
    <col min="4387" max="4388" width="8.90625" style="253"/>
    <col min="4389" max="4389" width="9.81640625" style="253" customWidth="1"/>
    <col min="4390" max="4390" width="10.6328125" style="253" customWidth="1"/>
    <col min="4391" max="4396" width="8.90625" style="253"/>
    <col min="4397" max="4397" width="9.36328125" style="253" bestFit="1" customWidth="1"/>
    <col min="4398" max="4398" width="9.1796875" style="253" bestFit="1" customWidth="1"/>
    <col min="4399" max="4399" width="9.08984375" style="253" bestFit="1" customWidth="1"/>
    <col min="4400" max="4610" width="8.90625" style="253"/>
    <col min="4611" max="4611" width="7.54296875" style="253" customWidth="1"/>
    <col min="4612" max="4612" width="43" style="253" customWidth="1"/>
    <col min="4613" max="4613" width="10.453125" style="253" customWidth="1"/>
    <col min="4614" max="4614" width="11.6328125" style="253" customWidth="1"/>
    <col min="4615" max="4615" width="11.1796875" style="253" customWidth="1"/>
    <col min="4616" max="4616" width="11.08984375" style="253" customWidth="1"/>
    <col min="4617" max="4617" width="9.90625" style="253" customWidth="1"/>
    <col min="4618" max="4618" width="12.1796875" style="253" customWidth="1"/>
    <col min="4619" max="4619" width="11.36328125" style="253" customWidth="1"/>
    <col min="4620" max="4620" width="10" style="253" customWidth="1"/>
    <col min="4621" max="4621" width="41" style="253" customWidth="1"/>
    <col min="4622" max="4622" width="11.81640625" style="253" customWidth="1"/>
    <col min="4623" max="4623" width="13" style="253" customWidth="1"/>
    <col min="4624" max="4624" width="12" style="253" bestFit="1" customWidth="1"/>
    <col min="4625" max="4625" width="13.08984375" style="253" customWidth="1"/>
    <col min="4626" max="4626" width="11.6328125" style="253" customWidth="1"/>
    <col min="4627" max="4628" width="8.90625" style="253"/>
    <col min="4629" max="4629" width="12.08984375" style="253" customWidth="1"/>
    <col min="4630" max="4630" width="11.6328125" style="253" customWidth="1"/>
    <col min="4631" max="4633" width="8.90625" style="253"/>
    <col min="4634" max="4634" width="10.81640625" style="253" customWidth="1"/>
    <col min="4635" max="4636" width="8.90625" style="253"/>
    <col min="4637" max="4637" width="13.90625" style="253" customWidth="1"/>
    <col min="4638" max="4638" width="10.6328125" style="253" customWidth="1"/>
    <col min="4639" max="4641" width="8.90625" style="253"/>
    <col min="4642" max="4642" width="12" style="253" customWidth="1"/>
    <col min="4643" max="4644" width="8.90625" style="253"/>
    <col min="4645" max="4645" width="9.81640625" style="253" customWidth="1"/>
    <col min="4646" max="4646" width="10.6328125" style="253" customWidth="1"/>
    <col min="4647" max="4652" width="8.90625" style="253"/>
    <col min="4653" max="4653" width="9.36328125" style="253" bestFit="1" customWidth="1"/>
    <col min="4654" max="4654" width="9.1796875" style="253" bestFit="1" customWidth="1"/>
    <col min="4655" max="4655" width="9.08984375" style="253" bestFit="1" customWidth="1"/>
    <col min="4656" max="4866" width="8.90625" style="253"/>
    <col min="4867" max="4867" width="7.54296875" style="253" customWidth="1"/>
    <col min="4868" max="4868" width="43" style="253" customWidth="1"/>
    <col min="4869" max="4869" width="10.453125" style="253" customWidth="1"/>
    <col min="4870" max="4870" width="11.6328125" style="253" customWidth="1"/>
    <col min="4871" max="4871" width="11.1796875" style="253" customWidth="1"/>
    <col min="4872" max="4872" width="11.08984375" style="253" customWidth="1"/>
    <col min="4873" max="4873" width="9.90625" style="253" customWidth="1"/>
    <col min="4874" max="4874" width="12.1796875" style="253" customWidth="1"/>
    <col min="4875" max="4875" width="11.36328125" style="253" customWidth="1"/>
    <col min="4876" max="4876" width="10" style="253" customWidth="1"/>
    <col min="4877" max="4877" width="41" style="253" customWidth="1"/>
    <col min="4878" max="4878" width="11.81640625" style="253" customWidth="1"/>
    <col min="4879" max="4879" width="13" style="253" customWidth="1"/>
    <col min="4880" max="4880" width="12" style="253" bestFit="1" customWidth="1"/>
    <col min="4881" max="4881" width="13.08984375" style="253" customWidth="1"/>
    <col min="4882" max="4882" width="11.6328125" style="253" customWidth="1"/>
    <col min="4883" max="4884" width="8.90625" style="253"/>
    <col min="4885" max="4885" width="12.08984375" style="253" customWidth="1"/>
    <col min="4886" max="4886" width="11.6328125" style="253" customWidth="1"/>
    <col min="4887" max="4889" width="8.90625" style="253"/>
    <col min="4890" max="4890" width="10.81640625" style="253" customWidth="1"/>
    <col min="4891" max="4892" width="8.90625" style="253"/>
    <col min="4893" max="4893" width="13.90625" style="253" customWidth="1"/>
    <col min="4894" max="4894" width="10.6328125" style="253" customWidth="1"/>
    <col min="4895" max="4897" width="8.90625" style="253"/>
    <col min="4898" max="4898" width="12" style="253" customWidth="1"/>
    <col min="4899" max="4900" width="8.90625" style="253"/>
    <col min="4901" max="4901" width="9.81640625" style="253" customWidth="1"/>
    <col min="4902" max="4902" width="10.6328125" style="253" customWidth="1"/>
    <col min="4903" max="4908" width="8.90625" style="253"/>
    <col min="4909" max="4909" width="9.36328125" style="253" bestFit="1" customWidth="1"/>
    <col min="4910" max="4910" width="9.1796875" style="253" bestFit="1" customWidth="1"/>
    <col min="4911" max="4911" width="9.08984375" style="253" bestFit="1" customWidth="1"/>
    <col min="4912" max="5122" width="8.90625" style="253"/>
    <col min="5123" max="5123" width="7.54296875" style="253" customWidth="1"/>
    <col min="5124" max="5124" width="43" style="253" customWidth="1"/>
    <col min="5125" max="5125" width="10.453125" style="253" customWidth="1"/>
    <col min="5126" max="5126" width="11.6328125" style="253" customWidth="1"/>
    <col min="5127" max="5127" width="11.1796875" style="253" customWidth="1"/>
    <col min="5128" max="5128" width="11.08984375" style="253" customWidth="1"/>
    <col min="5129" max="5129" width="9.90625" style="253" customWidth="1"/>
    <col min="5130" max="5130" width="12.1796875" style="253" customWidth="1"/>
    <col min="5131" max="5131" width="11.36328125" style="253" customWidth="1"/>
    <col min="5132" max="5132" width="10" style="253" customWidth="1"/>
    <col min="5133" max="5133" width="41" style="253" customWidth="1"/>
    <col min="5134" max="5134" width="11.81640625" style="253" customWidth="1"/>
    <col min="5135" max="5135" width="13" style="253" customWidth="1"/>
    <col min="5136" max="5136" width="12" style="253" bestFit="1" customWidth="1"/>
    <col min="5137" max="5137" width="13.08984375" style="253" customWidth="1"/>
    <col min="5138" max="5138" width="11.6328125" style="253" customWidth="1"/>
    <col min="5139" max="5140" width="8.90625" style="253"/>
    <col min="5141" max="5141" width="12.08984375" style="253" customWidth="1"/>
    <col min="5142" max="5142" width="11.6328125" style="253" customWidth="1"/>
    <col min="5143" max="5145" width="8.90625" style="253"/>
    <col min="5146" max="5146" width="10.81640625" style="253" customWidth="1"/>
    <col min="5147" max="5148" width="8.90625" style="253"/>
    <col min="5149" max="5149" width="13.90625" style="253" customWidth="1"/>
    <col min="5150" max="5150" width="10.6328125" style="253" customWidth="1"/>
    <col min="5151" max="5153" width="8.90625" style="253"/>
    <col min="5154" max="5154" width="12" style="253" customWidth="1"/>
    <col min="5155" max="5156" width="8.90625" style="253"/>
    <col min="5157" max="5157" width="9.81640625" style="253" customWidth="1"/>
    <col min="5158" max="5158" width="10.6328125" style="253" customWidth="1"/>
    <col min="5159" max="5164" width="8.90625" style="253"/>
    <col min="5165" max="5165" width="9.36328125" style="253" bestFit="1" customWidth="1"/>
    <col min="5166" max="5166" width="9.1796875" style="253" bestFit="1" customWidth="1"/>
    <col min="5167" max="5167" width="9.08984375" style="253" bestFit="1" customWidth="1"/>
    <col min="5168" max="5378" width="8.90625" style="253"/>
    <col min="5379" max="5379" width="7.54296875" style="253" customWidth="1"/>
    <col min="5380" max="5380" width="43" style="253" customWidth="1"/>
    <col min="5381" max="5381" width="10.453125" style="253" customWidth="1"/>
    <col min="5382" max="5382" width="11.6328125" style="253" customWidth="1"/>
    <col min="5383" max="5383" width="11.1796875" style="253" customWidth="1"/>
    <col min="5384" max="5384" width="11.08984375" style="253" customWidth="1"/>
    <col min="5385" max="5385" width="9.90625" style="253" customWidth="1"/>
    <col min="5386" max="5386" width="12.1796875" style="253" customWidth="1"/>
    <col min="5387" max="5387" width="11.36328125" style="253" customWidth="1"/>
    <col min="5388" max="5388" width="10" style="253" customWidth="1"/>
    <col min="5389" max="5389" width="41" style="253" customWidth="1"/>
    <col min="5390" max="5390" width="11.81640625" style="253" customWidth="1"/>
    <col min="5391" max="5391" width="13" style="253" customWidth="1"/>
    <col min="5392" max="5392" width="12" style="253" bestFit="1" customWidth="1"/>
    <col min="5393" max="5393" width="13.08984375" style="253" customWidth="1"/>
    <col min="5394" max="5394" width="11.6328125" style="253" customWidth="1"/>
    <col min="5395" max="5396" width="8.90625" style="253"/>
    <col min="5397" max="5397" width="12.08984375" style="253" customWidth="1"/>
    <col min="5398" max="5398" width="11.6328125" style="253" customWidth="1"/>
    <col min="5399" max="5401" width="8.90625" style="253"/>
    <col min="5402" max="5402" width="10.81640625" style="253" customWidth="1"/>
    <col min="5403" max="5404" width="8.90625" style="253"/>
    <col min="5405" max="5405" width="13.90625" style="253" customWidth="1"/>
    <col min="5406" max="5406" width="10.6328125" style="253" customWidth="1"/>
    <col min="5407" max="5409" width="8.90625" style="253"/>
    <col min="5410" max="5410" width="12" style="253" customWidth="1"/>
    <col min="5411" max="5412" width="8.90625" style="253"/>
    <col min="5413" max="5413" width="9.81640625" style="253" customWidth="1"/>
    <col min="5414" max="5414" width="10.6328125" style="253" customWidth="1"/>
    <col min="5415" max="5420" width="8.90625" style="253"/>
    <col min="5421" max="5421" width="9.36328125" style="253" bestFit="1" customWidth="1"/>
    <col min="5422" max="5422" width="9.1796875" style="253" bestFit="1" customWidth="1"/>
    <col min="5423" max="5423" width="9.08984375" style="253" bestFit="1" customWidth="1"/>
    <col min="5424" max="5634" width="8.90625" style="253"/>
    <col min="5635" max="5635" width="7.54296875" style="253" customWidth="1"/>
    <col min="5636" max="5636" width="43" style="253" customWidth="1"/>
    <col min="5637" max="5637" width="10.453125" style="253" customWidth="1"/>
    <col min="5638" max="5638" width="11.6328125" style="253" customWidth="1"/>
    <col min="5639" max="5639" width="11.1796875" style="253" customWidth="1"/>
    <col min="5640" max="5640" width="11.08984375" style="253" customWidth="1"/>
    <col min="5641" max="5641" width="9.90625" style="253" customWidth="1"/>
    <col min="5642" max="5642" width="12.1796875" style="253" customWidth="1"/>
    <col min="5643" max="5643" width="11.36328125" style="253" customWidth="1"/>
    <col min="5644" max="5644" width="10" style="253" customWidth="1"/>
    <col min="5645" max="5645" width="41" style="253" customWidth="1"/>
    <col min="5646" max="5646" width="11.81640625" style="253" customWidth="1"/>
    <col min="5647" max="5647" width="13" style="253" customWidth="1"/>
    <col min="5648" max="5648" width="12" style="253" bestFit="1" customWidth="1"/>
    <col min="5649" max="5649" width="13.08984375" style="253" customWidth="1"/>
    <col min="5650" max="5650" width="11.6328125" style="253" customWidth="1"/>
    <col min="5651" max="5652" width="8.90625" style="253"/>
    <col min="5653" max="5653" width="12.08984375" style="253" customWidth="1"/>
    <col min="5654" max="5654" width="11.6328125" style="253" customWidth="1"/>
    <col min="5655" max="5657" width="8.90625" style="253"/>
    <col min="5658" max="5658" width="10.81640625" style="253" customWidth="1"/>
    <col min="5659" max="5660" width="8.90625" style="253"/>
    <col min="5661" max="5661" width="13.90625" style="253" customWidth="1"/>
    <col min="5662" max="5662" width="10.6328125" style="253" customWidth="1"/>
    <col min="5663" max="5665" width="8.90625" style="253"/>
    <col min="5666" max="5666" width="12" style="253" customWidth="1"/>
    <col min="5667" max="5668" width="8.90625" style="253"/>
    <col min="5669" max="5669" width="9.81640625" style="253" customWidth="1"/>
    <col min="5670" max="5670" width="10.6328125" style="253" customWidth="1"/>
    <col min="5671" max="5676" width="8.90625" style="253"/>
    <col min="5677" max="5677" width="9.36328125" style="253" bestFit="1" customWidth="1"/>
    <col min="5678" max="5678" width="9.1796875" style="253" bestFit="1" customWidth="1"/>
    <col min="5679" max="5679" width="9.08984375" style="253" bestFit="1" customWidth="1"/>
    <col min="5680" max="5890" width="8.90625" style="253"/>
    <col min="5891" max="5891" width="7.54296875" style="253" customWidth="1"/>
    <col min="5892" max="5892" width="43" style="253" customWidth="1"/>
    <col min="5893" max="5893" width="10.453125" style="253" customWidth="1"/>
    <col min="5894" max="5894" width="11.6328125" style="253" customWidth="1"/>
    <col min="5895" max="5895" width="11.1796875" style="253" customWidth="1"/>
    <col min="5896" max="5896" width="11.08984375" style="253" customWidth="1"/>
    <col min="5897" max="5897" width="9.90625" style="253" customWidth="1"/>
    <col min="5898" max="5898" width="12.1796875" style="253" customWidth="1"/>
    <col min="5899" max="5899" width="11.36328125" style="253" customWidth="1"/>
    <col min="5900" max="5900" width="10" style="253" customWidth="1"/>
    <col min="5901" max="5901" width="41" style="253" customWidth="1"/>
    <col min="5902" max="5902" width="11.81640625" style="253" customWidth="1"/>
    <col min="5903" max="5903" width="13" style="253" customWidth="1"/>
    <col min="5904" max="5904" width="12" style="253" bestFit="1" customWidth="1"/>
    <col min="5905" max="5905" width="13.08984375" style="253" customWidth="1"/>
    <col min="5906" max="5906" width="11.6328125" style="253" customWidth="1"/>
    <col min="5907" max="5908" width="8.90625" style="253"/>
    <col min="5909" max="5909" width="12.08984375" style="253" customWidth="1"/>
    <col min="5910" max="5910" width="11.6328125" style="253" customWidth="1"/>
    <col min="5911" max="5913" width="8.90625" style="253"/>
    <col min="5914" max="5914" width="10.81640625" style="253" customWidth="1"/>
    <col min="5915" max="5916" width="8.90625" style="253"/>
    <col min="5917" max="5917" width="13.90625" style="253" customWidth="1"/>
    <col min="5918" max="5918" width="10.6328125" style="253" customWidth="1"/>
    <col min="5919" max="5921" width="8.90625" style="253"/>
    <col min="5922" max="5922" width="12" style="253" customWidth="1"/>
    <col min="5923" max="5924" width="8.90625" style="253"/>
    <col min="5925" max="5925" width="9.81640625" style="253" customWidth="1"/>
    <col min="5926" max="5926" width="10.6328125" style="253" customWidth="1"/>
    <col min="5927" max="5932" width="8.90625" style="253"/>
    <col min="5933" max="5933" width="9.36328125" style="253" bestFit="1" customWidth="1"/>
    <col min="5934" max="5934" width="9.1796875" style="253" bestFit="1" customWidth="1"/>
    <col min="5935" max="5935" width="9.08984375" style="253" bestFit="1" customWidth="1"/>
    <col min="5936" max="6146" width="8.90625" style="253"/>
    <col min="6147" max="6147" width="7.54296875" style="253" customWidth="1"/>
    <col min="6148" max="6148" width="43" style="253" customWidth="1"/>
    <col min="6149" max="6149" width="10.453125" style="253" customWidth="1"/>
    <col min="6150" max="6150" width="11.6328125" style="253" customWidth="1"/>
    <col min="6151" max="6151" width="11.1796875" style="253" customWidth="1"/>
    <col min="6152" max="6152" width="11.08984375" style="253" customWidth="1"/>
    <col min="6153" max="6153" width="9.90625" style="253" customWidth="1"/>
    <col min="6154" max="6154" width="12.1796875" style="253" customWidth="1"/>
    <col min="6155" max="6155" width="11.36328125" style="253" customWidth="1"/>
    <col min="6156" max="6156" width="10" style="253" customWidth="1"/>
    <col min="6157" max="6157" width="41" style="253" customWidth="1"/>
    <col min="6158" max="6158" width="11.81640625" style="253" customWidth="1"/>
    <col min="6159" max="6159" width="13" style="253" customWidth="1"/>
    <col min="6160" max="6160" width="12" style="253" bestFit="1" customWidth="1"/>
    <col min="6161" max="6161" width="13.08984375" style="253" customWidth="1"/>
    <col min="6162" max="6162" width="11.6328125" style="253" customWidth="1"/>
    <col min="6163" max="6164" width="8.90625" style="253"/>
    <col min="6165" max="6165" width="12.08984375" style="253" customWidth="1"/>
    <col min="6166" max="6166" width="11.6328125" style="253" customWidth="1"/>
    <col min="6167" max="6169" width="8.90625" style="253"/>
    <col min="6170" max="6170" width="10.81640625" style="253" customWidth="1"/>
    <col min="6171" max="6172" width="8.90625" style="253"/>
    <col min="6173" max="6173" width="13.90625" style="253" customWidth="1"/>
    <col min="6174" max="6174" width="10.6328125" style="253" customWidth="1"/>
    <col min="6175" max="6177" width="8.90625" style="253"/>
    <col min="6178" max="6178" width="12" style="253" customWidth="1"/>
    <col min="6179" max="6180" width="8.90625" style="253"/>
    <col min="6181" max="6181" width="9.81640625" style="253" customWidth="1"/>
    <col min="6182" max="6182" width="10.6328125" style="253" customWidth="1"/>
    <col min="6183" max="6188" width="8.90625" style="253"/>
    <col min="6189" max="6189" width="9.36328125" style="253" bestFit="1" customWidth="1"/>
    <col min="6190" max="6190" width="9.1796875" style="253" bestFit="1" customWidth="1"/>
    <col min="6191" max="6191" width="9.08984375" style="253" bestFit="1" customWidth="1"/>
    <col min="6192" max="6402" width="8.90625" style="253"/>
    <col min="6403" max="6403" width="7.54296875" style="253" customWidth="1"/>
    <col min="6404" max="6404" width="43" style="253" customWidth="1"/>
    <col min="6405" max="6405" width="10.453125" style="253" customWidth="1"/>
    <col min="6406" max="6406" width="11.6328125" style="253" customWidth="1"/>
    <col min="6407" max="6407" width="11.1796875" style="253" customWidth="1"/>
    <col min="6408" max="6408" width="11.08984375" style="253" customWidth="1"/>
    <col min="6409" max="6409" width="9.90625" style="253" customWidth="1"/>
    <col min="6410" max="6410" width="12.1796875" style="253" customWidth="1"/>
    <col min="6411" max="6411" width="11.36328125" style="253" customWidth="1"/>
    <col min="6412" max="6412" width="10" style="253" customWidth="1"/>
    <col min="6413" max="6413" width="41" style="253" customWidth="1"/>
    <col min="6414" max="6414" width="11.81640625" style="253" customWidth="1"/>
    <col min="6415" max="6415" width="13" style="253" customWidth="1"/>
    <col min="6416" max="6416" width="12" style="253" bestFit="1" customWidth="1"/>
    <col min="6417" max="6417" width="13.08984375" style="253" customWidth="1"/>
    <col min="6418" max="6418" width="11.6328125" style="253" customWidth="1"/>
    <col min="6419" max="6420" width="8.90625" style="253"/>
    <col min="6421" max="6421" width="12.08984375" style="253" customWidth="1"/>
    <col min="6422" max="6422" width="11.6328125" style="253" customWidth="1"/>
    <col min="6423" max="6425" width="8.90625" style="253"/>
    <col min="6426" max="6426" width="10.81640625" style="253" customWidth="1"/>
    <col min="6427" max="6428" width="8.90625" style="253"/>
    <col min="6429" max="6429" width="13.90625" style="253" customWidth="1"/>
    <col min="6430" max="6430" width="10.6328125" style="253" customWidth="1"/>
    <col min="6431" max="6433" width="8.90625" style="253"/>
    <col min="6434" max="6434" width="12" style="253" customWidth="1"/>
    <col min="6435" max="6436" width="8.90625" style="253"/>
    <col min="6437" max="6437" width="9.81640625" style="253" customWidth="1"/>
    <col min="6438" max="6438" width="10.6328125" style="253" customWidth="1"/>
    <col min="6439" max="6444" width="8.90625" style="253"/>
    <col min="6445" max="6445" width="9.36328125" style="253" bestFit="1" customWidth="1"/>
    <col min="6446" max="6446" width="9.1796875" style="253" bestFit="1" customWidth="1"/>
    <col min="6447" max="6447" width="9.08984375" style="253" bestFit="1" customWidth="1"/>
    <col min="6448" max="6658" width="8.90625" style="253"/>
    <col min="6659" max="6659" width="7.54296875" style="253" customWidth="1"/>
    <col min="6660" max="6660" width="43" style="253" customWidth="1"/>
    <col min="6661" max="6661" width="10.453125" style="253" customWidth="1"/>
    <col min="6662" max="6662" width="11.6328125" style="253" customWidth="1"/>
    <col min="6663" max="6663" width="11.1796875" style="253" customWidth="1"/>
    <col min="6664" max="6664" width="11.08984375" style="253" customWidth="1"/>
    <col min="6665" max="6665" width="9.90625" style="253" customWidth="1"/>
    <col min="6666" max="6666" width="12.1796875" style="253" customWidth="1"/>
    <col min="6667" max="6667" width="11.36328125" style="253" customWidth="1"/>
    <col min="6668" max="6668" width="10" style="253" customWidth="1"/>
    <col min="6669" max="6669" width="41" style="253" customWidth="1"/>
    <col min="6670" max="6670" width="11.81640625" style="253" customWidth="1"/>
    <col min="6671" max="6671" width="13" style="253" customWidth="1"/>
    <col min="6672" max="6672" width="12" style="253" bestFit="1" customWidth="1"/>
    <col min="6673" max="6673" width="13.08984375" style="253" customWidth="1"/>
    <col min="6674" max="6674" width="11.6328125" style="253" customWidth="1"/>
    <col min="6675" max="6676" width="8.90625" style="253"/>
    <col min="6677" max="6677" width="12.08984375" style="253" customWidth="1"/>
    <col min="6678" max="6678" width="11.6328125" style="253" customWidth="1"/>
    <col min="6679" max="6681" width="8.90625" style="253"/>
    <col min="6682" max="6682" width="10.81640625" style="253" customWidth="1"/>
    <col min="6683" max="6684" width="8.90625" style="253"/>
    <col min="6685" max="6685" width="13.90625" style="253" customWidth="1"/>
    <col min="6686" max="6686" width="10.6328125" style="253" customWidth="1"/>
    <col min="6687" max="6689" width="8.90625" style="253"/>
    <col min="6690" max="6690" width="12" style="253" customWidth="1"/>
    <col min="6691" max="6692" width="8.90625" style="253"/>
    <col min="6693" max="6693" width="9.81640625" style="253" customWidth="1"/>
    <col min="6694" max="6694" width="10.6328125" style="253" customWidth="1"/>
    <col min="6695" max="6700" width="8.90625" style="253"/>
    <col min="6701" max="6701" width="9.36328125" style="253" bestFit="1" customWidth="1"/>
    <col min="6702" max="6702" width="9.1796875" style="253" bestFit="1" customWidth="1"/>
    <col min="6703" max="6703" width="9.08984375" style="253" bestFit="1" customWidth="1"/>
    <col min="6704" max="6914" width="8.90625" style="253"/>
    <col min="6915" max="6915" width="7.54296875" style="253" customWidth="1"/>
    <col min="6916" max="6916" width="43" style="253" customWidth="1"/>
    <col min="6917" max="6917" width="10.453125" style="253" customWidth="1"/>
    <col min="6918" max="6918" width="11.6328125" style="253" customWidth="1"/>
    <col min="6919" max="6919" width="11.1796875" style="253" customWidth="1"/>
    <col min="6920" max="6920" width="11.08984375" style="253" customWidth="1"/>
    <col min="6921" max="6921" width="9.90625" style="253" customWidth="1"/>
    <col min="6922" max="6922" width="12.1796875" style="253" customWidth="1"/>
    <col min="6923" max="6923" width="11.36328125" style="253" customWidth="1"/>
    <col min="6924" max="6924" width="10" style="253" customWidth="1"/>
    <col min="6925" max="6925" width="41" style="253" customWidth="1"/>
    <col min="6926" max="6926" width="11.81640625" style="253" customWidth="1"/>
    <col min="6927" max="6927" width="13" style="253" customWidth="1"/>
    <col min="6928" max="6928" width="12" style="253" bestFit="1" customWidth="1"/>
    <col min="6929" max="6929" width="13.08984375" style="253" customWidth="1"/>
    <col min="6930" max="6930" width="11.6328125" style="253" customWidth="1"/>
    <col min="6931" max="6932" width="8.90625" style="253"/>
    <col min="6933" max="6933" width="12.08984375" style="253" customWidth="1"/>
    <col min="6934" max="6934" width="11.6328125" style="253" customWidth="1"/>
    <col min="6935" max="6937" width="8.90625" style="253"/>
    <col min="6938" max="6938" width="10.81640625" style="253" customWidth="1"/>
    <col min="6939" max="6940" width="8.90625" style="253"/>
    <col min="6941" max="6941" width="13.90625" style="253" customWidth="1"/>
    <col min="6942" max="6942" width="10.6328125" style="253" customWidth="1"/>
    <col min="6943" max="6945" width="8.90625" style="253"/>
    <col min="6946" max="6946" width="12" style="253" customWidth="1"/>
    <col min="6947" max="6948" width="8.90625" style="253"/>
    <col min="6949" max="6949" width="9.81640625" style="253" customWidth="1"/>
    <col min="6950" max="6950" width="10.6328125" style="253" customWidth="1"/>
    <col min="6951" max="6956" width="8.90625" style="253"/>
    <col min="6957" max="6957" width="9.36328125" style="253" bestFit="1" customWidth="1"/>
    <col min="6958" max="6958" width="9.1796875" style="253" bestFit="1" customWidth="1"/>
    <col min="6959" max="6959" width="9.08984375" style="253" bestFit="1" customWidth="1"/>
    <col min="6960" max="7170" width="8.90625" style="253"/>
    <col min="7171" max="7171" width="7.54296875" style="253" customWidth="1"/>
    <col min="7172" max="7172" width="43" style="253" customWidth="1"/>
    <col min="7173" max="7173" width="10.453125" style="253" customWidth="1"/>
    <col min="7174" max="7174" width="11.6328125" style="253" customWidth="1"/>
    <col min="7175" max="7175" width="11.1796875" style="253" customWidth="1"/>
    <col min="7176" max="7176" width="11.08984375" style="253" customWidth="1"/>
    <col min="7177" max="7177" width="9.90625" style="253" customWidth="1"/>
    <col min="7178" max="7178" width="12.1796875" style="253" customWidth="1"/>
    <col min="7179" max="7179" width="11.36328125" style="253" customWidth="1"/>
    <col min="7180" max="7180" width="10" style="253" customWidth="1"/>
    <col min="7181" max="7181" width="41" style="253" customWidth="1"/>
    <col min="7182" max="7182" width="11.81640625" style="253" customWidth="1"/>
    <col min="7183" max="7183" width="13" style="253" customWidth="1"/>
    <col min="7184" max="7184" width="12" style="253" bestFit="1" customWidth="1"/>
    <col min="7185" max="7185" width="13.08984375" style="253" customWidth="1"/>
    <col min="7186" max="7186" width="11.6328125" style="253" customWidth="1"/>
    <col min="7187" max="7188" width="8.90625" style="253"/>
    <col min="7189" max="7189" width="12.08984375" style="253" customWidth="1"/>
    <col min="7190" max="7190" width="11.6328125" style="253" customWidth="1"/>
    <col min="7191" max="7193" width="8.90625" style="253"/>
    <col min="7194" max="7194" width="10.81640625" style="253" customWidth="1"/>
    <col min="7195" max="7196" width="8.90625" style="253"/>
    <col min="7197" max="7197" width="13.90625" style="253" customWidth="1"/>
    <col min="7198" max="7198" width="10.6328125" style="253" customWidth="1"/>
    <col min="7199" max="7201" width="8.90625" style="253"/>
    <col min="7202" max="7202" width="12" style="253" customWidth="1"/>
    <col min="7203" max="7204" width="8.90625" style="253"/>
    <col min="7205" max="7205" width="9.81640625" style="253" customWidth="1"/>
    <col min="7206" max="7206" width="10.6328125" style="253" customWidth="1"/>
    <col min="7207" max="7212" width="8.90625" style="253"/>
    <col min="7213" max="7213" width="9.36328125" style="253" bestFit="1" customWidth="1"/>
    <col min="7214" max="7214" width="9.1796875" style="253" bestFit="1" customWidth="1"/>
    <col min="7215" max="7215" width="9.08984375" style="253" bestFit="1" customWidth="1"/>
    <col min="7216" max="7426" width="8.90625" style="253"/>
    <col min="7427" max="7427" width="7.54296875" style="253" customWidth="1"/>
    <col min="7428" max="7428" width="43" style="253" customWidth="1"/>
    <col min="7429" max="7429" width="10.453125" style="253" customWidth="1"/>
    <col min="7430" max="7430" width="11.6328125" style="253" customWidth="1"/>
    <col min="7431" max="7431" width="11.1796875" style="253" customWidth="1"/>
    <col min="7432" max="7432" width="11.08984375" style="253" customWidth="1"/>
    <col min="7433" max="7433" width="9.90625" style="253" customWidth="1"/>
    <col min="7434" max="7434" width="12.1796875" style="253" customWidth="1"/>
    <col min="7435" max="7435" width="11.36328125" style="253" customWidth="1"/>
    <col min="7436" max="7436" width="10" style="253" customWidth="1"/>
    <col min="7437" max="7437" width="41" style="253" customWidth="1"/>
    <col min="7438" max="7438" width="11.81640625" style="253" customWidth="1"/>
    <col min="7439" max="7439" width="13" style="253" customWidth="1"/>
    <col min="7440" max="7440" width="12" style="253" bestFit="1" customWidth="1"/>
    <col min="7441" max="7441" width="13.08984375" style="253" customWidth="1"/>
    <col min="7442" max="7442" width="11.6328125" style="253" customWidth="1"/>
    <col min="7443" max="7444" width="8.90625" style="253"/>
    <col min="7445" max="7445" width="12.08984375" style="253" customWidth="1"/>
    <col min="7446" max="7446" width="11.6328125" style="253" customWidth="1"/>
    <col min="7447" max="7449" width="8.90625" style="253"/>
    <col min="7450" max="7450" width="10.81640625" style="253" customWidth="1"/>
    <col min="7451" max="7452" width="8.90625" style="253"/>
    <col min="7453" max="7453" width="13.90625" style="253" customWidth="1"/>
    <col min="7454" max="7454" width="10.6328125" style="253" customWidth="1"/>
    <col min="7455" max="7457" width="8.90625" style="253"/>
    <col min="7458" max="7458" width="12" style="253" customWidth="1"/>
    <col min="7459" max="7460" width="8.90625" style="253"/>
    <col min="7461" max="7461" width="9.81640625" style="253" customWidth="1"/>
    <col min="7462" max="7462" width="10.6328125" style="253" customWidth="1"/>
    <col min="7463" max="7468" width="8.90625" style="253"/>
    <col min="7469" max="7469" width="9.36328125" style="253" bestFit="1" customWidth="1"/>
    <col min="7470" max="7470" width="9.1796875" style="253" bestFit="1" customWidth="1"/>
    <col min="7471" max="7471" width="9.08984375" style="253" bestFit="1" customWidth="1"/>
    <col min="7472" max="7682" width="8.90625" style="253"/>
    <col min="7683" max="7683" width="7.54296875" style="253" customWidth="1"/>
    <col min="7684" max="7684" width="43" style="253" customWidth="1"/>
    <col min="7685" max="7685" width="10.453125" style="253" customWidth="1"/>
    <col min="7686" max="7686" width="11.6328125" style="253" customWidth="1"/>
    <col min="7687" max="7687" width="11.1796875" style="253" customWidth="1"/>
    <col min="7688" max="7688" width="11.08984375" style="253" customWidth="1"/>
    <col min="7689" max="7689" width="9.90625" style="253" customWidth="1"/>
    <col min="7690" max="7690" width="12.1796875" style="253" customWidth="1"/>
    <col min="7691" max="7691" width="11.36328125" style="253" customWidth="1"/>
    <col min="7692" max="7692" width="10" style="253" customWidth="1"/>
    <col min="7693" max="7693" width="41" style="253" customWidth="1"/>
    <col min="7694" max="7694" width="11.81640625" style="253" customWidth="1"/>
    <col min="7695" max="7695" width="13" style="253" customWidth="1"/>
    <col min="7696" max="7696" width="12" style="253" bestFit="1" customWidth="1"/>
    <col min="7697" max="7697" width="13.08984375" style="253" customWidth="1"/>
    <col min="7698" max="7698" width="11.6328125" style="253" customWidth="1"/>
    <col min="7699" max="7700" width="8.90625" style="253"/>
    <col min="7701" max="7701" width="12.08984375" style="253" customWidth="1"/>
    <col min="7702" max="7702" width="11.6328125" style="253" customWidth="1"/>
    <col min="7703" max="7705" width="8.90625" style="253"/>
    <col min="7706" max="7706" width="10.81640625" style="253" customWidth="1"/>
    <col min="7707" max="7708" width="8.90625" style="253"/>
    <col min="7709" max="7709" width="13.90625" style="253" customWidth="1"/>
    <col min="7710" max="7710" width="10.6328125" style="253" customWidth="1"/>
    <col min="7711" max="7713" width="8.90625" style="253"/>
    <col min="7714" max="7714" width="12" style="253" customWidth="1"/>
    <col min="7715" max="7716" width="8.90625" style="253"/>
    <col min="7717" max="7717" width="9.81640625" style="253" customWidth="1"/>
    <col min="7718" max="7718" width="10.6328125" style="253" customWidth="1"/>
    <col min="7719" max="7724" width="8.90625" style="253"/>
    <col min="7725" max="7725" width="9.36328125" style="253" bestFit="1" customWidth="1"/>
    <col min="7726" max="7726" width="9.1796875" style="253" bestFit="1" customWidth="1"/>
    <col min="7727" max="7727" width="9.08984375" style="253" bestFit="1" customWidth="1"/>
    <col min="7728" max="7938" width="8.90625" style="253"/>
    <col min="7939" max="7939" width="7.54296875" style="253" customWidth="1"/>
    <col min="7940" max="7940" width="43" style="253" customWidth="1"/>
    <col min="7941" max="7941" width="10.453125" style="253" customWidth="1"/>
    <col min="7942" max="7942" width="11.6328125" style="253" customWidth="1"/>
    <col min="7943" max="7943" width="11.1796875" style="253" customWidth="1"/>
    <col min="7944" max="7944" width="11.08984375" style="253" customWidth="1"/>
    <col min="7945" max="7945" width="9.90625" style="253" customWidth="1"/>
    <col min="7946" max="7946" width="12.1796875" style="253" customWidth="1"/>
    <col min="7947" max="7947" width="11.36328125" style="253" customWidth="1"/>
    <col min="7948" max="7948" width="10" style="253" customWidth="1"/>
    <col min="7949" max="7949" width="41" style="253" customWidth="1"/>
    <col min="7950" max="7950" width="11.81640625" style="253" customWidth="1"/>
    <col min="7951" max="7951" width="13" style="253" customWidth="1"/>
    <col min="7952" max="7952" width="12" style="253" bestFit="1" customWidth="1"/>
    <col min="7953" max="7953" width="13.08984375" style="253" customWidth="1"/>
    <col min="7954" max="7954" width="11.6328125" style="253" customWidth="1"/>
    <col min="7955" max="7956" width="8.90625" style="253"/>
    <col min="7957" max="7957" width="12.08984375" style="253" customWidth="1"/>
    <col min="7958" max="7958" width="11.6328125" style="253" customWidth="1"/>
    <col min="7959" max="7961" width="8.90625" style="253"/>
    <col min="7962" max="7962" width="10.81640625" style="253" customWidth="1"/>
    <col min="7963" max="7964" width="8.90625" style="253"/>
    <col min="7965" max="7965" width="13.90625" style="253" customWidth="1"/>
    <col min="7966" max="7966" width="10.6328125" style="253" customWidth="1"/>
    <col min="7967" max="7969" width="8.90625" style="253"/>
    <col min="7970" max="7970" width="12" style="253" customWidth="1"/>
    <col min="7971" max="7972" width="8.90625" style="253"/>
    <col min="7973" max="7973" width="9.81640625" style="253" customWidth="1"/>
    <col min="7974" max="7974" width="10.6328125" style="253" customWidth="1"/>
    <col min="7975" max="7980" width="8.90625" style="253"/>
    <col min="7981" max="7981" width="9.36328125" style="253" bestFit="1" customWidth="1"/>
    <col min="7982" max="7982" width="9.1796875" style="253" bestFit="1" customWidth="1"/>
    <col min="7983" max="7983" width="9.08984375" style="253" bestFit="1" customWidth="1"/>
    <col min="7984" max="8194" width="8.90625" style="253"/>
    <col min="8195" max="8195" width="7.54296875" style="253" customWidth="1"/>
    <col min="8196" max="8196" width="43" style="253" customWidth="1"/>
    <col min="8197" max="8197" width="10.453125" style="253" customWidth="1"/>
    <col min="8198" max="8198" width="11.6328125" style="253" customWidth="1"/>
    <col min="8199" max="8199" width="11.1796875" style="253" customWidth="1"/>
    <col min="8200" max="8200" width="11.08984375" style="253" customWidth="1"/>
    <col min="8201" max="8201" width="9.90625" style="253" customWidth="1"/>
    <col min="8202" max="8202" width="12.1796875" style="253" customWidth="1"/>
    <col min="8203" max="8203" width="11.36328125" style="253" customWidth="1"/>
    <col min="8204" max="8204" width="10" style="253" customWidth="1"/>
    <col min="8205" max="8205" width="41" style="253" customWidth="1"/>
    <col min="8206" max="8206" width="11.81640625" style="253" customWidth="1"/>
    <col min="8207" max="8207" width="13" style="253" customWidth="1"/>
    <col min="8208" max="8208" width="12" style="253" bestFit="1" customWidth="1"/>
    <col min="8209" max="8209" width="13.08984375" style="253" customWidth="1"/>
    <col min="8210" max="8210" width="11.6328125" style="253" customWidth="1"/>
    <col min="8211" max="8212" width="8.90625" style="253"/>
    <col min="8213" max="8213" width="12.08984375" style="253" customWidth="1"/>
    <col min="8214" max="8214" width="11.6328125" style="253" customWidth="1"/>
    <col min="8215" max="8217" width="8.90625" style="253"/>
    <col min="8218" max="8218" width="10.81640625" style="253" customWidth="1"/>
    <col min="8219" max="8220" width="8.90625" style="253"/>
    <col min="8221" max="8221" width="13.90625" style="253" customWidth="1"/>
    <col min="8222" max="8222" width="10.6328125" style="253" customWidth="1"/>
    <col min="8223" max="8225" width="8.90625" style="253"/>
    <col min="8226" max="8226" width="12" style="253" customWidth="1"/>
    <col min="8227" max="8228" width="8.90625" style="253"/>
    <col min="8229" max="8229" width="9.81640625" style="253" customWidth="1"/>
    <col min="8230" max="8230" width="10.6328125" style="253" customWidth="1"/>
    <col min="8231" max="8236" width="8.90625" style="253"/>
    <col min="8237" max="8237" width="9.36328125" style="253" bestFit="1" customWidth="1"/>
    <col min="8238" max="8238" width="9.1796875" style="253" bestFit="1" customWidth="1"/>
    <col min="8239" max="8239" width="9.08984375" style="253" bestFit="1" customWidth="1"/>
    <col min="8240" max="8450" width="8.90625" style="253"/>
    <col min="8451" max="8451" width="7.54296875" style="253" customWidth="1"/>
    <col min="8452" max="8452" width="43" style="253" customWidth="1"/>
    <col min="8453" max="8453" width="10.453125" style="253" customWidth="1"/>
    <col min="8454" max="8454" width="11.6328125" style="253" customWidth="1"/>
    <col min="8455" max="8455" width="11.1796875" style="253" customWidth="1"/>
    <col min="8456" max="8456" width="11.08984375" style="253" customWidth="1"/>
    <col min="8457" max="8457" width="9.90625" style="253" customWidth="1"/>
    <col min="8458" max="8458" width="12.1796875" style="253" customWidth="1"/>
    <col min="8459" max="8459" width="11.36328125" style="253" customWidth="1"/>
    <col min="8460" max="8460" width="10" style="253" customWidth="1"/>
    <col min="8461" max="8461" width="41" style="253" customWidth="1"/>
    <col min="8462" max="8462" width="11.81640625" style="253" customWidth="1"/>
    <col min="8463" max="8463" width="13" style="253" customWidth="1"/>
    <col min="8464" max="8464" width="12" style="253" bestFit="1" customWidth="1"/>
    <col min="8465" max="8465" width="13.08984375" style="253" customWidth="1"/>
    <col min="8466" max="8466" width="11.6328125" style="253" customWidth="1"/>
    <col min="8467" max="8468" width="8.90625" style="253"/>
    <col min="8469" max="8469" width="12.08984375" style="253" customWidth="1"/>
    <col min="8470" max="8470" width="11.6328125" style="253" customWidth="1"/>
    <col min="8471" max="8473" width="8.90625" style="253"/>
    <col min="8474" max="8474" width="10.81640625" style="253" customWidth="1"/>
    <col min="8475" max="8476" width="8.90625" style="253"/>
    <col min="8477" max="8477" width="13.90625" style="253" customWidth="1"/>
    <col min="8478" max="8478" width="10.6328125" style="253" customWidth="1"/>
    <col min="8479" max="8481" width="8.90625" style="253"/>
    <col min="8482" max="8482" width="12" style="253" customWidth="1"/>
    <col min="8483" max="8484" width="8.90625" style="253"/>
    <col min="8485" max="8485" width="9.81640625" style="253" customWidth="1"/>
    <col min="8486" max="8486" width="10.6328125" style="253" customWidth="1"/>
    <col min="8487" max="8492" width="8.90625" style="253"/>
    <col min="8493" max="8493" width="9.36328125" style="253" bestFit="1" customWidth="1"/>
    <col min="8494" max="8494" width="9.1796875" style="253" bestFit="1" customWidth="1"/>
    <col min="8495" max="8495" width="9.08984375" style="253" bestFit="1" customWidth="1"/>
    <col min="8496" max="8706" width="8.90625" style="253"/>
    <col min="8707" max="8707" width="7.54296875" style="253" customWidth="1"/>
    <col min="8708" max="8708" width="43" style="253" customWidth="1"/>
    <col min="8709" max="8709" width="10.453125" style="253" customWidth="1"/>
    <col min="8710" max="8710" width="11.6328125" style="253" customWidth="1"/>
    <col min="8711" max="8711" width="11.1796875" style="253" customWidth="1"/>
    <col min="8712" max="8712" width="11.08984375" style="253" customWidth="1"/>
    <col min="8713" max="8713" width="9.90625" style="253" customWidth="1"/>
    <col min="8714" max="8714" width="12.1796875" style="253" customWidth="1"/>
    <col min="8715" max="8715" width="11.36328125" style="253" customWidth="1"/>
    <col min="8716" max="8716" width="10" style="253" customWidth="1"/>
    <col min="8717" max="8717" width="41" style="253" customWidth="1"/>
    <col min="8718" max="8718" width="11.81640625" style="253" customWidth="1"/>
    <col min="8719" max="8719" width="13" style="253" customWidth="1"/>
    <col min="8720" max="8720" width="12" style="253" bestFit="1" customWidth="1"/>
    <col min="8721" max="8721" width="13.08984375" style="253" customWidth="1"/>
    <col min="8722" max="8722" width="11.6328125" style="253" customWidth="1"/>
    <col min="8723" max="8724" width="8.90625" style="253"/>
    <col min="8725" max="8725" width="12.08984375" style="253" customWidth="1"/>
    <col min="8726" max="8726" width="11.6328125" style="253" customWidth="1"/>
    <col min="8727" max="8729" width="8.90625" style="253"/>
    <col min="8730" max="8730" width="10.81640625" style="253" customWidth="1"/>
    <col min="8731" max="8732" width="8.90625" style="253"/>
    <col min="8733" max="8733" width="13.90625" style="253" customWidth="1"/>
    <col min="8734" max="8734" width="10.6328125" style="253" customWidth="1"/>
    <col min="8735" max="8737" width="8.90625" style="253"/>
    <col min="8738" max="8738" width="12" style="253" customWidth="1"/>
    <col min="8739" max="8740" width="8.90625" style="253"/>
    <col min="8741" max="8741" width="9.81640625" style="253" customWidth="1"/>
    <col min="8742" max="8742" width="10.6328125" style="253" customWidth="1"/>
    <col min="8743" max="8748" width="8.90625" style="253"/>
    <col min="8749" max="8749" width="9.36328125" style="253" bestFit="1" customWidth="1"/>
    <col min="8750" max="8750" width="9.1796875" style="253" bestFit="1" customWidth="1"/>
    <col min="8751" max="8751" width="9.08984375" style="253" bestFit="1" customWidth="1"/>
    <col min="8752" max="8962" width="8.90625" style="253"/>
    <col min="8963" max="8963" width="7.54296875" style="253" customWidth="1"/>
    <col min="8964" max="8964" width="43" style="253" customWidth="1"/>
    <col min="8965" max="8965" width="10.453125" style="253" customWidth="1"/>
    <col min="8966" max="8966" width="11.6328125" style="253" customWidth="1"/>
    <col min="8967" max="8967" width="11.1796875" style="253" customWidth="1"/>
    <col min="8968" max="8968" width="11.08984375" style="253" customWidth="1"/>
    <col min="8969" max="8969" width="9.90625" style="253" customWidth="1"/>
    <col min="8970" max="8970" width="12.1796875" style="253" customWidth="1"/>
    <col min="8971" max="8971" width="11.36328125" style="253" customWidth="1"/>
    <col min="8972" max="8972" width="10" style="253" customWidth="1"/>
    <col min="8973" max="8973" width="41" style="253" customWidth="1"/>
    <col min="8974" max="8974" width="11.81640625" style="253" customWidth="1"/>
    <col min="8975" max="8975" width="13" style="253" customWidth="1"/>
    <col min="8976" max="8976" width="12" style="253" bestFit="1" customWidth="1"/>
    <col min="8977" max="8977" width="13.08984375" style="253" customWidth="1"/>
    <col min="8978" max="8978" width="11.6328125" style="253" customWidth="1"/>
    <col min="8979" max="8980" width="8.90625" style="253"/>
    <col min="8981" max="8981" width="12.08984375" style="253" customWidth="1"/>
    <col min="8982" max="8982" width="11.6328125" style="253" customWidth="1"/>
    <col min="8983" max="8985" width="8.90625" style="253"/>
    <col min="8986" max="8986" width="10.81640625" style="253" customWidth="1"/>
    <col min="8987" max="8988" width="8.90625" style="253"/>
    <col min="8989" max="8989" width="13.90625" style="253" customWidth="1"/>
    <col min="8990" max="8990" width="10.6328125" style="253" customWidth="1"/>
    <col min="8991" max="8993" width="8.90625" style="253"/>
    <col min="8994" max="8994" width="12" style="253" customWidth="1"/>
    <col min="8995" max="8996" width="8.90625" style="253"/>
    <col min="8997" max="8997" width="9.81640625" style="253" customWidth="1"/>
    <col min="8998" max="8998" width="10.6328125" style="253" customWidth="1"/>
    <col min="8999" max="9004" width="8.90625" style="253"/>
    <col min="9005" max="9005" width="9.36328125" style="253" bestFit="1" customWidth="1"/>
    <col min="9006" max="9006" width="9.1796875" style="253" bestFit="1" customWidth="1"/>
    <col min="9007" max="9007" width="9.08984375" style="253" bestFit="1" customWidth="1"/>
    <col min="9008" max="9218" width="8.90625" style="253"/>
    <col min="9219" max="9219" width="7.54296875" style="253" customWidth="1"/>
    <col min="9220" max="9220" width="43" style="253" customWidth="1"/>
    <col min="9221" max="9221" width="10.453125" style="253" customWidth="1"/>
    <col min="9222" max="9222" width="11.6328125" style="253" customWidth="1"/>
    <col min="9223" max="9223" width="11.1796875" style="253" customWidth="1"/>
    <col min="9224" max="9224" width="11.08984375" style="253" customWidth="1"/>
    <col min="9225" max="9225" width="9.90625" style="253" customWidth="1"/>
    <col min="9226" max="9226" width="12.1796875" style="253" customWidth="1"/>
    <col min="9227" max="9227" width="11.36328125" style="253" customWidth="1"/>
    <col min="9228" max="9228" width="10" style="253" customWidth="1"/>
    <col min="9229" max="9229" width="41" style="253" customWidth="1"/>
    <col min="9230" max="9230" width="11.81640625" style="253" customWidth="1"/>
    <col min="9231" max="9231" width="13" style="253" customWidth="1"/>
    <col min="9232" max="9232" width="12" style="253" bestFit="1" customWidth="1"/>
    <col min="9233" max="9233" width="13.08984375" style="253" customWidth="1"/>
    <col min="9234" max="9234" width="11.6328125" style="253" customWidth="1"/>
    <col min="9235" max="9236" width="8.90625" style="253"/>
    <col min="9237" max="9237" width="12.08984375" style="253" customWidth="1"/>
    <col min="9238" max="9238" width="11.6328125" style="253" customWidth="1"/>
    <col min="9239" max="9241" width="8.90625" style="253"/>
    <col min="9242" max="9242" width="10.81640625" style="253" customWidth="1"/>
    <col min="9243" max="9244" width="8.90625" style="253"/>
    <col min="9245" max="9245" width="13.90625" style="253" customWidth="1"/>
    <col min="9246" max="9246" width="10.6328125" style="253" customWidth="1"/>
    <col min="9247" max="9249" width="8.90625" style="253"/>
    <col min="9250" max="9250" width="12" style="253" customWidth="1"/>
    <col min="9251" max="9252" width="8.90625" style="253"/>
    <col min="9253" max="9253" width="9.81640625" style="253" customWidth="1"/>
    <col min="9254" max="9254" width="10.6328125" style="253" customWidth="1"/>
    <col min="9255" max="9260" width="8.90625" style="253"/>
    <col min="9261" max="9261" width="9.36328125" style="253" bestFit="1" customWidth="1"/>
    <col min="9262" max="9262" width="9.1796875" style="253" bestFit="1" customWidth="1"/>
    <col min="9263" max="9263" width="9.08984375" style="253" bestFit="1" customWidth="1"/>
    <col min="9264" max="9474" width="8.90625" style="253"/>
    <col min="9475" max="9475" width="7.54296875" style="253" customWidth="1"/>
    <col min="9476" max="9476" width="43" style="253" customWidth="1"/>
    <col min="9477" max="9477" width="10.453125" style="253" customWidth="1"/>
    <col min="9478" max="9478" width="11.6328125" style="253" customWidth="1"/>
    <col min="9479" max="9479" width="11.1796875" style="253" customWidth="1"/>
    <col min="9480" max="9480" width="11.08984375" style="253" customWidth="1"/>
    <col min="9481" max="9481" width="9.90625" style="253" customWidth="1"/>
    <col min="9482" max="9482" width="12.1796875" style="253" customWidth="1"/>
    <col min="9483" max="9483" width="11.36328125" style="253" customWidth="1"/>
    <col min="9484" max="9484" width="10" style="253" customWidth="1"/>
    <col min="9485" max="9485" width="41" style="253" customWidth="1"/>
    <col min="9486" max="9486" width="11.81640625" style="253" customWidth="1"/>
    <col min="9487" max="9487" width="13" style="253" customWidth="1"/>
    <col min="9488" max="9488" width="12" style="253" bestFit="1" customWidth="1"/>
    <col min="9489" max="9489" width="13.08984375" style="253" customWidth="1"/>
    <col min="9490" max="9490" width="11.6328125" style="253" customWidth="1"/>
    <col min="9491" max="9492" width="8.90625" style="253"/>
    <col min="9493" max="9493" width="12.08984375" style="253" customWidth="1"/>
    <col min="9494" max="9494" width="11.6328125" style="253" customWidth="1"/>
    <col min="9495" max="9497" width="8.90625" style="253"/>
    <col min="9498" max="9498" width="10.81640625" style="253" customWidth="1"/>
    <col min="9499" max="9500" width="8.90625" style="253"/>
    <col min="9501" max="9501" width="13.90625" style="253" customWidth="1"/>
    <col min="9502" max="9502" width="10.6328125" style="253" customWidth="1"/>
    <col min="9503" max="9505" width="8.90625" style="253"/>
    <col min="9506" max="9506" width="12" style="253" customWidth="1"/>
    <col min="9507" max="9508" width="8.90625" style="253"/>
    <col min="9509" max="9509" width="9.81640625" style="253" customWidth="1"/>
    <col min="9510" max="9510" width="10.6328125" style="253" customWidth="1"/>
    <col min="9511" max="9516" width="8.90625" style="253"/>
    <col min="9517" max="9517" width="9.36328125" style="253" bestFit="1" customWidth="1"/>
    <col min="9518" max="9518" width="9.1796875" style="253" bestFit="1" customWidth="1"/>
    <col min="9519" max="9519" width="9.08984375" style="253" bestFit="1" customWidth="1"/>
    <col min="9520" max="9730" width="8.90625" style="253"/>
    <col min="9731" max="9731" width="7.54296875" style="253" customWidth="1"/>
    <col min="9732" max="9732" width="43" style="253" customWidth="1"/>
    <col min="9733" max="9733" width="10.453125" style="253" customWidth="1"/>
    <col min="9734" max="9734" width="11.6328125" style="253" customWidth="1"/>
    <col min="9735" max="9735" width="11.1796875" style="253" customWidth="1"/>
    <col min="9736" max="9736" width="11.08984375" style="253" customWidth="1"/>
    <col min="9737" max="9737" width="9.90625" style="253" customWidth="1"/>
    <col min="9738" max="9738" width="12.1796875" style="253" customWidth="1"/>
    <col min="9739" max="9739" width="11.36328125" style="253" customWidth="1"/>
    <col min="9740" max="9740" width="10" style="253" customWidth="1"/>
    <col min="9741" max="9741" width="41" style="253" customWidth="1"/>
    <col min="9742" max="9742" width="11.81640625" style="253" customWidth="1"/>
    <col min="9743" max="9743" width="13" style="253" customWidth="1"/>
    <col min="9744" max="9744" width="12" style="253" bestFit="1" customWidth="1"/>
    <col min="9745" max="9745" width="13.08984375" style="253" customWidth="1"/>
    <col min="9746" max="9746" width="11.6328125" style="253" customWidth="1"/>
    <col min="9747" max="9748" width="8.90625" style="253"/>
    <col min="9749" max="9749" width="12.08984375" style="253" customWidth="1"/>
    <col min="9750" max="9750" width="11.6328125" style="253" customWidth="1"/>
    <col min="9751" max="9753" width="8.90625" style="253"/>
    <col min="9754" max="9754" width="10.81640625" style="253" customWidth="1"/>
    <col min="9755" max="9756" width="8.90625" style="253"/>
    <col min="9757" max="9757" width="13.90625" style="253" customWidth="1"/>
    <col min="9758" max="9758" width="10.6328125" style="253" customWidth="1"/>
    <col min="9759" max="9761" width="8.90625" style="253"/>
    <col min="9762" max="9762" width="12" style="253" customWidth="1"/>
    <col min="9763" max="9764" width="8.90625" style="253"/>
    <col min="9765" max="9765" width="9.81640625" style="253" customWidth="1"/>
    <col min="9766" max="9766" width="10.6328125" style="253" customWidth="1"/>
    <col min="9767" max="9772" width="8.90625" style="253"/>
    <col min="9773" max="9773" width="9.36328125" style="253" bestFit="1" customWidth="1"/>
    <col min="9774" max="9774" width="9.1796875" style="253" bestFit="1" customWidth="1"/>
    <col min="9775" max="9775" width="9.08984375" style="253" bestFit="1" customWidth="1"/>
    <col min="9776" max="9986" width="8.90625" style="253"/>
    <col min="9987" max="9987" width="7.54296875" style="253" customWidth="1"/>
    <col min="9988" max="9988" width="43" style="253" customWidth="1"/>
    <col min="9989" max="9989" width="10.453125" style="253" customWidth="1"/>
    <col min="9990" max="9990" width="11.6328125" style="253" customWidth="1"/>
    <col min="9991" max="9991" width="11.1796875" style="253" customWidth="1"/>
    <col min="9992" max="9992" width="11.08984375" style="253" customWidth="1"/>
    <col min="9993" max="9993" width="9.90625" style="253" customWidth="1"/>
    <col min="9994" max="9994" width="12.1796875" style="253" customWidth="1"/>
    <col min="9995" max="9995" width="11.36328125" style="253" customWidth="1"/>
    <col min="9996" max="9996" width="10" style="253" customWidth="1"/>
    <col min="9997" max="9997" width="41" style="253" customWidth="1"/>
    <col min="9998" max="9998" width="11.81640625" style="253" customWidth="1"/>
    <col min="9999" max="9999" width="13" style="253" customWidth="1"/>
    <col min="10000" max="10000" width="12" style="253" bestFit="1" customWidth="1"/>
    <col min="10001" max="10001" width="13.08984375" style="253" customWidth="1"/>
    <col min="10002" max="10002" width="11.6328125" style="253" customWidth="1"/>
    <col min="10003" max="10004" width="8.90625" style="253"/>
    <col min="10005" max="10005" width="12.08984375" style="253" customWidth="1"/>
    <col min="10006" max="10006" width="11.6328125" style="253" customWidth="1"/>
    <col min="10007" max="10009" width="8.90625" style="253"/>
    <col min="10010" max="10010" width="10.81640625" style="253" customWidth="1"/>
    <col min="10011" max="10012" width="8.90625" style="253"/>
    <col min="10013" max="10013" width="13.90625" style="253" customWidth="1"/>
    <col min="10014" max="10014" width="10.6328125" style="253" customWidth="1"/>
    <col min="10015" max="10017" width="8.90625" style="253"/>
    <col min="10018" max="10018" width="12" style="253" customWidth="1"/>
    <col min="10019" max="10020" width="8.90625" style="253"/>
    <col min="10021" max="10021" width="9.81640625" style="253" customWidth="1"/>
    <col min="10022" max="10022" width="10.6328125" style="253" customWidth="1"/>
    <col min="10023" max="10028" width="8.90625" style="253"/>
    <col min="10029" max="10029" width="9.36328125" style="253" bestFit="1" customWidth="1"/>
    <col min="10030" max="10030" width="9.1796875" style="253" bestFit="1" customWidth="1"/>
    <col min="10031" max="10031" width="9.08984375" style="253" bestFit="1" customWidth="1"/>
    <col min="10032" max="10242" width="8.90625" style="253"/>
    <col min="10243" max="10243" width="7.54296875" style="253" customWidth="1"/>
    <col min="10244" max="10244" width="43" style="253" customWidth="1"/>
    <col min="10245" max="10245" width="10.453125" style="253" customWidth="1"/>
    <col min="10246" max="10246" width="11.6328125" style="253" customWidth="1"/>
    <col min="10247" max="10247" width="11.1796875" style="253" customWidth="1"/>
    <col min="10248" max="10248" width="11.08984375" style="253" customWidth="1"/>
    <col min="10249" max="10249" width="9.90625" style="253" customWidth="1"/>
    <col min="10250" max="10250" width="12.1796875" style="253" customWidth="1"/>
    <col min="10251" max="10251" width="11.36328125" style="253" customWidth="1"/>
    <col min="10252" max="10252" width="10" style="253" customWidth="1"/>
    <col min="10253" max="10253" width="41" style="253" customWidth="1"/>
    <col min="10254" max="10254" width="11.81640625" style="253" customWidth="1"/>
    <col min="10255" max="10255" width="13" style="253" customWidth="1"/>
    <col min="10256" max="10256" width="12" style="253" bestFit="1" customWidth="1"/>
    <col min="10257" max="10257" width="13.08984375" style="253" customWidth="1"/>
    <col min="10258" max="10258" width="11.6328125" style="253" customWidth="1"/>
    <col min="10259" max="10260" width="8.90625" style="253"/>
    <col min="10261" max="10261" width="12.08984375" style="253" customWidth="1"/>
    <col min="10262" max="10262" width="11.6328125" style="253" customWidth="1"/>
    <col min="10263" max="10265" width="8.90625" style="253"/>
    <col min="10266" max="10266" width="10.81640625" style="253" customWidth="1"/>
    <col min="10267" max="10268" width="8.90625" style="253"/>
    <col min="10269" max="10269" width="13.90625" style="253" customWidth="1"/>
    <col min="10270" max="10270" width="10.6328125" style="253" customWidth="1"/>
    <col min="10271" max="10273" width="8.90625" style="253"/>
    <col min="10274" max="10274" width="12" style="253" customWidth="1"/>
    <col min="10275" max="10276" width="8.90625" style="253"/>
    <col min="10277" max="10277" width="9.81640625" style="253" customWidth="1"/>
    <col min="10278" max="10278" width="10.6328125" style="253" customWidth="1"/>
    <col min="10279" max="10284" width="8.90625" style="253"/>
    <col min="10285" max="10285" width="9.36328125" style="253" bestFit="1" customWidth="1"/>
    <col min="10286" max="10286" width="9.1796875" style="253" bestFit="1" customWidth="1"/>
    <col min="10287" max="10287" width="9.08984375" style="253" bestFit="1" customWidth="1"/>
    <col min="10288" max="10498" width="8.90625" style="253"/>
    <col min="10499" max="10499" width="7.54296875" style="253" customWidth="1"/>
    <col min="10500" max="10500" width="43" style="253" customWidth="1"/>
    <col min="10501" max="10501" width="10.453125" style="253" customWidth="1"/>
    <col min="10502" max="10502" width="11.6328125" style="253" customWidth="1"/>
    <col min="10503" max="10503" width="11.1796875" style="253" customWidth="1"/>
    <col min="10504" max="10504" width="11.08984375" style="253" customWidth="1"/>
    <col min="10505" max="10505" width="9.90625" style="253" customWidth="1"/>
    <col min="10506" max="10506" width="12.1796875" style="253" customWidth="1"/>
    <col min="10507" max="10507" width="11.36328125" style="253" customWidth="1"/>
    <col min="10508" max="10508" width="10" style="253" customWidth="1"/>
    <col min="10509" max="10509" width="41" style="253" customWidth="1"/>
    <col min="10510" max="10510" width="11.81640625" style="253" customWidth="1"/>
    <col min="10511" max="10511" width="13" style="253" customWidth="1"/>
    <col min="10512" max="10512" width="12" style="253" bestFit="1" customWidth="1"/>
    <col min="10513" max="10513" width="13.08984375" style="253" customWidth="1"/>
    <col min="10514" max="10514" width="11.6328125" style="253" customWidth="1"/>
    <col min="10515" max="10516" width="8.90625" style="253"/>
    <col min="10517" max="10517" width="12.08984375" style="253" customWidth="1"/>
    <col min="10518" max="10518" width="11.6328125" style="253" customWidth="1"/>
    <col min="10519" max="10521" width="8.90625" style="253"/>
    <col min="10522" max="10522" width="10.81640625" style="253" customWidth="1"/>
    <col min="10523" max="10524" width="8.90625" style="253"/>
    <col min="10525" max="10525" width="13.90625" style="253" customWidth="1"/>
    <col min="10526" max="10526" width="10.6328125" style="253" customWidth="1"/>
    <col min="10527" max="10529" width="8.90625" style="253"/>
    <col min="10530" max="10530" width="12" style="253" customWidth="1"/>
    <col min="10531" max="10532" width="8.90625" style="253"/>
    <col min="10533" max="10533" width="9.81640625" style="253" customWidth="1"/>
    <col min="10534" max="10534" width="10.6328125" style="253" customWidth="1"/>
    <col min="10535" max="10540" width="8.90625" style="253"/>
    <col min="10541" max="10541" width="9.36328125" style="253" bestFit="1" customWidth="1"/>
    <col min="10542" max="10542" width="9.1796875" style="253" bestFit="1" customWidth="1"/>
    <col min="10543" max="10543" width="9.08984375" style="253" bestFit="1" customWidth="1"/>
    <col min="10544" max="10754" width="8.90625" style="253"/>
    <col min="10755" max="10755" width="7.54296875" style="253" customWidth="1"/>
    <col min="10756" max="10756" width="43" style="253" customWidth="1"/>
    <col min="10757" max="10757" width="10.453125" style="253" customWidth="1"/>
    <col min="10758" max="10758" width="11.6328125" style="253" customWidth="1"/>
    <col min="10759" max="10759" width="11.1796875" style="253" customWidth="1"/>
    <col min="10760" max="10760" width="11.08984375" style="253" customWidth="1"/>
    <col min="10761" max="10761" width="9.90625" style="253" customWidth="1"/>
    <col min="10762" max="10762" width="12.1796875" style="253" customWidth="1"/>
    <col min="10763" max="10763" width="11.36328125" style="253" customWidth="1"/>
    <col min="10764" max="10764" width="10" style="253" customWidth="1"/>
    <col min="10765" max="10765" width="41" style="253" customWidth="1"/>
    <col min="10766" max="10766" width="11.81640625" style="253" customWidth="1"/>
    <col min="10767" max="10767" width="13" style="253" customWidth="1"/>
    <col min="10768" max="10768" width="12" style="253" bestFit="1" customWidth="1"/>
    <col min="10769" max="10769" width="13.08984375" style="253" customWidth="1"/>
    <col min="10770" max="10770" width="11.6328125" style="253" customWidth="1"/>
    <col min="10771" max="10772" width="8.90625" style="253"/>
    <col min="10773" max="10773" width="12.08984375" style="253" customWidth="1"/>
    <col min="10774" max="10774" width="11.6328125" style="253" customWidth="1"/>
    <col min="10775" max="10777" width="8.90625" style="253"/>
    <col min="10778" max="10778" width="10.81640625" style="253" customWidth="1"/>
    <col min="10779" max="10780" width="8.90625" style="253"/>
    <col min="10781" max="10781" width="13.90625" style="253" customWidth="1"/>
    <col min="10782" max="10782" width="10.6328125" style="253" customWidth="1"/>
    <col min="10783" max="10785" width="8.90625" style="253"/>
    <col min="10786" max="10786" width="12" style="253" customWidth="1"/>
    <col min="10787" max="10788" width="8.90625" style="253"/>
    <col min="10789" max="10789" width="9.81640625" style="253" customWidth="1"/>
    <col min="10790" max="10790" width="10.6328125" style="253" customWidth="1"/>
    <col min="10791" max="10796" width="8.90625" style="253"/>
    <col min="10797" max="10797" width="9.36328125" style="253" bestFit="1" customWidth="1"/>
    <col min="10798" max="10798" width="9.1796875" style="253" bestFit="1" customWidth="1"/>
    <col min="10799" max="10799" width="9.08984375" style="253" bestFit="1" customWidth="1"/>
    <col min="10800" max="11010" width="8.90625" style="253"/>
    <col min="11011" max="11011" width="7.54296875" style="253" customWidth="1"/>
    <col min="11012" max="11012" width="43" style="253" customWidth="1"/>
    <col min="11013" max="11013" width="10.453125" style="253" customWidth="1"/>
    <col min="11014" max="11014" width="11.6328125" style="253" customWidth="1"/>
    <col min="11015" max="11015" width="11.1796875" style="253" customWidth="1"/>
    <col min="11016" max="11016" width="11.08984375" style="253" customWidth="1"/>
    <col min="11017" max="11017" width="9.90625" style="253" customWidth="1"/>
    <col min="11018" max="11018" width="12.1796875" style="253" customWidth="1"/>
    <col min="11019" max="11019" width="11.36328125" style="253" customWidth="1"/>
    <col min="11020" max="11020" width="10" style="253" customWidth="1"/>
    <col min="11021" max="11021" width="41" style="253" customWidth="1"/>
    <col min="11022" max="11022" width="11.81640625" style="253" customWidth="1"/>
    <col min="11023" max="11023" width="13" style="253" customWidth="1"/>
    <col min="11024" max="11024" width="12" style="253" bestFit="1" customWidth="1"/>
    <col min="11025" max="11025" width="13.08984375" style="253" customWidth="1"/>
    <col min="11026" max="11026" width="11.6328125" style="253" customWidth="1"/>
    <col min="11027" max="11028" width="8.90625" style="253"/>
    <col min="11029" max="11029" width="12.08984375" style="253" customWidth="1"/>
    <col min="11030" max="11030" width="11.6328125" style="253" customWidth="1"/>
    <col min="11031" max="11033" width="8.90625" style="253"/>
    <col min="11034" max="11034" width="10.81640625" style="253" customWidth="1"/>
    <col min="11035" max="11036" width="8.90625" style="253"/>
    <col min="11037" max="11037" width="13.90625" style="253" customWidth="1"/>
    <col min="11038" max="11038" width="10.6328125" style="253" customWidth="1"/>
    <col min="11039" max="11041" width="8.90625" style="253"/>
    <col min="11042" max="11042" width="12" style="253" customWidth="1"/>
    <col min="11043" max="11044" width="8.90625" style="253"/>
    <col min="11045" max="11045" width="9.81640625" style="253" customWidth="1"/>
    <col min="11046" max="11046" width="10.6328125" style="253" customWidth="1"/>
    <col min="11047" max="11052" width="8.90625" style="253"/>
    <col min="11053" max="11053" width="9.36328125" style="253" bestFit="1" customWidth="1"/>
    <col min="11054" max="11054" width="9.1796875" style="253" bestFit="1" customWidth="1"/>
    <col min="11055" max="11055" width="9.08984375" style="253" bestFit="1" customWidth="1"/>
    <col min="11056" max="11266" width="8.90625" style="253"/>
    <col min="11267" max="11267" width="7.54296875" style="253" customWidth="1"/>
    <col min="11268" max="11268" width="43" style="253" customWidth="1"/>
    <col min="11269" max="11269" width="10.453125" style="253" customWidth="1"/>
    <col min="11270" max="11270" width="11.6328125" style="253" customWidth="1"/>
    <col min="11271" max="11271" width="11.1796875" style="253" customWidth="1"/>
    <col min="11272" max="11272" width="11.08984375" style="253" customWidth="1"/>
    <col min="11273" max="11273" width="9.90625" style="253" customWidth="1"/>
    <col min="11274" max="11274" width="12.1796875" style="253" customWidth="1"/>
    <col min="11275" max="11275" width="11.36328125" style="253" customWidth="1"/>
    <col min="11276" max="11276" width="10" style="253" customWidth="1"/>
    <col min="11277" max="11277" width="41" style="253" customWidth="1"/>
    <col min="11278" max="11278" width="11.81640625" style="253" customWidth="1"/>
    <col min="11279" max="11279" width="13" style="253" customWidth="1"/>
    <col min="11280" max="11280" width="12" style="253" bestFit="1" customWidth="1"/>
    <col min="11281" max="11281" width="13.08984375" style="253" customWidth="1"/>
    <col min="11282" max="11282" width="11.6328125" style="253" customWidth="1"/>
    <col min="11283" max="11284" width="8.90625" style="253"/>
    <col min="11285" max="11285" width="12.08984375" style="253" customWidth="1"/>
    <col min="11286" max="11286" width="11.6328125" style="253" customWidth="1"/>
    <col min="11287" max="11289" width="8.90625" style="253"/>
    <col min="11290" max="11290" width="10.81640625" style="253" customWidth="1"/>
    <col min="11291" max="11292" width="8.90625" style="253"/>
    <col min="11293" max="11293" width="13.90625" style="253" customWidth="1"/>
    <col min="11294" max="11294" width="10.6328125" style="253" customWidth="1"/>
    <col min="11295" max="11297" width="8.90625" style="253"/>
    <col min="11298" max="11298" width="12" style="253" customWidth="1"/>
    <col min="11299" max="11300" width="8.90625" style="253"/>
    <col min="11301" max="11301" width="9.81640625" style="253" customWidth="1"/>
    <col min="11302" max="11302" width="10.6328125" style="253" customWidth="1"/>
    <col min="11303" max="11308" width="8.90625" style="253"/>
    <col min="11309" max="11309" width="9.36328125" style="253" bestFit="1" customWidth="1"/>
    <col min="11310" max="11310" width="9.1796875" style="253" bestFit="1" customWidth="1"/>
    <col min="11311" max="11311" width="9.08984375" style="253" bestFit="1" customWidth="1"/>
    <col min="11312" max="11522" width="8.90625" style="253"/>
    <col min="11523" max="11523" width="7.54296875" style="253" customWidth="1"/>
    <col min="11524" max="11524" width="43" style="253" customWidth="1"/>
    <col min="11525" max="11525" width="10.453125" style="253" customWidth="1"/>
    <col min="11526" max="11526" width="11.6328125" style="253" customWidth="1"/>
    <col min="11527" max="11527" width="11.1796875" style="253" customWidth="1"/>
    <col min="11528" max="11528" width="11.08984375" style="253" customWidth="1"/>
    <col min="11529" max="11529" width="9.90625" style="253" customWidth="1"/>
    <col min="11530" max="11530" width="12.1796875" style="253" customWidth="1"/>
    <col min="11531" max="11531" width="11.36328125" style="253" customWidth="1"/>
    <col min="11532" max="11532" width="10" style="253" customWidth="1"/>
    <col min="11533" max="11533" width="41" style="253" customWidth="1"/>
    <col min="11534" max="11534" width="11.81640625" style="253" customWidth="1"/>
    <col min="11535" max="11535" width="13" style="253" customWidth="1"/>
    <col min="11536" max="11536" width="12" style="253" bestFit="1" customWidth="1"/>
    <col min="11537" max="11537" width="13.08984375" style="253" customWidth="1"/>
    <col min="11538" max="11538" width="11.6328125" style="253" customWidth="1"/>
    <col min="11539" max="11540" width="8.90625" style="253"/>
    <col min="11541" max="11541" width="12.08984375" style="253" customWidth="1"/>
    <col min="11542" max="11542" width="11.6328125" style="253" customWidth="1"/>
    <col min="11543" max="11545" width="8.90625" style="253"/>
    <col min="11546" max="11546" width="10.81640625" style="253" customWidth="1"/>
    <col min="11547" max="11548" width="8.90625" style="253"/>
    <col min="11549" max="11549" width="13.90625" style="253" customWidth="1"/>
    <col min="11550" max="11550" width="10.6328125" style="253" customWidth="1"/>
    <col min="11551" max="11553" width="8.90625" style="253"/>
    <col min="11554" max="11554" width="12" style="253" customWidth="1"/>
    <col min="11555" max="11556" width="8.90625" style="253"/>
    <col min="11557" max="11557" width="9.81640625" style="253" customWidth="1"/>
    <col min="11558" max="11558" width="10.6328125" style="253" customWidth="1"/>
    <col min="11559" max="11564" width="8.90625" style="253"/>
    <col min="11565" max="11565" width="9.36328125" style="253" bestFit="1" customWidth="1"/>
    <col min="11566" max="11566" width="9.1796875" style="253" bestFit="1" customWidth="1"/>
    <col min="11567" max="11567" width="9.08984375" style="253" bestFit="1" customWidth="1"/>
    <col min="11568" max="11778" width="8.90625" style="253"/>
    <col min="11779" max="11779" width="7.54296875" style="253" customWidth="1"/>
    <col min="11780" max="11780" width="43" style="253" customWidth="1"/>
    <col min="11781" max="11781" width="10.453125" style="253" customWidth="1"/>
    <col min="11782" max="11782" width="11.6328125" style="253" customWidth="1"/>
    <col min="11783" max="11783" width="11.1796875" style="253" customWidth="1"/>
    <col min="11784" max="11784" width="11.08984375" style="253" customWidth="1"/>
    <col min="11785" max="11785" width="9.90625" style="253" customWidth="1"/>
    <col min="11786" max="11786" width="12.1796875" style="253" customWidth="1"/>
    <col min="11787" max="11787" width="11.36328125" style="253" customWidth="1"/>
    <col min="11788" max="11788" width="10" style="253" customWidth="1"/>
    <col min="11789" max="11789" width="41" style="253" customWidth="1"/>
    <col min="11790" max="11790" width="11.81640625" style="253" customWidth="1"/>
    <col min="11791" max="11791" width="13" style="253" customWidth="1"/>
    <col min="11792" max="11792" width="12" style="253" bestFit="1" customWidth="1"/>
    <col min="11793" max="11793" width="13.08984375" style="253" customWidth="1"/>
    <col min="11794" max="11794" width="11.6328125" style="253" customWidth="1"/>
    <col min="11795" max="11796" width="8.90625" style="253"/>
    <col min="11797" max="11797" width="12.08984375" style="253" customWidth="1"/>
    <col min="11798" max="11798" width="11.6328125" style="253" customWidth="1"/>
    <col min="11799" max="11801" width="8.90625" style="253"/>
    <col min="11802" max="11802" width="10.81640625" style="253" customWidth="1"/>
    <col min="11803" max="11804" width="8.90625" style="253"/>
    <col min="11805" max="11805" width="13.90625" style="253" customWidth="1"/>
    <col min="11806" max="11806" width="10.6328125" style="253" customWidth="1"/>
    <col min="11807" max="11809" width="8.90625" style="253"/>
    <col min="11810" max="11810" width="12" style="253" customWidth="1"/>
    <col min="11811" max="11812" width="8.90625" style="253"/>
    <col min="11813" max="11813" width="9.81640625" style="253" customWidth="1"/>
    <col min="11814" max="11814" width="10.6328125" style="253" customWidth="1"/>
    <col min="11815" max="11820" width="8.90625" style="253"/>
    <col min="11821" max="11821" width="9.36328125" style="253" bestFit="1" customWidth="1"/>
    <col min="11822" max="11822" width="9.1796875" style="253" bestFit="1" customWidth="1"/>
    <col min="11823" max="11823" width="9.08984375" style="253" bestFit="1" customWidth="1"/>
    <col min="11824" max="12034" width="8.90625" style="253"/>
    <col min="12035" max="12035" width="7.54296875" style="253" customWidth="1"/>
    <col min="12036" max="12036" width="43" style="253" customWidth="1"/>
    <col min="12037" max="12037" width="10.453125" style="253" customWidth="1"/>
    <col min="12038" max="12038" width="11.6328125" style="253" customWidth="1"/>
    <col min="12039" max="12039" width="11.1796875" style="253" customWidth="1"/>
    <col min="12040" max="12040" width="11.08984375" style="253" customWidth="1"/>
    <col min="12041" max="12041" width="9.90625" style="253" customWidth="1"/>
    <col min="12042" max="12042" width="12.1796875" style="253" customWidth="1"/>
    <col min="12043" max="12043" width="11.36328125" style="253" customWidth="1"/>
    <col min="12044" max="12044" width="10" style="253" customWidth="1"/>
    <col min="12045" max="12045" width="41" style="253" customWidth="1"/>
    <col min="12046" max="12046" width="11.81640625" style="253" customWidth="1"/>
    <col min="12047" max="12047" width="13" style="253" customWidth="1"/>
    <col min="12048" max="12048" width="12" style="253" bestFit="1" customWidth="1"/>
    <col min="12049" max="12049" width="13.08984375" style="253" customWidth="1"/>
    <col min="12050" max="12050" width="11.6328125" style="253" customWidth="1"/>
    <col min="12051" max="12052" width="8.90625" style="253"/>
    <col min="12053" max="12053" width="12.08984375" style="253" customWidth="1"/>
    <col min="12054" max="12054" width="11.6328125" style="253" customWidth="1"/>
    <col min="12055" max="12057" width="8.90625" style="253"/>
    <col min="12058" max="12058" width="10.81640625" style="253" customWidth="1"/>
    <col min="12059" max="12060" width="8.90625" style="253"/>
    <col min="12061" max="12061" width="13.90625" style="253" customWidth="1"/>
    <col min="12062" max="12062" width="10.6328125" style="253" customWidth="1"/>
    <col min="12063" max="12065" width="8.90625" style="253"/>
    <col min="12066" max="12066" width="12" style="253" customWidth="1"/>
    <col min="12067" max="12068" width="8.90625" style="253"/>
    <col min="12069" max="12069" width="9.81640625" style="253" customWidth="1"/>
    <col min="12070" max="12070" width="10.6328125" style="253" customWidth="1"/>
    <col min="12071" max="12076" width="8.90625" style="253"/>
    <col min="12077" max="12077" width="9.36328125" style="253" bestFit="1" customWidth="1"/>
    <col min="12078" max="12078" width="9.1796875" style="253" bestFit="1" customWidth="1"/>
    <col min="12079" max="12079" width="9.08984375" style="253" bestFit="1" customWidth="1"/>
    <col min="12080" max="12290" width="8.90625" style="253"/>
    <col min="12291" max="12291" width="7.54296875" style="253" customWidth="1"/>
    <col min="12292" max="12292" width="43" style="253" customWidth="1"/>
    <col min="12293" max="12293" width="10.453125" style="253" customWidth="1"/>
    <col min="12294" max="12294" width="11.6328125" style="253" customWidth="1"/>
    <col min="12295" max="12295" width="11.1796875" style="253" customWidth="1"/>
    <col min="12296" max="12296" width="11.08984375" style="253" customWidth="1"/>
    <col min="12297" max="12297" width="9.90625" style="253" customWidth="1"/>
    <col min="12298" max="12298" width="12.1796875" style="253" customWidth="1"/>
    <col min="12299" max="12299" width="11.36328125" style="253" customWidth="1"/>
    <col min="12300" max="12300" width="10" style="253" customWidth="1"/>
    <col min="12301" max="12301" width="41" style="253" customWidth="1"/>
    <col min="12302" max="12302" width="11.81640625" style="253" customWidth="1"/>
    <col min="12303" max="12303" width="13" style="253" customWidth="1"/>
    <col min="12304" max="12304" width="12" style="253" bestFit="1" customWidth="1"/>
    <col min="12305" max="12305" width="13.08984375" style="253" customWidth="1"/>
    <col min="12306" max="12306" width="11.6328125" style="253" customWidth="1"/>
    <col min="12307" max="12308" width="8.90625" style="253"/>
    <col min="12309" max="12309" width="12.08984375" style="253" customWidth="1"/>
    <col min="12310" max="12310" width="11.6328125" style="253" customWidth="1"/>
    <col min="12311" max="12313" width="8.90625" style="253"/>
    <col min="12314" max="12314" width="10.81640625" style="253" customWidth="1"/>
    <col min="12315" max="12316" width="8.90625" style="253"/>
    <col min="12317" max="12317" width="13.90625" style="253" customWidth="1"/>
    <col min="12318" max="12318" width="10.6328125" style="253" customWidth="1"/>
    <col min="12319" max="12321" width="8.90625" style="253"/>
    <col min="12322" max="12322" width="12" style="253" customWidth="1"/>
    <col min="12323" max="12324" width="8.90625" style="253"/>
    <col min="12325" max="12325" width="9.81640625" style="253" customWidth="1"/>
    <col min="12326" max="12326" width="10.6328125" style="253" customWidth="1"/>
    <col min="12327" max="12332" width="8.90625" style="253"/>
    <col min="12333" max="12333" width="9.36328125" style="253" bestFit="1" customWidth="1"/>
    <col min="12334" max="12334" width="9.1796875" style="253" bestFit="1" customWidth="1"/>
    <col min="12335" max="12335" width="9.08984375" style="253" bestFit="1" customWidth="1"/>
    <col min="12336" max="12546" width="8.90625" style="253"/>
    <col min="12547" max="12547" width="7.54296875" style="253" customWidth="1"/>
    <col min="12548" max="12548" width="43" style="253" customWidth="1"/>
    <col min="12549" max="12549" width="10.453125" style="253" customWidth="1"/>
    <col min="12550" max="12550" width="11.6328125" style="253" customWidth="1"/>
    <col min="12551" max="12551" width="11.1796875" style="253" customWidth="1"/>
    <col min="12552" max="12552" width="11.08984375" style="253" customWidth="1"/>
    <col min="12553" max="12553" width="9.90625" style="253" customWidth="1"/>
    <col min="12554" max="12554" width="12.1796875" style="253" customWidth="1"/>
    <col min="12555" max="12555" width="11.36328125" style="253" customWidth="1"/>
    <col min="12556" max="12556" width="10" style="253" customWidth="1"/>
    <col min="12557" max="12557" width="41" style="253" customWidth="1"/>
    <col min="12558" max="12558" width="11.81640625" style="253" customWidth="1"/>
    <col min="12559" max="12559" width="13" style="253" customWidth="1"/>
    <col min="12560" max="12560" width="12" style="253" bestFit="1" customWidth="1"/>
    <col min="12561" max="12561" width="13.08984375" style="253" customWidth="1"/>
    <col min="12562" max="12562" width="11.6328125" style="253" customWidth="1"/>
    <col min="12563" max="12564" width="8.90625" style="253"/>
    <col min="12565" max="12565" width="12.08984375" style="253" customWidth="1"/>
    <col min="12566" max="12566" width="11.6328125" style="253" customWidth="1"/>
    <col min="12567" max="12569" width="8.90625" style="253"/>
    <col min="12570" max="12570" width="10.81640625" style="253" customWidth="1"/>
    <col min="12571" max="12572" width="8.90625" style="253"/>
    <col min="12573" max="12573" width="13.90625" style="253" customWidth="1"/>
    <col min="12574" max="12574" width="10.6328125" style="253" customWidth="1"/>
    <col min="12575" max="12577" width="8.90625" style="253"/>
    <col min="12578" max="12578" width="12" style="253" customWidth="1"/>
    <col min="12579" max="12580" width="8.90625" style="253"/>
    <col min="12581" max="12581" width="9.81640625" style="253" customWidth="1"/>
    <col min="12582" max="12582" width="10.6328125" style="253" customWidth="1"/>
    <col min="12583" max="12588" width="8.90625" style="253"/>
    <col min="12589" max="12589" width="9.36328125" style="253" bestFit="1" customWidth="1"/>
    <col min="12590" max="12590" width="9.1796875" style="253" bestFit="1" customWidth="1"/>
    <col min="12591" max="12591" width="9.08984375" style="253" bestFit="1" customWidth="1"/>
    <col min="12592" max="12802" width="8.90625" style="253"/>
    <col min="12803" max="12803" width="7.54296875" style="253" customWidth="1"/>
    <col min="12804" max="12804" width="43" style="253" customWidth="1"/>
    <col min="12805" max="12805" width="10.453125" style="253" customWidth="1"/>
    <col min="12806" max="12806" width="11.6328125" style="253" customWidth="1"/>
    <col min="12807" max="12807" width="11.1796875" style="253" customWidth="1"/>
    <col min="12808" max="12808" width="11.08984375" style="253" customWidth="1"/>
    <col min="12809" max="12809" width="9.90625" style="253" customWidth="1"/>
    <col min="12810" max="12810" width="12.1796875" style="253" customWidth="1"/>
    <col min="12811" max="12811" width="11.36328125" style="253" customWidth="1"/>
    <col min="12812" max="12812" width="10" style="253" customWidth="1"/>
    <col min="12813" max="12813" width="41" style="253" customWidth="1"/>
    <col min="12814" max="12814" width="11.81640625" style="253" customWidth="1"/>
    <col min="12815" max="12815" width="13" style="253" customWidth="1"/>
    <col min="12816" max="12816" width="12" style="253" bestFit="1" customWidth="1"/>
    <col min="12817" max="12817" width="13.08984375" style="253" customWidth="1"/>
    <col min="12818" max="12818" width="11.6328125" style="253" customWidth="1"/>
    <col min="12819" max="12820" width="8.90625" style="253"/>
    <col min="12821" max="12821" width="12.08984375" style="253" customWidth="1"/>
    <col min="12822" max="12822" width="11.6328125" style="253" customWidth="1"/>
    <col min="12823" max="12825" width="8.90625" style="253"/>
    <col min="12826" max="12826" width="10.81640625" style="253" customWidth="1"/>
    <col min="12827" max="12828" width="8.90625" style="253"/>
    <col min="12829" max="12829" width="13.90625" style="253" customWidth="1"/>
    <col min="12830" max="12830" width="10.6328125" style="253" customWidth="1"/>
    <col min="12831" max="12833" width="8.90625" style="253"/>
    <col min="12834" max="12834" width="12" style="253" customWidth="1"/>
    <col min="12835" max="12836" width="8.90625" style="253"/>
    <col min="12837" max="12837" width="9.81640625" style="253" customWidth="1"/>
    <col min="12838" max="12838" width="10.6328125" style="253" customWidth="1"/>
    <col min="12839" max="12844" width="8.90625" style="253"/>
    <col min="12845" max="12845" width="9.36328125" style="253" bestFit="1" customWidth="1"/>
    <col min="12846" max="12846" width="9.1796875" style="253" bestFit="1" customWidth="1"/>
    <col min="12847" max="12847" width="9.08984375" style="253" bestFit="1" customWidth="1"/>
    <col min="12848" max="13058" width="8.90625" style="253"/>
    <col min="13059" max="13059" width="7.54296875" style="253" customWidth="1"/>
    <col min="13060" max="13060" width="43" style="253" customWidth="1"/>
    <col min="13061" max="13061" width="10.453125" style="253" customWidth="1"/>
    <col min="13062" max="13062" width="11.6328125" style="253" customWidth="1"/>
    <col min="13063" max="13063" width="11.1796875" style="253" customWidth="1"/>
    <col min="13064" max="13064" width="11.08984375" style="253" customWidth="1"/>
    <col min="13065" max="13065" width="9.90625" style="253" customWidth="1"/>
    <col min="13066" max="13066" width="12.1796875" style="253" customWidth="1"/>
    <col min="13067" max="13067" width="11.36328125" style="253" customWidth="1"/>
    <col min="13068" max="13068" width="10" style="253" customWidth="1"/>
    <col min="13069" max="13069" width="41" style="253" customWidth="1"/>
    <col min="13070" max="13070" width="11.81640625" style="253" customWidth="1"/>
    <col min="13071" max="13071" width="13" style="253" customWidth="1"/>
    <col min="13072" max="13072" width="12" style="253" bestFit="1" customWidth="1"/>
    <col min="13073" max="13073" width="13.08984375" style="253" customWidth="1"/>
    <col min="13074" max="13074" width="11.6328125" style="253" customWidth="1"/>
    <col min="13075" max="13076" width="8.90625" style="253"/>
    <col min="13077" max="13077" width="12.08984375" style="253" customWidth="1"/>
    <col min="13078" max="13078" width="11.6328125" style="253" customWidth="1"/>
    <col min="13079" max="13081" width="8.90625" style="253"/>
    <col min="13082" max="13082" width="10.81640625" style="253" customWidth="1"/>
    <col min="13083" max="13084" width="8.90625" style="253"/>
    <col min="13085" max="13085" width="13.90625" style="253" customWidth="1"/>
    <col min="13086" max="13086" width="10.6328125" style="253" customWidth="1"/>
    <col min="13087" max="13089" width="8.90625" style="253"/>
    <col min="13090" max="13090" width="12" style="253" customWidth="1"/>
    <col min="13091" max="13092" width="8.90625" style="253"/>
    <col min="13093" max="13093" width="9.81640625" style="253" customWidth="1"/>
    <col min="13094" max="13094" width="10.6328125" style="253" customWidth="1"/>
    <col min="13095" max="13100" width="8.90625" style="253"/>
    <col min="13101" max="13101" width="9.36328125" style="253" bestFit="1" customWidth="1"/>
    <col min="13102" max="13102" width="9.1796875" style="253" bestFit="1" customWidth="1"/>
    <col min="13103" max="13103" width="9.08984375" style="253" bestFit="1" customWidth="1"/>
    <col min="13104" max="13314" width="8.90625" style="253"/>
    <col min="13315" max="13315" width="7.54296875" style="253" customWidth="1"/>
    <col min="13316" max="13316" width="43" style="253" customWidth="1"/>
    <col min="13317" max="13317" width="10.453125" style="253" customWidth="1"/>
    <col min="13318" max="13318" width="11.6328125" style="253" customWidth="1"/>
    <col min="13319" max="13319" width="11.1796875" style="253" customWidth="1"/>
    <col min="13320" max="13320" width="11.08984375" style="253" customWidth="1"/>
    <col min="13321" max="13321" width="9.90625" style="253" customWidth="1"/>
    <col min="13322" max="13322" width="12.1796875" style="253" customWidth="1"/>
    <col min="13323" max="13323" width="11.36328125" style="253" customWidth="1"/>
    <col min="13324" max="13324" width="10" style="253" customWidth="1"/>
    <col min="13325" max="13325" width="41" style="253" customWidth="1"/>
    <col min="13326" max="13326" width="11.81640625" style="253" customWidth="1"/>
    <col min="13327" max="13327" width="13" style="253" customWidth="1"/>
    <col min="13328" max="13328" width="12" style="253" bestFit="1" customWidth="1"/>
    <col min="13329" max="13329" width="13.08984375" style="253" customWidth="1"/>
    <col min="13330" max="13330" width="11.6328125" style="253" customWidth="1"/>
    <col min="13331" max="13332" width="8.90625" style="253"/>
    <col min="13333" max="13333" width="12.08984375" style="253" customWidth="1"/>
    <col min="13334" max="13334" width="11.6328125" style="253" customWidth="1"/>
    <col min="13335" max="13337" width="8.90625" style="253"/>
    <col min="13338" max="13338" width="10.81640625" style="253" customWidth="1"/>
    <col min="13339" max="13340" width="8.90625" style="253"/>
    <col min="13341" max="13341" width="13.90625" style="253" customWidth="1"/>
    <col min="13342" max="13342" width="10.6328125" style="253" customWidth="1"/>
    <col min="13343" max="13345" width="8.90625" style="253"/>
    <col min="13346" max="13346" width="12" style="253" customWidth="1"/>
    <col min="13347" max="13348" width="8.90625" style="253"/>
    <col min="13349" max="13349" width="9.81640625" style="253" customWidth="1"/>
    <col min="13350" max="13350" width="10.6328125" style="253" customWidth="1"/>
    <col min="13351" max="13356" width="8.90625" style="253"/>
    <col min="13357" max="13357" width="9.36328125" style="253" bestFit="1" customWidth="1"/>
    <col min="13358" max="13358" width="9.1796875" style="253" bestFit="1" customWidth="1"/>
    <col min="13359" max="13359" width="9.08984375" style="253" bestFit="1" customWidth="1"/>
    <col min="13360" max="13570" width="8.90625" style="253"/>
    <col min="13571" max="13571" width="7.54296875" style="253" customWidth="1"/>
    <col min="13572" max="13572" width="43" style="253" customWidth="1"/>
    <col min="13573" max="13573" width="10.453125" style="253" customWidth="1"/>
    <col min="13574" max="13574" width="11.6328125" style="253" customWidth="1"/>
    <col min="13575" max="13575" width="11.1796875" style="253" customWidth="1"/>
    <col min="13576" max="13576" width="11.08984375" style="253" customWidth="1"/>
    <col min="13577" max="13577" width="9.90625" style="253" customWidth="1"/>
    <col min="13578" max="13578" width="12.1796875" style="253" customWidth="1"/>
    <col min="13579" max="13579" width="11.36328125" style="253" customWidth="1"/>
    <col min="13580" max="13580" width="10" style="253" customWidth="1"/>
    <col min="13581" max="13581" width="41" style="253" customWidth="1"/>
    <col min="13582" max="13582" width="11.81640625" style="253" customWidth="1"/>
    <col min="13583" max="13583" width="13" style="253" customWidth="1"/>
    <col min="13584" max="13584" width="12" style="253" bestFit="1" customWidth="1"/>
    <col min="13585" max="13585" width="13.08984375" style="253" customWidth="1"/>
    <col min="13586" max="13586" width="11.6328125" style="253" customWidth="1"/>
    <col min="13587" max="13588" width="8.90625" style="253"/>
    <col min="13589" max="13589" width="12.08984375" style="253" customWidth="1"/>
    <col min="13590" max="13590" width="11.6328125" style="253" customWidth="1"/>
    <col min="13591" max="13593" width="8.90625" style="253"/>
    <col min="13594" max="13594" width="10.81640625" style="253" customWidth="1"/>
    <col min="13595" max="13596" width="8.90625" style="253"/>
    <col min="13597" max="13597" width="13.90625" style="253" customWidth="1"/>
    <col min="13598" max="13598" width="10.6328125" style="253" customWidth="1"/>
    <col min="13599" max="13601" width="8.90625" style="253"/>
    <col min="13602" max="13602" width="12" style="253" customWidth="1"/>
    <col min="13603" max="13604" width="8.90625" style="253"/>
    <col min="13605" max="13605" width="9.81640625" style="253" customWidth="1"/>
    <col min="13606" max="13606" width="10.6328125" style="253" customWidth="1"/>
    <col min="13607" max="13612" width="8.90625" style="253"/>
    <col min="13613" max="13613" width="9.36328125" style="253" bestFit="1" customWidth="1"/>
    <col min="13614" max="13614" width="9.1796875" style="253" bestFit="1" customWidth="1"/>
    <col min="13615" max="13615" width="9.08984375" style="253" bestFit="1" customWidth="1"/>
    <col min="13616" max="13826" width="8.90625" style="253"/>
    <col min="13827" max="13827" width="7.54296875" style="253" customWidth="1"/>
    <col min="13828" max="13828" width="43" style="253" customWidth="1"/>
    <col min="13829" max="13829" width="10.453125" style="253" customWidth="1"/>
    <col min="13830" max="13830" width="11.6328125" style="253" customWidth="1"/>
    <col min="13831" max="13831" width="11.1796875" style="253" customWidth="1"/>
    <col min="13832" max="13832" width="11.08984375" style="253" customWidth="1"/>
    <col min="13833" max="13833" width="9.90625" style="253" customWidth="1"/>
    <col min="13834" max="13834" width="12.1796875" style="253" customWidth="1"/>
    <col min="13835" max="13835" width="11.36328125" style="253" customWidth="1"/>
    <col min="13836" max="13836" width="10" style="253" customWidth="1"/>
    <col min="13837" max="13837" width="41" style="253" customWidth="1"/>
    <col min="13838" max="13838" width="11.81640625" style="253" customWidth="1"/>
    <col min="13839" max="13839" width="13" style="253" customWidth="1"/>
    <col min="13840" max="13840" width="12" style="253" bestFit="1" customWidth="1"/>
    <col min="13841" max="13841" width="13.08984375" style="253" customWidth="1"/>
    <col min="13842" max="13842" width="11.6328125" style="253" customWidth="1"/>
    <col min="13843" max="13844" width="8.90625" style="253"/>
    <col min="13845" max="13845" width="12.08984375" style="253" customWidth="1"/>
    <col min="13846" max="13846" width="11.6328125" style="253" customWidth="1"/>
    <col min="13847" max="13849" width="8.90625" style="253"/>
    <col min="13850" max="13850" width="10.81640625" style="253" customWidth="1"/>
    <col min="13851" max="13852" width="8.90625" style="253"/>
    <col min="13853" max="13853" width="13.90625" style="253" customWidth="1"/>
    <col min="13854" max="13854" width="10.6328125" style="253" customWidth="1"/>
    <col min="13855" max="13857" width="8.90625" style="253"/>
    <col min="13858" max="13858" width="12" style="253" customWidth="1"/>
    <col min="13859" max="13860" width="8.90625" style="253"/>
    <col min="13861" max="13861" width="9.81640625" style="253" customWidth="1"/>
    <col min="13862" max="13862" width="10.6328125" style="253" customWidth="1"/>
    <col min="13863" max="13868" width="8.90625" style="253"/>
    <col min="13869" max="13869" width="9.36328125" style="253" bestFit="1" customWidth="1"/>
    <col min="13870" max="13870" width="9.1796875" style="253" bestFit="1" customWidth="1"/>
    <col min="13871" max="13871" width="9.08984375" style="253" bestFit="1" customWidth="1"/>
    <col min="13872" max="14082" width="8.90625" style="253"/>
    <col min="14083" max="14083" width="7.54296875" style="253" customWidth="1"/>
    <col min="14084" max="14084" width="43" style="253" customWidth="1"/>
    <col min="14085" max="14085" width="10.453125" style="253" customWidth="1"/>
    <col min="14086" max="14086" width="11.6328125" style="253" customWidth="1"/>
    <col min="14087" max="14087" width="11.1796875" style="253" customWidth="1"/>
    <col min="14088" max="14088" width="11.08984375" style="253" customWidth="1"/>
    <col min="14089" max="14089" width="9.90625" style="253" customWidth="1"/>
    <col min="14090" max="14090" width="12.1796875" style="253" customWidth="1"/>
    <col min="14091" max="14091" width="11.36328125" style="253" customWidth="1"/>
    <col min="14092" max="14092" width="10" style="253" customWidth="1"/>
    <col min="14093" max="14093" width="41" style="253" customWidth="1"/>
    <col min="14094" max="14094" width="11.81640625" style="253" customWidth="1"/>
    <col min="14095" max="14095" width="13" style="253" customWidth="1"/>
    <col min="14096" max="14096" width="12" style="253" bestFit="1" customWidth="1"/>
    <col min="14097" max="14097" width="13.08984375" style="253" customWidth="1"/>
    <col min="14098" max="14098" width="11.6328125" style="253" customWidth="1"/>
    <col min="14099" max="14100" width="8.90625" style="253"/>
    <col min="14101" max="14101" width="12.08984375" style="253" customWidth="1"/>
    <col min="14102" max="14102" width="11.6328125" style="253" customWidth="1"/>
    <col min="14103" max="14105" width="8.90625" style="253"/>
    <col min="14106" max="14106" width="10.81640625" style="253" customWidth="1"/>
    <col min="14107" max="14108" width="8.90625" style="253"/>
    <col min="14109" max="14109" width="13.90625" style="253" customWidth="1"/>
    <col min="14110" max="14110" width="10.6328125" style="253" customWidth="1"/>
    <col min="14111" max="14113" width="8.90625" style="253"/>
    <col min="14114" max="14114" width="12" style="253" customWidth="1"/>
    <col min="14115" max="14116" width="8.90625" style="253"/>
    <col min="14117" max="14117" width="9.81640625" style="253" customWidth="1"/>
    <col min="14118" max="14118" width="10.6328125" style="253" customWidth="1"/>
    <col min="14119" max="14124" width="8.90625" style="253"/>
    <col min="14125" max="14125" width="9.36328125" style="253" bestFit="1" customWidth="1"/>
    <col min="14126" max="14126" width="9.1796875" style="253" bestFit="1" customWidth="1"/>
    <col min="14127" max="14127" width="9.08984375" style="253" bestFit="1" customWidth="1"/>
    <col min="14128" max="14338" width="8.90625" style="253"/>
    <col min="14339" max="14339" width="7.54296875" style="253" customWidth="1"/>
    <col min="14340" max="14340" width="43" style="253" customWidth="1"/>
    <col min="14341" max="14341" width="10.453125" style="253" customWidth="1"/>
    <col min="14342" max="14342" width="11.6328125" style="253" customWidth="1"/>
    <col min="14343" max="14343" width="11.1796875" style="253" customWidth="1"/>
    <col min="14344" max="14344" width="11.08984375" style="253" customWidth="1"/>
    <col min="14345" max="14345" width="9.90625" style="253" customWidth="1"/>
    <col min="14346" max="14346" width="12.1796875" style="253" customWidth="1"/>
    <col min="14347" max="14347" width="11.36328125" style="253" customWidth="1"/>
    <col min="14348" max="14348" width="10" style="253" customWidth="1"/>
    <col min="14349" max="14349" width="41" style="253" customWidth="1"/>
    <col min="14350" max="14350" width="11.81640625" style="253" customWidth="1"/>
    <col min="14351" max="14351" width="13" style="253" customWidth="1"/>
    <col min="14352" max="14352" width="12" style="253" bestFit="1" customWidth="1"/>
    <col min="14353" max="14353" width="13.08984375" style="253" customWidth="1"/>
    <col min="14354" max="14354" width="11.6328125" style="253" customWidth="1"/>
    <col min="14355" max="14356" width="8.90625" style="253"/>
    <col min="14357" max="14357" width="12.08984375" style="253" customWidth="1"/>
    <col min="14358" max="14358" width="11.6328125" style="253" customWidth="1"/>
    <col min="14359" max="14361" width="8.90625" style="253"/>
    <col min="14362" max="14362" width="10.81640625" style="253" customWidth="1"/>
    <col min="14363" max="14364" width="8.90625" style="253"/>
    <col min="14365" max="14365" width="13.90625" style="253" customWidth="1"/>
    <col min="14366" max="14366" width="10.6328125" style="253" customWidth="1"/>
    <col min="14367" max="14369" width="8.90625" style="253"/>
    <col min="14370" max="14370" width="12" style="253" customWidth="1"/>
    <col min="14371" max="14372" width="8.90625" style="253"/>
    <col min="14373" max="14373" width="9.81640625" style="253" customWidth="1"/>
    <col min="14374" max="14374" width="10.6328125" style="253" customWidth="1"/>
    <col min="14375" max="14380" width="8.90625" style="253"/>
    <col min="14381" max="14381" width="9.36328125" style="253" bestFit="1" customWidth="1"/>
    <col min="14382" max="14382" width="9.1796875" style="253" bestFit="1" customWidth="1"/>
    <col min="14383" max="14383" width="9.08984375" style="253" bestFit="1" customWidth="1"/>
    <col min="14384" max="14594" width="8.90625" style="253"/>
    <col min="14595" max="14595" width="7.54296875" style="253" customWidth="1"/>
    <col min="14596" max="14596" width="43" style="253" customWidth="1"/>
    <col min="14597" max="14597" width="10.453125" style="253" customWidth="1"/>
    <col min="14598" max="14598" width="11.6328125" style="253" customWidth="1"/>
    <col min="14599" max="14599" width="11.1796875" style="253" customWidth="1"/>
    <col min="14600" max="14600" width="11.08984375" style="253" customWidth="1"/>
    <col min="14601" max="14601" width="9.90625" style="253" customWidth="1"/>
    <col min="14602" max="14602" width="12.1796875" style="253" customWidth="1"/>
    <col min="14603" max="14603" width="11.36328125" style="253" customWidth="1"/>
    <col min="14604" max="14604" width="10" style="253" customWidth="1"/>
    <col min="14605" max="14605" width="41" style="253" customWidth="1"/>
    <col min="14606" max="14606" width="11.81640625" style="253" customWidth="1"/>
    <col min="14607" max="14607" width="13" style="253" customWidth="1"/>
    <col min="14608" max="14608" width="12" style="253" bestFit="1" customWidth="1"/>
    <col min="14609" max="14609" width="13.08984375" style="253" customWidth="1"/>
    <col min="14610" max="14610" width="11.6328125" style="253" customWidth="1"/>
    <col min="14611" max="14612" width="8.90625" style="253"/>
    <col min="14613" max="14613" width="12.08984375" style="253" customWidth="1"/>
    <col min="14614" max="14614" width="11.6328125" style="253" customWidth="1"/>
    <col min="14615" max="14617" width="8.90625" style="253"/>
    <col min="14618" max="14618" width="10.81640625" style="253" customWidth="1"/>
    <col min="14619" max="14620" width="8.90625" style="253"/>
    <col min="14621" max="14621" width="13.90625" style="253" customWidth="1"/>
    <col min="14622" max="14622" width="10.6328125" style="253" customWidth="1"/>
    <col min="14623" max="14625" width="8.90625" style="253"/>
    <col min="14626" max="14626" width="12" style="253" customWidth="1"/>
    <col min="14627" max="14628" width="8.90625" style="253"/>
    <col min="14629" max="14629" width="9.81640625" style="253" customWidth="1"/>
    <col min="14630" max="14630" width="10.6328125" style="253" customWidth="1"/>
    <col min="14631" max="14636" width="8.90625" style="253"/>
    <col min="14637" max="14637" width="9.36328125" style="253" bestFit="1" customWidth="1"/>
    <col min="14638" max="14638" width="9.1796875" style="253" bestFit="1" customWidth="1"/>
    <col min="14639" max="14639" width="9.08984375" style="253" bestFit="1" customWidth="1"/>
    <col min="14640" max="14850" width="8.90625" style="253"/>
    <col min="14851" max="14851" width="7.54296875" style="253" customWidth="1"/>
    <col min="14852" max="14852" width="43" style="253" customWidth="1"/>
    <col min="14853" max="14853" width="10.453125" style="253" customWidth="1"/>
    <col min="14854" max="14854" width="11.6328125" style="253" customWidth="1"/>
    <col min="14855" max="14855" width="11.1796875" style="253" customWidth="1"/>
    <col min="14856" max="14856" width="11.08984375" style="253" customWidth="1"/>
    <col min="14857" max="14857" width="9.90625" style="253" customWidth="1"/>
    <col min="14858" max="14858" width="12.1796875" style="253" customWidth="1"/>
    <col min="14859" max="14859" width="11.36328125" style="253" customWidth="1"/>
    <col min="14860" max="14860" width="10" style="253" customWidth="1"/>
    <col min="14861" max="14861" width="41" style="253" customWidth="1"/>
    <col min="14862" max="14862" width="11.81640625" style="253" customWidth="1"/>
    <col min="14863" max="14863" width="13" style="253" customWidth="1"/>
    <col min="14864" max="14864" width="12" style="253" bestFit="1" customWidth="1"/>
    <col min="14865" max="14865" width="13.08984375" style="253" customWidth="1"/>
    <col min="14866" max="14866" width="11.6328125" style="253" customWidth="1"/>
    <col min="14867" max="14868" width="8.90625" style="253"/>
    <col min="14869" max="14869" width="12.08984375" style="253" customWidth="1"/>
    <col min="14870" max="14870" width="11.6328125" style="253" customWidth="1"/>
    <col min="14871" max="14873" width="8.90625" style="253"/>
    <col min="14874" max="14874" width="10.81640625" style="253" customWidth="1"/>
    <col min="14875" max="14876" width="8.90625" style="253"/>
    <col min="14877" max="14877" width="13.90625" style="253" customWidth="1"/>
    <col min="14878" max="14878" width="10.6328125" style="253" customWidth="1"/>
    <col min="14879" max="14881" width="8.90625" style="253"/>
    <col min="14882" max="14882" width="12" style="253" customWidth="1"/>
    <col min="14883" max="14884" width="8.90625" style="253"/>
    <col min="14885" max="14885" width="9.81640625" style="253" customWidth="1"/>
    <col min="14886" max="14886" width="10.6328125" style="253" customWidth="1"/>
    <col min="14887" max="14892" width="8.90625" style="253"/>
    <col min="14893" max="14893" width="9.36328125" style="253" bestFit="1" customWidth="1"/>
    <col min="14894" max="14894" width="9.1796875" style="253" bestFit="1" customWidth="1"/>
    <col min="14895" max="14895" width="9.08984375" style="253" bestFit="1" customWidth="1"/>
    <col min="14896" max="15106" width="8.90625" style="253"/>
    <col min="15107" max="15107" width="7.54296875" style="253" customWidth="1"/>
    <col min="15108" max="15108" width="43" style="253" customWidth="1"/>
    <col min="15109" max="15109" width="10.453125" style="253" customWidth="1"/>
    <col min="15110" max="15110" width="11.6328125" style="253" customWidth="1"/>
    <col min="15111" max="15111" width="11.1796875" style="253" customWidth="1"/>
    <col min="15112" max="15112" width="11.08984375" style="253" customWidth="1"/>
    <col min="15113" max="15113" width="9.90625" style="253" customWidth="1"/>
    <col min="15114" max="15114" width="12.1796875" style="253" customWidth="1"/>
    <col min="15115" max="15115" width="11.36328125" style="253" customWidth="1"/>
    <col min="15116" max="15116" width="10" style="253" customWidth="1"/>
    <col min="15117" max="15117" width="41" style="253" customWidth="1"/>
    <col min="15118" max="15118" width="11.81640625" style="253" customWidth="1"/>
    <col min="15119" max="15119" width="13" style="253" customWidth="1"/>
    <col min="15120" max="15120" width="12" style="253" bestFit="1" customWidth="1"/>
    <col min="15121" max="15121" width="13.08984375" style="253" customWidth="1"/>
    <col min="15122" max="15122" width="11.6328125" style="253" customWidth="1"/>
    <col min="15123" max="15124" width="8.90625" style="253"/>
    <col min="15125" max="15125" width="12.08984375" style="253" customWidth="1"/>
    <col min="15126" max="15126" width="11.6328125" style="253" customWidth="1"/>
    <col min="15127" max="15129" width="8.90625" style="253"/>
    <col min="15130" max="15130" width="10.81640625" style="253" customWidth="1"/>
    <col min="15131" max="15132" width="8.90625" style="253"/>
    <col min="15133" max="15133" width="13.90625" style="253" customWidth="1"/>
    <col min="15134" max="15134" width="10.6328125" style="253" customWidth="1"/>
    <col min="15135" max="15137" width="8.90625" style="253"/>
    <col min="15138" max="15138" width="12" style="253" customWidth="1"/>
    <col min="15139" max="15140" width="8.90625" style="253"/>
    <col min="15141" max="15141" width="9.81640625" style="253" customWidth="1"/>
    <col min="15142" max="15142" width="10.6328125" style="253" customWidth="1"/>
    <col min="15143" max="15148" width="8.90625" style="253"/>
    <col min="15149" max="15149" width="9.36328125" style="253" bestFit="1" customWidth="1"/>
    <col min="15150" max="15150" width="9.1796875" style="253" bestFit="1" customWidth="1"/>
    <col min="15151" max="15151" width="9.08984375" style="253" bestFit="1" customWidth="1"/>
    <col min="15152" max="15362" width="8.90625" style="253"/>
    <col min="15363" max="15363" width="7.54296875" style="253" customWidth="1"/>
    <col min="15364" max="15364" width="43" style="253" customWidth="1"/>
    <col min="15365" max="15365" width="10.453125" style="253" customWidth="1"/>
    <col min="15366" max="15366" width="11.6328125" style="253" customWidth="1"/>
    <col min="15367" max="15367" width="11.1796875" style="253" customWidth="1"/>
    <col min="15368" max="15368" width="11.08984375" style="253" customWidth="1"/>
    <col min="15369" max="15369" width="9.90625" style="253" customWidth="1"/>
    <col min="15370" max="15370" width="12.1796875" style="253" customWidth="1"/>
    <col min="15371" max="15371" width="11.36328125" style="253" customWidth="1"/>
    <col min="15372" max="15372" width="10" style="253" customWidth="1"/>
    <col min="15373" max="15373" width="41" style="253" customWidth="1"/>
    <col min="15374" max="15374" width="11.81640625" style="253" customWidth="1"/>
    <col min="15375" max="15375" width="13" style="253" customWidth="1"/>
    <col min="15376" max="15376" width="12" style="253" bestFit="1" customWidth="1"/>
    <col min="15377" max="15377" width="13.08984375" style="253" customWidth="1"/>
    <col min="15378" max="15378" width="11.6328125" style="253" customWidth="1"/>
    <col min="15379" max="15380" width="8.90625" style="253"/>
    <col min="15381" max="15381" width="12.08984375" style="253" customWidth="1"/>
    <col min="15382" max="15382" width="11.6328125" style="253" customWidth="1"/>
    <col min="15383" max="15385" width="8.90625" style="253"/>
    <col min="15386" max="15386" width="10.81640625" style="253" customWidth="1"/>
    <col min="15387" max="15388" width="8.90625" style="253"/>
    <col min="15389" max="15389" width="13.90625" style="253" customWidth="1"/>
    <col min="15390" max="15390" width="10.6328125" style="253" customWidth="1"/>
    <col min="15391" max="15393" width="8.90625" style="253"/>
    <col min="15394" max="15394" width="12" style="253" customWidth="1"/>
    <col min="15395" max="15396" width="8.90625" style="253"/>
    <col min="15397" max="15397" width="9.81640625" style="253" customWidth="1"/>
    <col min="15398" max="15398" width="10.6328125" style="253" customWidth="1"/>
    <col min="15399" max="15404" width="8.90625" style="253"/>
    <col min="15405" max="15405" width="9.36328125" style="253" bestFit="1" customWidth="1"/>
    <col min="15406" max="15406" width="9.1796875" style="253" bestFit="1" customWidth="1"/>
    <col min="15407" max="15407" width="9.08984375" style="253" bestFit="1" customWidth="1"/>
    <col min="15408" max="15618" width="8.90625" style="253"/>
    <col min="15619" max="15619" width="7.54296875" style="253" customWidth="1"/>
    <col min="15620" max="15620" width="43" style="253" customWidth="1"/>
    <col min="15621" max="15621" width="10.453125" style="253" customWidth="1"/>
    <col min="15622" max="15622" width="11.6328125" style="253" customWidth="1"/>
    <col min="15623" max="15623" width="11.1796875" style="253" customWidth="1"/>
    <col min="15624" max="15624" width="11.08984375" style="253" customWidth="1"/>
    <col min="15625" max="15625" width="9.90625" style="253" customWidth="1"/>
    <col min="15626" max="15626" width="12.1796875" style="253" customWidth="1"/>
    <col min="15627" max="15627" width="11.36328125" style="253" customWidth="1"/>
    <col min="15628" max="15628" width="10" style="253" customWidth="1"/>
    <col min="15629" max="15629" width="41" style="253" customWidth="1"/>
    <col min="15630" max="15630" width="11.81640625" style="253" customWidth="1"/>
    <col min="15631" max="15631" width="13" style="253" customWidth="1"/>
    <col min="15632" max="15632" width="12" style="253" bestFit="1" customWidth="1"/>
    <col min="15633" max="15633" width="13.08984375" style="253" customWidth="1"/>
    <col min="15634" max="15634" width="11.6328125" style="253" customWidth="1"/>
    <col min="15635" max="15636" width="8.90625" style="253"/>
    <col min="15637" max="15637" width="12.08984375" style="253" customWidth="1"/>
    <col min="15638" max="15638" width="11.6328125" style="253" customWidth="1"/>
    <col min="15639" max="15641" width="8.90625" style="253"/>
    <col min="15642" max="15642" width="10.81640625" style="253" customWidth="1"/>
    <col min="15643" max="15644" width="8.90625" style="253"/>
    <col min="15645" max="15645" width="13.90625" style="253" customWidth="1"/>
    <col min="15646" max="15646" width="10.6328125" style="253" customWidth="1"/>
    <col min="15647" max="15649" width="8.90625" style="253"/>
    <col min="15650" max="15650" width="12" style="253" customWidth="1"/>
    <col min="15651" max="15652" width="8.90625" style="253"/>
    <col min="15653" max="15653" width="9.81640625" style="253" customWidth="1"/>
    <col min="15654" max="15654" width="10.6328125" style="253" customWidth="1"/>
    <col min="15655" max="15660" width="8.90625" style="253"/>
    <col min="15661" max="15661" width="9.36328125" style="253" bestFit="1" customWidth="1"/>
    <col min="15662" max="15662" width="9.1796875" style="253" bestFit="1" customWidth="1"/>
    <col min="15663" max="15663" width="9.08984375" style="253" bestFit="1" customWidth="1"/>
    <col min="15664" max="15874" width="8.90625" style="253"/>
    <col min="15875" max="15875" width="7.54296875" style="253" customWidth="1"/>
    <col min="15876" max="15876" width="43" style="253" customWidth="1"/>
    <col min="15877" max="15877" width="10.453125" style="253" customWidth="1"/>
    <col min="15878" max="15878" width="11.6328125" style="253" customWidth="1"/>
    <col min="15879" max="15879" width="11.1796875" style="253" customWidth="1"/>
    <col min="15880" max="15880" width="11.08984375" style="253" customWidth="1"/>
    <col min="15881" max="15881" width="9.90625" style="253" customWidth="1"/>
    <col min="15882" max="15882" width="12.1796875" style="253" customWidth="1"/>
    <col min="15883" max="15883" width="11.36328125" style="253" customWidth="1"/>
    <col min="15884" max="15884" width="10" style="253" customWidth="1"/>
    <col min="15885" max="15885" width="41" style="253" customWidth="1"/>
    <col min="15886" max="15886" width="11.81640625" style="253" customWidth="1"/>
    <col min="15887" max="15887" width="13" style="253" customWidth="1"/>
    <col min="15888" max="15888" width="12" style="253" bestFit="1" customWidth="1"/>
    <col min="15889" max="15889" width="13.08984375" style="253" customWidth="1"/>
    <col min="15890" max="15890" width="11.6328125" style="253" customWidth="1"/>
    <col min="15891" max="15892" width="8.90625" style="253"/>
    <col min="15893" max="15893" width="12.08984375" style="253" customWidth="1"/>
    <col min="15894" max="15894" width="11.6328125" style="253" customWidth="1"/>
    <col min="15895" max="15897" width="8.90625" style="253"/>
    <col min="15898" max="15898" width="10.81640625" style="253" customWidth="1"/>
    <col min="15899" max="15900" width="8.90625" style="253"/>
    <col min="15901" max="15901" width="13.90625" style="253" customWidth="1"/>
    <col min="15902" max="15902" width="10.6328125" style="253" customWidth="1"/>
    <col min="15903" max="15905" width="8.90625" style="253"/>
    <col min="15906" max="15906" width="12" style="253" customWidth="1"/>
    <col min="15907" max="15908" width="8.90625" style="253"/>
    <col min="15909" max="15909" width="9.81640625" style="253" customWidth="1"/>
    <col min="15910" max="15910" width="10.6328125" style="253" customWidth="1"/>
    <col min="15911" max="15916" width="8.90625" style="253"/>
    <col min="15917" max="15917" width="9.36328125" style="253" bestFit="1" customWidth="1"/>
    <col min="15918" max="15918" width="9.1796875" style="253" bestFit="1" customWidth="1"/>
    <col min="15919" max="15919" width="9.08984375" style="253" bestFit="1" customWidth="1"/>
    <col min="15920" max="16130" width="8.90625" style="253"/>
    <col min="16131" max="16131" width="7.54296875" style="253" customWidth="1"/>
    <col min="16132" max="16132" width="43" style="253" customWidth="1"/>
    <col min="16133" max="16133" width="10.453125" style="253" customWidth="1"/>
    <col min="16134" max="16134" width="11.6328125" style="253" customWidth="1"/>
    <col min="16135" max="16135" width="11.1796875" style="253" customWidth="1"/>
    <col min="16136" max="16136" width="11.08984375" style="253" customWidth="1"/>
    <col min="16137" max="16137" width="9.90625" style="253" customWidth="1"/>
    <col min="16138" max="16138" width="12.1796875" style="253" customWidth="1"/>
    <col min="16139" max="16139" width="11.36328125" style="253" customWidth="1"/>
    <col min="16140" max="16140" width="10" style="253" customWidth="1"/>
    <col min="16141" max="16141" width="41" style="253" customWidth="1"/>
    <col min="16142" max="16142" width="11.81640625" style="253" customWidth="1"/>
    <col min="16143" max="16143" width="13" style="253" customWidth="1"/>
    <col min="16144" max="16144" width="12" style="253" bestFit="1" customWidth="1"/>
    <col min="16145" max="16145" width="13.08984375" style="253" customWidth="1"/>
    <col min="16146" max="16146" width="11.6328125" style="253" customWidth="1"/>
    <col min="16147" max="16148" width="8.90625" style="253"/>
    <col min="16149" max="16149" width="12.08984375" style="253" customWidth="1"/>
    <col min="16150" max="16150" width="11.6328125" style="253" customWidth="1"/>
    <col min="16151" max="16153" width="8.90625" style="253"/>
    <col min="16154" max="16154" width="10.81640625" style="253" customWidth="1"/>
    <col min="16155" max="16156" width="8.90625" style="253"/>
    <col min="16157" max="16157" width="13.90625" style="253" customWidth="1"/>
    <col min="16158" max="16158" width="10.6328125" style="253" customWidth="1"/>
    <col min="16159" max="16161" width="8.90625" style="253"/>
    <col min="16162" max="16162" width="12" style="253" customWidth="1"/>
    <col min="16163" max="16164" width="8.90625" style="253"/>
    <col min="16165" max="16165" width="9.81640625" style="253" customWidth="1"/>
    <col min="16166" max="16166" width="10.6328125" style="253" customWidth="1"/>
    <col min="16167" max="16172" width="8.90625" style="253"/>
    <col min="16173" max="16173" width="9.36328125" style="253" bestFit="1" customWidth="1"/>
    <col min="16174" max="16174" width="9.1796875" style="253" bestFit="1" customWidth="1"/>
    <col min="16175" max="16175" width="9.08984375" style="253" bestFit="1" customWidth="1"/>
    <col min="16176" max="16384" width="8.90625" style="253"/>
  </cols>
  <sheetData>
    <row r="1" spans="1:29" ht="21" customHeight="1">
      <c r="A1" s="2296" t="s">
        <v>1</v>
      </c>
      <c r="B1" s="2296"/>
      <c r="C1" s="2296"/>
      <c r="D1" s="2296"/>
      <c r="E1" s="2296"/>
      <c r="F1" s="2296"/>
      <c r="G1" s="2296"/>
      <c r="H1" s="2296"/>
    </row>
    <row r="2" spans="1:29" ht="23.25" customHeight="1">
      <c r="A2" s="2297" t="s">
        <v>1084</v>
      </c>
      <c r="B2" s="2297"/>
      <c r="C2" s="2297"/>
      <c r="D2" s="2297"/>
      <c r="E2" s="2297"/>
      <c r="F2" s="2297"/>
      <c r="G2" s="2297"/>
      <c r="H2" s="2297"/>
    </row>
    <row r="3" spans="1:29" ht="21" customHeight="1">
      <c r="A3" s="2298" t="s">
        <v>987</v>
      </c>
      <c r="B3" s="2298"/>
      <c r="C3" s="2298"/>
      <c r="D3" s="2298"/>
      <c r="E3" s="2298"/>
      <c r="F3" s="2298"/>
      <c r="G3" s="2298"/>
      <c r="H3" s="2298"/>
      <c r="I3" s="1143"/>
      <c r="K3" s="1144"/>
    </row>
    <row r="4" spans="1:29">
      <c r="A4" s="2297" t="s">
        <v>988</v>
      </c>
      <c r="B4" s="2297"/>
      <c r="C4" s="2297"/>
      <c r="D4" s="2297"/>
      <c r="E4" s="2297"/>
      <c r="F4" s="2297"/>
      <c r="G4" s="2297"/>
      <c r="H4" s="2297"/>
      <c r="K4" s="578"/>
      <c r="L4" s="4"/>
      <c r="M4" s="1145"/>
      <c r="N4" s="1145"/>
    </row>
    <row r="5" spans="1:29" ht="22.5" customHeight="1">
      <c r="A5" s="1146"/>
      <c r="B5" s="1147"/>
      <c r="C5" s="15"/>
      <c r="D5" s="15"/>
      <c r="E5" s="1148"/>
      <c r="F5" s="754"/>
      <c r="G5"/>
      <c r="H5"/>
      <c r="I5"/>
      <c r="J5"/>
      <c r="K5"/>
      <c r="L5"/>
      <c r="M5"/>
      <c r="N5"/>
      <c r="O5"/>
      <c r="P5"/>
      <c r="Q5"/>
      <c r="R5"/>
      <c r="S5"/>
      <c r="T5"/>
      <c r="U5"/>
      <c r="V5"/>
      <c r="W5"/>
      <c r="X5"/>
      <c r="Y5"/>
      <c r="Z5"/>
      <c r="AA5"/>
      <c r="AB5"/>
      <c r="AC5"/>
    </row>
    <row r="6" spans="1:29" ht="27.6">
      <c r="A6" s="1149" t="s">
        <v>8</v>
      </c>
      <c r="B6" s="1150" t="s">
        <v>294</v>
      </c>
      <c r="C6" s="1150" t="s">
        <v>198</v>
      </c>
      <c r="D6" s="1339" t="s">
        <v>313</v>
      </c>
      <c r="E6" s="1340" t="s">
        <v>989</v>
      </c>
      <c r="F6" s="1151" t="s">
        <v>990</v>
      </c>
      <c r="G6" s="1151" t="s">
        <v>991</v>
      </c>
      <c r="H6" s="1341" t="s">
        <v>749</v>
      </c>
      <c r="I6" s="1342" t="s">
        <v>1129</v>
      </c>
      <c r="J6"/>
      <c r="K6"/>
      <c r="L6" s="1343"/>
      <c r="M6" s="1343"/>
      <c r="N6" s="1343"/>
      <c r="O6" s="1343"/>
      <c r="P6" s="1343"/>
      <c r="Q6" s="1343"/>
      <c r="R6" s="1343"/>
      <c r="S6" s="1343"/>
      <c r="T6" s="1343"/>
      <c r="U6" s="1343"/>
      <c r="V6" s="1343"/>
      <c r="W6" s="1343"/>
      <c r="X6" s="1343"/>
      <c r="Y6"/>
      <c r="Z6"/>
      <c r="AA6"/>
      <c r="AB6"/>
      <c r="AC6"/>
    </row>
    <row r="7" spans="1:29" ht="19.2">
      <c r="A7" s="1277"/>
      <c r="B7" s="2315" t="s">
        <v>992</v>
      </c>
      <c r="C7" s="2315"/>
      <c r="D7" s="2315"/>
      <c r="E7" s="2315"/>
      <c r="F7" s="2315"/>
      <c r="G7" s="1278"/>
      <c r="H7" s="1371"/>
      <c r="I7" s="253"/>
      <c r="L7" s="1344"/>
      <c r="M7" s="1345"/>
      <c r="N7" s="1345"/>
      <c r="O7" s="1345"/>
      <c r="P7" s="1345"/>
      <c r="Q7" s="1345"/>
      <c r="R7" s="1345"/>
      <c r="S7" s="1345"/>
      <c r="T7" s="1345"/>
      <c r="U7" s="1345"/>
      <c r="V7" s="1345"/>
      <c r="W7" s="1345"/>
      <c r="X7" s="1345"/>
    </row>
    <row r="8" spans="1:29" ht="19.2">
      <c r="A8" s="1152"/>
      <c r="B8" s="1154" t="s">
        <v>993</v>
      </c>
      <c r="C8" s="1155"/>
      <c r="D8" s="1155"/>
      <c r="E8" s="1156"/>
      <c r="F8" s="1156"/>
      <c r="G8" s="1153"/>
      <c r="H8" s="1306"/>
      <c r="I8" s="1193"/>
      <c r="L8" s="1343"/>
      <c r="M8" s="1343"/>
      <c r="N8" s="1343"/>
      <c r="O8" s="1343"/>
      <c r="P8" s="1343"/>
      <c r="Q8" s="1343"/>
      <c r="R8" s="1343"/>
      <c r="S8" s="1343"/>
      <c r="T8" s="1343"/>
      <c r="U8" s="1343"/>
      <c r="V8" s="1343"/>
      <c r="W8" s="1343"/>
      <c r="X8" s="1343"/>
    </row>
    <row r="9" spans="1:29" ht="19.2">
      <c r="A9" s="1157" t="s">
        <v>158</v>
      </c>
      <c r="B9" s="1158" t="s">
        <v>774</v>
      </c>
      <c r="C9" s="1159"/>
      <c r="D9" s="1159"/>
      <c r="E9" s="1160"/>
      <c r="F9" s="1160"/>
      <c r="G9" s="1161">
        <f>SUM(F10:F15)</f>
        <v>3214.28</v>
      </c>
      <c r="H9" s="1307"/>
      <c r="I9" s="1314"/>
      <c r="J9"/>
      <c r="K9"/>
      <c r="L9" s="1344"/>
      <c r="M9" s="1345"/>
      <c r="N9" s="1345"/>
      <c r="O9" s="1345"/>
      <c r="P9" s="1345"/>
      <c r="Q9" s="1345"/>
      <c r="R9" s="1345"/>
      <c r="S9" s="1345"/>
      <c r="T9" s="1345"/>
      <c r="U9" s="1345"/>
      <c r="V9" s="1345"/>
      <c r="W9" s="1345"/>
      <c r="X9" s="1345"/>
    </row>
    <row r="10" spans="1:29" ht="76.8">
      <c r="A10" s="1162" t="s">
        <v>994</v>
      </c>
      <c r="B10" s="1163" t="s">
        <v>995</v>
      </c>
      <c r="C10" s="1164" t="s">
        <v>768</v>
      </c>
      <c r="D10" s="1164">
        <v>2</v>
      </c>
      <c r="E10" s="1165">
        <f>1862.63*10^5</f>
        <v>186263000</v>
      </c>
      <c r="F10" s="1166">
        <f>E10*D10*0/10^5</f>
        <v>0</v>
      </c>
      <c r="G10" s="1167" t="s">
        <v>1130</v>
      </c>
      <c r="H10" s="1308">
        <v>1862.63</v>
      </c>
      <c r="I10" s="1346" t="s">
        <v>790</v>
      </c>
      <c r="J10">
        <f>H10*2</f>
        <v>3725.26</v>
      </c>
      <c r="K10"/>
      <c r="L10" s="1344"/>
      <c r="M10" s="1345"/>
      <c r="N10" s="1345"/>
      <c r="O10" s="1345"/>
      <c r="P10" s="1345"/>
      <c r="Q10" s="1345"/>
      <c r="R10" s="1345"/>
      <c r="S10" s="1345"/>
      <c r="T10" s="1345"/>
      <c r="U10" s="1345"/>
      <c r="V10" s="1345"/>
      <c r="W10" s="1345"/>
      <c r="X10" s="1345"/>
    </row>
    <row r="11" spans="1:29" ht="38.4">
      <c r="A11" s="1162" t="s">
        <v>997</v>
      </c>
      <c r="B11" s="1168" t="s">
        <v>808</v>
      </c>
      <c r="C11" s="1164" t="s">
        <v>768</v>
      </c>
      <c r="D11" s="1164">
        <v>2</v>
      </c>
      <c r="E11" s="1165">
        <f>1640*10^5*0.95</f>
        <v>155800000</v>
      </c>
      <c r="F11" s="1166">
        <f>E11*D11/10^5</f>
        <v>3116</v>
      </c>
      <c r="G11" s="1167" t="s">
        <v>1157</v>
      </c>
      <c r="H11" s="1308">
        <v>1640</v>
      </c>
      <c r="I11" s="1347" t="s">
        <v>1131</v>
      </c>
      <c r="J11" s="1169">
        <f>1640*2</f>
        <v>3280</v>
      </c>
      <c r="K11" s="1170"/>
      <c r="L11" s="1344"/>
      <c r="M11" s="1345"/>
      <c r="N11" s="1345"/>
      <c r="O11" s="1345"/>
      <c r="P11" s="1345"/>
      <c r="Q11" s="1345"/>
      <c r="R11" s="1345"/>
      <c r="S11" s="1345"/>
      <c r="T11" s="1345"/>
      <c r="U11" s="1345"/>
      <c r="V11" s="1345"/>
      <c r="W11" s="1345"/>
      <c r="X11" s="1345"/>
    </row>
    <row r="12" spans="1:29" ht="19.2">
      <c r="A12" s="1162" t="s">
        <v>998</v>
      </c>
      <c r="B12" s="1168" t="s">
        <v>808</v>
      </c>
      <c r="C12" s="1164" t="s">
        <v>768</v>
      </c>
      <c r="D12" s="1164">
        <v>2</v>
      </c>
      <c r="E12" s="1165">
        <f>2450*10^5</f>
        <v>245000000</v>
      </c>
      <c r="F12" s="1166"/>
      <c r="G12" s="1167" t="s">
        <v>999</v>
      </c>
      <c r="H12" s="1308">
        <v>2450</v>
      </c>
      <c r="I12" s="1283"/>
      <c r="J12" s="1169">
        <f>H12*2</f>
        <v>4900</v>
      </c>
      <c r="K12" s="1170"/>
      <c r="L12" s="1344"/>
      <c r="M12" s="1345"/>
      <c r="N12" s="1345"/>
      <c r="O12" s="1345"/>
      <c r="P12" s="1345"/>
      <c r="Q12" s="1345"/>
      <c r="R12" s="1345"/>
      <c r="S12" s="1345"/>
      <c r="T12" s="1345"/>
      <c r="U12" s="1345"/>
      <c r="V12" s="1345"/>
      <c r="W12" s="1345"/>
      <c r="X12" s="1345"/>
    </row>
    <row r="13" spans="1:29" ht="38.4">
      <c r="A13" s="1162" t="s">
        <v>1000</v>
      </c>
      <c r="B13" s="1168" t="s">
        <v>808</v>
      </c>
      <c r="C13" s="1164" t="s">
        <v>41</v>
      </c>
      <c r="D13" s="1164">
        <f>300*2</f>
        <v>600</v>
      </c>
      <c r="E13" s="1165">
        <f>5*10^5</f>
        <v>500000</v>
      </c>
      <c r="F13" s="1166">
        <f>E13*D13*0/10^5</f>
        <v>0</v>
      </c>
      <c r="G13" s="1167" t="s">
        <v>1132</v>
      </c>
      <c r="H13" s="1309">
        <f>D13*E13/10^5</f>
        <v>3000</v>
      </c>
      <c r="I13" s="1348" t="s">
        <v>1155</v>
      </c>
      <c r="J13" s="1169"/>
      <c r="K13" s="1170"/>
      <c r="L13" s="1344"/>
      <c r="M13" s="1345"/>
      <c r="N13" s="1345"/>
      <c r="O13" s="1345"/>
      <c r="P13" s="1345"/>
      <c r="Q13" s="1345"/>
      <c r="R13" s="1345"/>
      <c r="S13" s="1345"/>
      <c r="T13" s="1345"/>
      <c r="U13" s="1345"/>
      <c r="V13" s="1345"/>
      <c r="W13" s="1345"/>
      <c r="X13" s="1345"/>
    </row>
    <row r="14" spans="1:29" ht="96">
      <c r="A14" s="1162">
        <v>2</v>
      </c>
      <c r="B14" s="1171" t="s">
        <v>1002</v>
      </c>
      <c r="C14" s="1172" t="s">
        <v>768</v>
      </c>
      <c r="D14" s="1172">
        <v>2</v>
      </c>
      <c r="E14" s="1173">
        <f>(25.44*10^5)+495000+75000+1300000</f>
        <v>4414000</v>
      </c>
      <c r="F14" s="1166">
        <f>E14*D14/10^5</f>
        <v>88.28</v>
      </c>
      <c r="G14" s="1174" t="s">
        <v>1133</v>
      </c>
      <c r="H14" s="1310"/>
      <c r="I14" s="1193"/>
      <c r="L14" s="1344"/>
      <c r="M14" s="1345"/>
      <c r="N14" s="1345"/>
      <c r="O14" s="1345"/>
      <c r="P14" s="1345"/>
      <c r="Q14" s="1345"/>
      <c r="R14" s="1345"/>
      <c r="S14" s="1345"/>
      <c r="T14" s="1345"/>
      <c r="U14" s="1345"/>
      <c r="V14" s="1345"/>
      <c r="W14" s="1345"/>
      <c r="X14" s="1345"/>
    </row>
    <row r="15" spans="1:29" ht="38.4">
      <c r="A15" s="1162">
        <v>3</v>
      </c>
      <c r="B15" s="1171" t="s">
        <v>1003</v>
      </c>
      <c r="C15" s="1172" t="s">
        <v>768</v>
      </c>
      <c r="D15" s="1172">
        <v>1</v>
      </c>
      <c r="E15" s="1173">
        <f>10*10^5</f>
        <v>1000000</v>
      </c>
      <c r="F15" s="1166">
        <f>E15*D15/10^5</f>
        <v>10</v>
      </c>
      <c r="G15" s="1174" t="s">
        <v>1004</v>
      </c>
      <c r="H15" s="1310"/>
      <c r="I15" s="1193"/>
      <c r="L15" s="1344"/>
      <c r="M15" s="1345"/>
      <c r="N15" s="1345"/>
      <c r="O15" s="1345"/>
      <c r="P15" s="1345"/>
      <c r="Q15" s="1345"/>
      <c r="R15" s="1345"/>
      <c r="S15" s="1345"/>
      <c r="T15" s="1345"/>
      <c r="U15" s="1345"/>
      <c r="V15" s="1345"/>
      <c r="W15" s="1345"/>
      <c r="X15" s="1345"/>
    </row>
    <row r="16" spans="1:29" ht="21" customHeight="1">
      <c r="A16" s="1162"/>
      <c r="B16" s="2293" t="s">
        <v>1091</v>
      </c>
      <c r="C16" s="2294"/>
      <c r="D16" s="2294"/>
      <c r="E16" s="2295"/>
      <c r="F16" s="1160">
        <f>SUM(F10:F15)</f>
        <v>3214.28</v>
      </c>
      <c r="G16" s="1174"/>
      <c r="H16" s="1310"/>
      <c r="I16" s="1193"/>
      <c r="L16" s="1344"/>
      <c r="M16" s="1345"/>
      <c r="N16" s="1345"/>
      <c r="O16" s="1345"/>
      <c r="P16" s="1345"/>
      <c r="Q16" s="1345"/>
      <c r="R16" s="1345"/>
      <c r="S16" s="1345"/>
      <c r="T16" s="1345"/>
      <c r="U16" s="1345"/>
      <c r="V16" s="1345"/>
      <c r="W16" s="1345"/>
      <c r="X16" s="1345"/>
    </row>
    <row r="17" spans="1:9" ht="19.2">
      <c r="A17" s="1157" t="s">
        <v>811</v>
      </c>
      <c r="B17" s="1158" t="s">
        <v>1005</v>
      </c>
      <c r="C17" s="1159"/>
      <c r="D17" s="1159"/>
      <c r="E17" s="1175"/>
      <c r="F17" s="1160"/>
      <c r="G17" s="1176">
        <f>SUM(F19:F41)</f>
        <v>131.24223375000003</v>
      </c>
      <c r="H17" s="1310"/>
      <c r="I17" s="1193"/>
    </row>
    <row r="18" spans="1:9" ht="19.2">
      <c r="A18" s="1177" t="s">
        <v>93</v>
      </c>
      <c r="B18" s="1178" t="s">
        <v>55</v>
      </c>
      <c r="C18" s="1179"/>
      <c r="D18" s="1179"/>
      <c r="E18" s="1180"/>
      <c r="F18" s="1181"/>
      <c r="G18" s="1182"/>
      <c r="H18" s="1310"/>
      <c r="I18" s="1193"/>
    </row>
    <row r="19" spans="1:9" ht="96">
      <c r="A19" s="1183">
        <v>1</v>
      </c>
      <c r="B19" s="1184" t="s">
        <v>1006</v>
      </c>
      <c r="C19" s="1185" t="s">
        <v>564</v>
      </c>
      <c r="D19" s="1185">
        <v>2</v>
      </c>
      <c r="E19" s="1186"/>
      <c r="F19" s="1187"/>
      <c r="G19" s="1188"/>
      <c r="H19" s="1310"/>
      <c r="I19" s="1193"/>
    </row>
    <row r="20" spans="1:9" ht="60.75" customHeight="1">
      <c r="A20" s="1183"/>
      <c r="B20" s="1189" t="s">
        <v>1007</v>
      </c>
      <c r="C20" s="1190" t="s">
        <v>768</v>
      </c>
      <c r="D20" s="1190">
        <f>2</f>
        <v>2</v>
      </c>
      <c r="E20" s="1191">
        <v>172881</v>
      </c>
      <c r="F20" s="1192">
        <f>D20*E20/10^5</f>
        <v>3.4576199999999999</v>
      </c>
      <c r="G20" s="1193" t="s">
        <v>1134</v>
      </c>
      <c r="H20" s="1310"/>
      <c r="I20" s="1193"/>
    </row>
    <row r="21" spans="1:9" ht="19.2">
      <c r="A21" s="1183"/>
      <c r="B21" s="1193" t="s">
        <v>1008</v>
      </c>
      <c r="C21" s="1194" t="s">
        <v>767</v>
      </c>
      <c r="D21" s="1194">
        <f>2</f>
        <v>2</v>
      </c>
      <c r="E21" s="1191">
        <v>15000</v>
      </c>
      <c r="F21" s="1192">
        <f t="shared" ref="F21:F28" si="0">D21*E21/10^5</f>
        <v>0.3</v>
      </c>
      <c r="G21" s="1193" t="s">
        <v>1009</v>
      </c>
      <c r="H21" s="1310"/>
      <c r="I21" s="1193"/>
    </row>
    <row r="22" spans="1:9" ht="19.2">
      <c r="A22" s="1183"/>
      <c r="B22" s="1193" t="s">
        <v>1010</v>
      </c>
      <c r="C22" s="1194" t="s">
        <v>767</v>
      </c>
      <c r="D22" s="1194">
        <f>2</f>
        <v>2</v>
      </c>
      <c r="E22" s="1191">
        <v>25000</v>
      </c>
      <c r="F22" s="1192">
        <f t="shared" si="0"/>
        <v>0.5</v>
      </c>
      <c r="G22" s="1193" t="s">
        <v>1011</v>
      </c>
      <c r="H22" s="1310"/>
      <c r="I22" s="1193"/>
    </row>
    <row r="23" spans="1:9" ht="19.2">
      <c r="A23" s="1183"/>
      <c r="B23" s="1193" t="s">
        <v>1012</v>
      </c>
      <c r="C23" s="1194" t="s">
        <v>767</v>
      </c>
      <c r="D23" s="1194">
        <f>2</f>
        <v>2</v>
      </c>
      <c r="E23" s="1191">
        <v>700</v>
      </c>
      <c r="F23" s="1192">
        <f t="shared" si="0"/>
        <v>1.4E-2</v>
      </c>
      <c r="G23" s="1193" t="s">
        <v>1013</v>
      </c>
      <c r="H23" s="1310"/>
      <c r="I23" s="1193"/>
    </row>
    <row r="24" spans="1:9" ht="19.2">
      <c r="A24" s="1183"/>
      <c r="B24" s="1193" t="s">
        <v>1014</v>
      </c>
      <c r="C24" s="1194" t="s">
        <v>767</v>
      </c>
      <c r="D24" s="1194">
        <f>2</f>
        <v>2</v>
      </c>
      <c r="E24" s="1191">
        <v>495</v>
      </c>
      <c r="F24" s="1192">
        <f t="shared" si="0"/>
        <v>9.9000000000000008E-3</v>
      </c>
      <c r="G24" s="1193" t="s">
        <v>1015</v>
      </c>
      <c r="H24" s="1310"/>
      <c r="I24" s="1193"/>
    </row>
    <row r="25" spans="1:9" ht="19.2">
      <c r="A25" s="1183"/>
      <c r="B25" s="1193" t="s">
        <v>1016</v>
      </c>
      <c r="C25" s="1194" t="s">
        <v>767</v>
      </c>
      <c r="D25" s="1194">
        <f>2</f>
        <v>2</v>
      </c>
      <c r="E25" s="1191">
        <v>4123</v>
      </c>
      <c r="F25" s="1192">
        <f t="shared" si="0"/>
        <v>8.2460000000000006E-2</v>
      </c>
      <c r="G25" s="1193" t="s">
        <v>1017</v>
      </c>
      <c r="H25" s="1310"/>
      <c r="I25" s="1193"/>
    </row>
    <row r="26" spans="1:9" ht="19.2">
      <c r="A26" s="1183"/>
      <c r="B26" s="1193" t="s">
        <v>1018</v>
      </c>
      <c r="C26" s="1194" t="s">
        <v>564</v>
      </c>
      <c r="D26" s="1194">
        <f>1*2</f>
        <v>2</v>
      </c>
      <c r="E26" s="1191">
        <v>10000</v>
      </c>
      <c r="F26" s="1192">
        <f t="shared" si="0"/>
        <v>0.2</v>
      </c>
      <c r="G26" s="1193" t="s">
        <v>1019</v>
      </c>
      <c r="H26" s="1310"/>
      <c r="I26" s="1193"/>
    </row>
    <row r="27" spans="1:9" ht="38.4">
      <c r="A27" s="1183">
        <v>2</v>
      </c>
      <c r="B27" s="1184" t="s">
        <v>1020</v>
      </c>
      <c r="C27" s="1185" t="s">
        <v>767</v>
      </c>
      <c r="D27" s="1185">
        <v>1</v>
      </c>
      <c r="E27" s="1165">
        <f>11.67*10^5</f>
        <v>1167000</v>
      </c>
      <c r="F27" s="1192">
        <f t="shared" si="0"/>
        <v>11.67</v>
      </c>
      <c r="G27" s="1195" t="s">
        <v>1021</v>
      </c>
      <c r="H27" s="1310"/>
      <c r="I27" s="1193"/>
    </row>
    <row r="28" spans="1:9" ht="19.2">
      <c r="A28" s="1183">
        <v>3</v>
      </c>
      <c r="B28" s="1184" t="s">
        <v>1022</v>
      </c>
      <c r="C28" s="1185" t="s">
        <v>564</v>
      </c>
      <c r="D28" s="1185">
        <v>1</v>
      </c>
      <c r="E28" s="1165">
        <f>63.75*10^5</f>
        <v>6375000</v>
      </c>
      <c r="F28" s="1192">
        <f t="shared" si="0"/>
        <v>63.75</v>
      </c>
      <c r="G28" s="1195" t="s">
        <v>1023</v>
      </c>
      <c r="H28" s="1310" t="s">
        <v>1152</v>
      </c>
      <c r="I28" s="1193"/>
    </row>
    <row r="29" spans="1:9" ht="19.2">
      <c r="A29" s="1183">
        <v>4</v>
      </c>
      <c r="B29" s="1184" t="s">
        <v>1024</v>
      </c>
      <c r="C29" s="1185" t="s">
        <v>564</v>
      </c>
      <c r="D29" s="1185">
        <v>1</v>
      </c>
      <c r="E29" s="1165">
        <v>0</v>
      </c>
      <c r="F29" s="1187"/>
      <c r="G29" s="1195" t="s">
        <v>1025</v>
      </c>
      <c r="H29" s="1310"/>
      <c r="I29" s="1193"/>
    </row>
    <row r="30" spans="1:9" ht="19.2">
      <c r="A30" s="1183">
        <v>5</v>
      </c>
      <c r="B30" s="1184" t="s">
        <v>1026</v>
      </c>
      <c r="C30" s="1185" t="s">
        <v>564</v>
      </c>
      <c r="D30" s="1185">
        <v>1</v>
      </c>
      <c r="E30" s="1165"/>
      <c r="F30" s="1187"/>
      <c r="G30" s="1195" t="s">
        <v>1025</v>
      </c>
      <c r="H30" s="1310"/>
      <c r="I30" s="1193"/>
    </row>
    <row r="31" spans="1:9" ht="53.25" customHeight="1">
      <c r="A31" s="1183">
        <v>6</v>
      </c>
      <c r="B31" s="1195" t="s">
        <v>1027</v>
      </c>
      <c r="C31" s="1185" t="s">
        <v>809</v>
      </c>
      <c r="D31" s="1185">
        <v>1</v>
      </c>
      <c r="E31" s="1165">
        <f>(2.67*1.4+0.26)*10^5</f>
        <v>399799.99999999994</v>
      </c>
      <c r="F31" s="1192">
        <f t="shared" ref="F31:F35" si="1">D31*E31/10^5</f>
        <v>3.9979999999999993</v>
      </c>
      <c r="G31" s="1171" t="s">
        <v>1028</v>
      </c>
      <c r="H31" s="1310"/>
      <c r="I31" s="1193"/>
    </row>
    <row r="32" spans="1:9" ht="38.4">
      <c r="A32" s="1183">
        <v>7</v>
      </c>
      <c r="B32" s="1184" t="s">
        <v>1029</v>
      </c>
      <c r="C32" s="1194" t="s">
        <v>809</v>
      </c>
      <c r="D32" s="1194">
        <v>1</v>
      </c>
      <c r="E32" s="1191">
        <f>0.428*1.4*10^5</f>
        <v>59919.999999999993</v>
      </c>
      <c r="F32" s="1192">
        <f t="shared" si="1"/>
        <v>0.59919999999999995</v>
      </c>
      <c r="G32" s="1171" t="s">
        <v>1030</v>
      </c>
      <c r="H32" s="1310"/>
      <c r="I32" s="1349"/>
    </row>
    <row r="33" spans="1:9" ht="19.2">
      <c r="A33" s="1183">
        <v>8</v>
      </c>
      <c r="B33" s="1184" t="s">
        <v>1031</v>
      </c>
      <c r="C33" s="1185" t="s">
        <v>768</v>
      </c>
      <c r="D33" s="1185">
        <v>15</v>
      </c>
      <c r="E33" s="1165">
        <f>2488</f>
        <v>2488</v>
      </c>
      <c r="F33" s="1192">
        <f t="shared" si="1"/>
        <v>0.37319999999999998</v>
      </c>
      <c r="G33" s="1195" t="s">
        <v>1032</v>
      </c>
      <c r="H33" s="1310" t="s">
        <v>1033</v>
      </c>
      <c r="I33" s="1193"/>
    </row>
    <row r="34" spans="1:9" ht="38.4">
      <c r="A34" s="1183">
        <v>9</v>
      </c>
      <c r="B34" s="1184" t="s">
        <v>1034</v>
      </c>
      <c r="C34" s="1185" t="s">
        <v>768</v>
      </c>
      <c r="D34" s="1185">
        <v>2</v>
      </c>
      <c r="E34" s="1165">
        <f>3.89*10^5</f>
        <v>389000</v>
      </c>
      <c r="F34" s="1192">
        <f t="shared" si="1"/>
        <v>7.78</v>
      </c>
      <c r="G34" s="1195" t="s">
        <v>1035</v>
      </c>
      <c r="H34" s="1310"/>
      <c r="I34" s="1193"/>
    </row>
    <row r="35" spans="1:9" ht="31.5" customHeight="1">
      <c r="A35" s="1183">
        <v>10</v>
      </c>
      <c r="B35" s="1184" t="s">
        <v>1036</v>
      </c>
      <c r="C35" s="1185" t="s">
        <v>564</v>
      </c>
      <c r="D35" s="1196">
        <v>1</v>
      </c>
      <c r="E35" s="1165">
        <f>1*10^5</f>
        <v>100000</v>
      </c>
      <c r="F35" s="1192">
        <f t="shared" si="1"/>
        <v>1</v>
      </c>
      <c r="G35" s="1188" t="s">
        <v>1019</v>
      </c>
      <c r="H35" s="1310"/>
      <c r="I35" s="1193"/>
    </row>
    <row r="36" spans="1:9" ht="19.2">
      <c r="A36" s="1177" t="s">
        <v>94</v>
      </c>
      <c r="B36" s="1178" t="s">
        <v>1037</v>
      </c>
      <c r="C36" s="1185"/>
      <c r="D36" s="1185"/>
      <c r="E36" s="1187"/>
      <c r="F36" s="1187"/>
      <c r="G36" s="1188"/>
      <c r="H36" s="1310"/>
      <c r="I36" s="1193"/>
    </row>
    <row r="37" spans="1:9" ht="57.6">
      <c r="A37" s="1183">
        <v>1</v>
      </c>
      <c r="B37" s="1184" t="s">
        <v>1038</v>
      </c>
      <c r="C37" s="1185" t="s">
        <v>1039</v>
      </c>
      <c r="D37" s="1185">
        <f>2*7*25</f>
        <v>350</v>
      </c>
      <c r="E37" s="1187">
        <f>2667*0.75*1.05</f>
        <v>2100.2625000000003</v>
      </c>
      <c r="F37" s="1192">
        <f>D37*E37/10^5</f>
        <v>7.3509187500000008</v>
      </c>
      <c r="G37" s="1197" t="s">
        <v>1156</v>
      </c>
      <c r="H37" s="1310"/>
      <c r="I37" s="1193" t="s">
        <v>1135</v>
      </c>
    </row>
    <row r="38" spans="1:9" ht="57.6">
      <c r="A38" s="1183">
        <v>2</v>
      </c>
      <c r="B38" s="1184" t="s">
        <v>1038</v>
      </c>
      <c r="C38" s="1185" t="s">
        <v>1039</v>
      </c>
      <c r="D38" s="1185">
        <f>2*7*(29+6*((9-4)+(14-9)))</f>
        <v>1246</v>
      </c>
      <c r="E38" s="1187">
        <f>2667*0.75*1.05</f>
        <v>2100.2625000000003</v>
      </c>
      <c r="F38" s="1192">
        <f>D38*E38/10^5</f>
        <v>26.169270750000003</v>
      </c>
      <c r="G38" s="1197" t="s">
        <v>1156</v>
      </c>
      <c r="H38" s="1310"/>
      <c r="I38" s="1193" t="s">
        <v>1135</v>
      </c>
    </row>
    <row r="39" spans="1:9" ht="38.4">
      <c r="A39" s="1183">
        <v>3</v>
      </c>
      <c r="B39" s="1184" t="s">
        <v>1041</v>
      </c>
      <c r="C39" s="1194" t="s">
        <v>1039</v>
      </c>
      <c r="D39" s="1185">
        <v>60</v>
      </c>
      <c r="E39" s="1187">
        <f>2469*0.75*1.05</f>
        <v>1944.3375000000001</v>
      </c>
      <c r="F39" s="1192">
        <f>D39*E39/10^5</f>
        <v>1.1666025</v>
      </c>
      <c r="G39" s="1197" t="s">
        <v>1156</v>
      </c>
      <c r="H39" s="1310"/>
      <c r="I39" s="1193" t="s">
        <v>1135</v>
      </c>
    </row>
    <row r="40" spans="1:9" ht="19.2">
      <c r="A40" s="1183">
        <v>4</v>
      </c>
      <c r="B40" s="1198" t="s">
        <v>1042</v>
      </c>
      <c r="C40" s="1194" t="s">
        <v>1039</v>
      </c>
      <c r="D40" s="1194">
        <f>3*(25+29+95)</f>
        <v>447</v>
      </c>
      <c r="E40" s="1192">
        <f>12700/30</f>
        <v>423.33333333333331</v>
      </c>
      <c r="F40" s="1192">
        <f t="shared" ref="F40" si="2">D40*E40/10^5</f>
        <v>1.8923000000000001</v>
      </c>
      <c r="G40" s="1199" t="s">
        <v>1043</v>
      </c>
      <c r="H40" s="1310"/>
      <c r="I40" s="1193"/>
    </row>
    <row r="41" spans="1:9" ht="30">
      <c r="A41" s="1183">
        <v>5</v>
      </c>
      <c r="B41" s="1184" t="s">
        <v>1044</v>
      </c>
      <c r="C41" s="1185" t="s">
        <v>1039</v>
      </c>
      <c r="D41" s="1185">
        <f>2*(25+29)+110</f>
        <v>218</v>
      </c>
      <c r="E41" s="1166">
        <f>541*0.75*1.05</f>
        <v>426.03750000000002</v>
      </c>
      <c r="F41" s="1192">
        <f>D41*E41/10^5</f>
        <v>0.92876175000000005</v>
      </c>
      <c r="G41" s="1197" t="s">
        <v>1156</v>
      </c>
      <c r="H41" s="1310"/>
      <c r="I41" s="1193" t="s">
        <v>1135</v>
      </c>
    </row>
    <row r="42" spans="1:9" ht="21.75" customHeight="1">
      <c r="A42" s="1183"/>
      <c r="B42" s="2303" t="s">
        <v>1089</v>
      </c>
      <c r="C42" s="2304"/>
      <c r="D42" s="2304"/>
      <c r="E42" s="2305"/>
      <c r="F42" s="1207">
        <f>SUM(F20:F41)</f>
        <v>131.24223375000003</v>
      </c>
      <c r="G42" s="1197"/>
      <c r="H42" s="1310"/>
      <c r="I42" s="1193"/>
    </row>
    <row r="43" spans="1:9" ht="20.399999999999999">
      <c r="A43" s="1274"/>
      <c r="B43" s="2306" t="s">
        <v>1090</v>
      </c>
      <c r="C43" s="2307"/>
      <c r="D43" s="2307"/>
      <c r="E43" s="2308"/>
      <c r="F43" s="1272">
        <f>F16+F42</f>
        <v>3345.5222337500004</v>
      </c>
      <c r="G43" s="1273"/>
      <c r="H43" s="1310"/>
      <c r="I43" s="1193"/>
    </row>
    <row r="44" spans="1:9" ht="15.6">
      <c r="A44" s="1193"/>
      <c r="B44" s="1206" t="s">
        <v>1045</v>
      </c>
      <c r="C44" s="1194"/>
      <c r="D44" s="1194"/>
      <c r="E44" s="1192"/>
      <c r="F44" s="1207"/>
      <c r="G44" s="1197" t="s">
        <v>1046</v>
      </c>
      <c r="H44" s="1310"/>
      <c r="I44" s="1193"/>
    </row>
    <row r="45" spans="1:9" ht="19.2">
      <c r="A45" s="1157" t="s">
        <v>813</v>
      </c>
      <c r="B45" s="1158" t="s">
        <v>116</v>
      </c>
      <c r="C45" s="1201"/>
      <c r="D45" s="1202"/>
      <c r="E45" s="1203"/>
      <c r="F45" s="1208"/>
      <c r="G45" s="1205"/>
      <c r="H45" s="1310"/>
      <c r="I45" s="1193"/>
    </row>
    <row r="46" spans="1:9" ht="96">
      <c r="A46" s="1378">
        <v>1</v>
      </c>
      <c r="B46" s="1163" t="s">
        <v>1047</v>
      </c>
      <c r="C46" s="1164" t="s">
        <v>41</v>
      </c>
      <c r="D46" s="1164">
        <v>600</v>
      </c>
      <c r="E46" s="1219">
        <v>15000</v>
      </c>
      <c r="F46" s="1379">
        <f>D46*E46/10^5</f>
        <v>90</v>
      </c>
      <c r="G46" s="1171" t="s">
        <v>1153</v>
      </c>
      <c r="H46" s="1313"/>
      <c r="I46" s="1193" t="s">
        <v>1136</v>
      </c>
    </row>
    <row r="47" spans="1:9" ht="21" customHeight="1">
      <c r="A47" s="1193"/>
      <c r="B47" s="2309" t="s">
        <v>1092</v>
      </c>
      <c r="C47" s="2310"/>
      <c r="D47" s="2310"/>
      <c r="E47" s="2311"/>
      <c r="F47" s="1207">
        <f>SUM(F46:F46)</f>
        <v>90</v>
      </c>
      <c r="G47" s="1193"/>
      <c r="H47" s="1313"/>
      <c r="I47" s="1193"/>
    </row>
    <row r="48" spans="1:9" ht="33.6">
      <c r="A48" s="1209" t="s">
        <v>814</v>
      </c>
      <c r="B48" s="1210" t="s">
        <v>1049</v>
      </c>
      <c r="C48" s="1211"/>
      <c r="D48" s="1212"/>
      <c r="E48" s="1213"/>
      <c r="F48" s="1214"/>
      <c r="G48" s="1215" t="s">
        <v>1050</v>
      </c>
      <c r="H48" s="1310"/>
      <c r="I48" s="1193"/>
    </row>
    <row r="49" spans="1:10" ht="19.2">
      <c r="A49" s="1216">
        <v>1</v>
      </c>
      <c r="B49" s="1167" t="s">
        <v>1051</v>
      </c>
      <c r="C49" s="1217" t="s">
        <v>1052</v>
      </c>
      <c r="D49" s="1218">
        <v>3</v>
      </c>
      <c r="E49" s="1219">
        <f>1680000</f>
        <v>1680000</v>
      </c>
      <c r="F49" s="1187">
        <f>E49*D49/10^5</f>
        <v>50.4</v>
      </c>
      <c r="G49" s="1220"/>
      <c r="H49" s="1310"/>
      <c r="I49" s="1193"/>
    </row>
    <row r="50" spans="1:10" ht="19.2">
      <c r="A50" s="1216">
        <v>2</v>
      </c>
      <c r="B50" s="1163" t="s">
        <v>1053</v>
      </c>
      <c r="C50" s="1217" t="s">
        <v>564</v>
      </c>
      <c r="D50" s="1218">
        <v>1</v>
      </c>
      <c r="E50" s="1219">
        <v>1000000</v>
      </c>
      <c r="F50" s="1221">
        <f>E50*D50/10^5</f>
        <v>10</v>
      </c>
      <c r="G50" s="1220"/>
      <c r="H50" s="1350"/>
      <c r="I50" s="1193"/>
    </row>
    <row r="51" spans="1:10" ht="24" customHeight="1">
      <c r="A51" s="1193"/>
      <c r="B51" s="2309" t="s">
        <v>1054</v>
      </c>
      <c r="C51" s="2310"/>
      <c r="D51" s="2310"/>
      <c r="E51" s="2311"/>
      <c r="F51" s="1207">
        <f>SUM(F49:F50)</f>
        <v>60.4</v>
      </c>
      <c r="G51" s="1197" t="s">
        <v>1055</v>
      </c>
      <c r="H51" s="1351"/>
      <c r="I51" s="1352"/>
    </row>
    <row r="52" spans="1:10" ht="15.6">
      <c r="A52" s="1193"/>
      <c r="B52" s="1206" t="s">
        <v>1045</v>
      </c>
      <c r="C52" s="1194"/>
      <c r="D52" s="1194"/>
      <c r="E52" s="1192"/>
      <c r="F52" s="1207"/>
      <c r="G52" s="1197" t="s">
        <v>1046</v>
      </c>
      <c r="H52" s="620"/>
      <c r="I52" s="1193"/>
    </row>
    <row r="53" spans="1:10" ht="38.4">
      <c r="A53" s="1222"/>
      <c r="B53" s="1223" t="s">
        <v>1056</v>
      </c>
      <c r="C53" s="1275"/>
      <c r="D53" s="1275"/>
      <c r="E53" s="1222"/>
      <c r="F53" s="1222"/>
      <c r="G53" s="1276"/>
      <c r="H53" s="1372"/>
      <c r="I53" s="1315"/>
      <c r="J53" s="1227"/>
    </row>
    <row r="54" spans="1:10" ht="19.2">
      <c r="A54" s="1209" t="s">
        <v>158</v>
      </c>
      <c r="B54" s="1228" t="s">
        <v>333</v>
      </c>
      <c r="C54" s="1229"/>
      <c r="D54" s="1229"/>
      <c r="E54" s="1213"/>
      <c r="F54" s="1213"/>
      <c r="G54" s="1224"/>
      <c r="H54" s="1226"/>
      <c r="I54" s="1315"/>
      <c r="J54" s="1230"/>
    </row>
    <row r="55" spans="1:10" ht="38.4">
      <c r="A55" s="1216">
        <v>1</v>
      </c>
      <c r="B55" s="1231" t="s">
        <v>1057</v>
      </c>
      <c r="C55" s="1229" t="s">
        <v>41</v>
      </c>
      <c r="D55" s="1354">
        <v>250</v>
      </c>
      <c r="E55" s="1353">
        <v>85000</v>
      </c>
      <c r="F55" s="1213">
        <f>D55*E55/10^5</f>
        <v>212.5</v>
      </c>
      <c r="G55" s="1300" t="s">
        <v>1154</v>
      </c>
      <c r="H55" s="1226"/>
      <c r="I55" s="1315"/>
      <c r="J55" s="1230"/>
    </row>
    <row r="56" spans="1:10" ht="19.2">
      <c r="A56" s="1216">
        <v>2</v>
      </c>
      <c r="B56" s="1231" t="s">
        <v>1059</v>
      </c>
      <c r="C56" s="1229" t="s">
        <v>41</v>
      </c>
      <c r="D56" s="1212">
        <v>3</v>
      </c>
      <c r="E56" s="1353">
        <v>110000</v>
      </c>
      <c r="F56" s="1213">
        <f>D56*E56/10^5</f>
        <v>3.3</v>
      </c>
      <c r="G56" s="1232"/>
      <c r="H56" s="1226"/>
      <c r="I56" s="1315"/>
      <c r="J56" s="1230"/>
    </row>
    <row r="57" spans="1:10" ht="19.2">
      <c r="A57" s="1216">
        <v>3</v>
      </c>
      <c r="B57" s="1233" t="s">
        <v>1060</v>
      </c>
      <c r="C57" s="1229" t="s">
        <v>1061</v>
      </c>
      <c r="D57" s="1212">
        <v>2500</v>
      </c>
      <c r="E57" s="1353">
        <v>1200</v>
      </c>
      <c r="F57" s="1213">
        <f>D57*E57/10^5</f>
        <v>30</v>
      </c>
      <c r="G57" s="1232"/>
      <c r="H57" s="1226"/>
      <c r="I57" s="1315" t="s">
        <v>1137</v>
      </c>
      <c r="J57" s="1230"/>
    </row>
    <row r="58" spans="1:10" ht="18.75" customHeight="1">
      <c r="A58" s="1216"/>
      <c r="B58" s="2312" t="s">
        <v>1093</v>
      </c>
      <c r="C58" s="2313"/>
      <c r="D58" s="2313"/>
      <c r="E58" s="2314"/>
      <c r="F58" s="1214">
        <f>SUM(F55:F57)</f>
        <v>245.8</v>
      </c>
      <c r="G58" s="1224"/>
      <c r="H58" s="1226"/>
      <c r="I58" s="1315"/>
      <c r="J58" s="1230"/>
    </row>
    <row r="59" spans="1:10" ht="19.2">
      <c r="A59" s="1224" t="s">
        <v>813</v>
      </c>
      <c r="B59" s="1234" t="s">
        <v>751</v>
      </c>
      <c r="C59" s="1235"/>
      <c r="D59" s="1236"/>
      <c r="E59" s="1225"/>
      <c r="F59" s="1225"/>
      <c r="G59" s="1224"/>
      <c r="H59" s="1226"/>
      <c r="I59" s="1315"/>
      <c r="J59" s="1237"/>
    </row>
    <row r="60" spans="1:10" ht="19.2">
      <c r="A60" s="1224" t="s">
        <v>197</v>
      </c>
      <c r="B60" s="1232" t="s">
        <v>1062</v>
      </c>
      <c r="C60" s="1235"/>
      <c r="D60" s="1236"/>
      <c r="E60" s="1225"/>
      <c r="F60" s="1225"/>
      <c r="G60" s="1238" t="s">
        <v>1063</v>
      </c>
      <c r="H60" s="1226"/>
      <c r="I60" s="1315"/>
      <c r="J60" s="1237"/>
    </row>
    <row r="61" spans="1:10" ht="19.2">
      <c r="A61" s="1239">
        <v>1</v>
      </c>
      <c r="B61" s="1240" t="s">
        <v>1064</v>
      </c>
      <c r="C61" s="1241" t="s">
        <v>815</v>
      </c>
      <c r="D61" s="1241">
        <v>268</v>
      </c>
      <c r="E61" s="1187">
        <f>(286.85+0.5*253.95+0.5*271.45)/1.15</f>
        <v>477.86956521739143</v>
      </c>
      <c r="F61" s="1355">
        <f>D61*E61/10^5</f>
        <v>1.2806904347826091</v>
      </c>
      <c r="G61" s="1240" t="s">
        <v>1065</v>
      </c>
      <c r="H61" s="1226"/>
      <c r="I61" s="1315"/>
      <c r="J61" s="1237"/>
    </row>
    <row r="62" spans="1:10" ht="19.2">
      <c r="A62" s="1239">
        <f>A61+1</f>
        <v>2</v>
      </c>
      <c r="B62" s="1240" t="s">
        <v>1066</v>
      </c>
      <c r="C62" s="1241" t="s">
        <v>815</v>
      </c>
      <c r="D62" s="1241">
        <v>0</v>
      </c>
      <c r="E62" s="1187">
        <f>2619.45/1.15</f>
        <v>2277.782608695652</v>
      </c>
      <c r="F62" s="1355">
        <f t="shared" ref="F62:F69" si="3">D62*E62/10^5</f>
        <v>0</v>
      </c>
      <c r="G62" s="1240" t="s">
        <v>1067</v>
      </c>
      <c r="H62" s="1226"/>
      <c r="I62" s="1315"/>
      <c r="J62" s="1237"/>
    </row>
    <row r="63" spans="1:10" ht="19.2">
      <c r="A63" s="1239">
        <v>3</v>
      </c>
      <c r="B63" s="1240" t="s">
        <v>1068</v>
      </c>
      <c r="C63" s="1241" t="s">
        <v>815</v>
      </c>
      <c r="D63" s="1241">
        <v>11</v>
      </c>
      <c r="E63" s="1187">
        <f>6833.4/1.15</f>
        <v>5942.086956521739</v>
      </c>
      <c r="F63" s="1355">
        <f t="shared" si="3"/>
        <v>0.65362956521739124</v>
      </c>
      <c r="G63" s="1240" t="s">
        <v>1069</v>
      </c>
      <c r="H63" s="1226"/>
      <c r="I63" s="1315"/>
      <c r="J63" s="1237"/>
    </row>
    <row r="64" spans="1:10" ht="19.2">
      <c r="A64" s="1239">
        <v>4</v>
      </c>
      <c r="B64" s="1240" t="s">
        <v>1070</v>
      </c>
      <c r="C64" s="1241" t="s">
        <v>815</v>
      </c>
      <c r="D64" s="1241">
        <v>144</v>
      </c>
      <c r="E64" s="1187">
        <f>(7997.3+3*307.95)/1.15</f>
        <v>7757.521739130435</v>
      </c>
      <c r="F64" s="1355">
        <f t="shared" si="3"/>
        <v>11.170831304347827</v>
      </c>
      <c r="G64" s="1240" t="s">
        <v>1071</v>
      </c>
      <c r="H64" s="1226"/>
      <c r="I64" s="1315"/>
      <c r="J64" s="1237"/>
    </row>
    <row r="65" spans="1:10" ht="38.4">
      <c r="A65" s="1239">
        <v>5</v>
      </c>
      <c r="B65" s="1240" t="s">
        <v>1072</v>
      </c>
      <c r="C65" s="1241" t="s">
        <v>815</v>
      </c>
      <c r="D65" s="1241">
        <v>2</v>
      </c>
      <c r="E65" s="1187">
        <f>8599.35/1.15*1.1</f>
        <v>8225.4652173913055</v>
      </c>
      <c r="F65" s="1355">
        <f t="shared" si="3"/>
        <v>0.1645093043478261</v>
      </c>
      <c r="G65" s="1240" t="s">
        <v>1073</v>
      </c>
      <c r="H65" s="1226"/>
      <c r="I65" s="1315"/>
      <c r="J65" s="1237"/>
    </row>
    <row r="66" spans="1:10" ht="19.2">
      <c r="A66" s="1239">
        <v>6</v>
      </c>
      <c r="B66" s="1240" t="s">
        <v>1074</v>
      </c>
      <c r="C66" s="1241" t="s">
        <v>1075</v>
      </c>
      <c r="D66" s="1241">
        <v>17215</v>
      </c>
      <c r="E66" s="1187">
        <f>89.65/1.15</f>
        <v>77.956521739130451</v>
      </c>
      <c r="F66" s="1355">
        <f t="shared" si="3"/>
        <v>13.420215217391306</v>
      </c>
      <c r="G66" s="1240" t="s">
        <v>750</v>
      </c>
      <c r="H66" s="1226"/>
      <c r="I66" s="1315"/>
      <c r="J66" s="1237"/>
    </row>
    <row r="67" spans="1:10" ht="19.2">
      <c r="A67" s="1239">
        <v>7</v>
      </c>
      <c r="B67" s="1240" t="s">
        <v>1076</v>
      </c>
      <c r="C67" s="1241" t="s">
        <v>1075</v>
      </c>
      <c r="D67" s="1241">
        <v>12960</v>
      </c>
      <c r="E67" s="1187">
        <f>89.65/1.15</f>
        <v>77.956521739130451</v>
      </c>
      <c r="F67" s="1355">
        <f t="shared" si="3"/>
        <v>10.103165217391306</v>
      </c>
      <c r="G67" s="1240" t="s">
        <v>750</v>
      </c>
      <c r="H67" s="1226"/>
      <c r="I67" s="1315"/>
      <c r="J67" s="1237"/>
    </row>
    <row r="68" spans="1:10" ht="19.2">
      <c r="A68" s="1239">
        <v>8</v>
      </c>
      <c r="B68" s="1240" t="s">
        <v>1077</v>
      </c>
      <c r="C68" s="1241" t="s">
        <v>1075</v>
      </c>
      <c r="D68" s="1241">
        <v>40</v>
      </c>
      <c r="E68" s="1187">
        <f>93.05/1.15</f>
        <v>80.913043478260875</v>
      </c>
      <c r="F68" s="1355">
        <f t="shared" si="3"/>
        <v>3.2365217391304352E-2</v>
      </c>
      <c r="G68" s="1240" t="s">
        <v>1078</v>
      </c>
      <c r="H68" s="1226"/>
      <c r="I68" s="1315"/>
      <c r="J68" s="1237"/>
    </row>
    <row r="69" spans="1:10" ht="19.2">
      <c r="A69" s="1239">
        <v>9</v>
      </c>
      <c r="B69" s="1240" t="s">
        <v>1079</v>
      </c>
      <c r="C69" s="1241" t="s">
        <v>771</v>
      </c>
      <c r="D69" s="1241">
        <v>648</v>
      </c>
      <c r="E69" s="1187">
        <f>3060.1/1.15</f>
        <v>2660.9565217391305</v>
      </c>
      <c r="F69" s="1355">
        <f t="shared" si="3"/>
        <v>17.242998260869566</v>
      </c>
      <c r="G69" s="1240" t="s">
        <v>1080</v>
      </c>
      <c r="H69" s="1226"/>
      <c r="I69" s="1315" t="s">
        <v>1138</v>
      </c>
      <c r="J69" s="1237"/>
    </row>
    <row r="70" spans="1:10" ht="19.2">
      <c r="A70" s="1239"/>
      <c r="B70" s="2300" t="s">
        <v>1094</v>
      </c>
      <c r="C70" s="2301"/>
      <c r="D70" s="2301"/>
      <c r="E70" s="2302"/>
      <c r="F70" s="1356">
        <f>SUM(F61:F69)</f>
        <v>54.06840452173914</v>
      </c>
      <c r="G70" s="1240"/>
      <c r="H70" s="1226"/>
      <c r="I70" s="1315"/>
      <c r="J70" s="1237"/>
    </row>
    <row r="71" spans="1:10" ht="19.2">
      <c r="A71" s="1224" t="s">
        <v>61</v>
      </c>
      <c r="B71" s="1232" t="s">
        <v>1081</v>
      </c>
      <c r="C71" s="1235"/>
      <c r="D71" s="1236"/>
      <c r="E71" s="1187"/>
      <c r="F71" s="1225"/>
      <c r="G71" s="1224"/>
      <c r="H71" s="1226"/>
      <c r="I71" s="1315"/>
      <c r="J71" s="1237"/>
    </row>
    <row r="72" spans="1:10" ht="19.2">
      <c r="A72" s="1239">
        <v>1</v>
      </c>
      <c r="B72" s="1240" t="s">
        <v>1064</v>
      </c>
      <c r="C72" s="1241" t="s">
        <v>815</v>
      </c>
      <c r="D72" s="1241">
        <v>60</v>
      </c>
      <c r="E72" s="1187">
        <f>(286.85+0.5*253.95+0.5*271.45)/1.15</f>
        <v>477.86956521739143</v>
      </c>
      <c r="F72" s="1355">
        <f t="shared" ref="F72:F80" si="4">D72*E72/10^5</f>
        <v>0.28672173913043486</v>
      </c>
      <c r="G72" s="1240" t="s">
        <v>1065</v>
      </c>
      <c r="H72" s="1226"/>
      <c r="I72" s="1315"/>
      <c r="J72" s="1237"/>
    </row>
    <row r="73" spans="1:10" ht="15.75" customHeight="1">
      <c r="A73" s="1239">
        <f>A72+1</f>
        <v>2</v>
      </c>
      <c r="B73" s="1240" t="s">
        <v>1066</v>
      </c>
      <c r="C73" s="1241" t="s">
        <v>815</v>
      </c>
      <c r="D73" s="1241">
        <v>11</v>
      </c>
      <c r="E73" s="1187">
        <f>2619.45/1.15</f>
        <v>2277.782608695652</v>
      </c>
      <c r="F73" s="1355">
        <f t="shared" si="4"/>
        <v>0.25055608695652171</v>
      </c>
      <c r="G73" s="1240" t="s">
        <v>1067</v>
      </c>
      <c r="H73" s="1226"/>
      <c r="I73" s="1315"/>
      <c r="J73" s="1237"/>
    </row>
    <row r="74" spans="1:10" ht="19.2">
      <c r="A74" s="1239">
        <v>3</v>
      </c>
      <c r="B74" s="1240" t="s">
        <v>1068</v>
      </c>
      <c r="C74" s="1241" t="s">
        <v>815</v>
      </c>
      <c r="D74" s="1241">
        <v>6</v>
      </c>
      <c r="E74" s="1187">
        <f>6833.4/1.15</f>
        <v>5942.086956521739</v>
      </c>
      <c r="F74" s="1355">
        <f t="shared" si="4"/>
        <v>0.35652521739130433</v>
      </c>
      <c r="G74" s="1240" t="s">
        <v>1069</v>
      </c>
      <c r="H74" s="1226"/>
      <c r="I74" s="1315"/>
      <c r="J74" s="1237"/>
    </row>
    <row r="75" spans="1:10" ht="19.2">
      <c r="A75" s="1239">
        <v>4</v>
      </c>
      <c r="B75" s="1240" t="s">
        <v>1070</v>
      </c>
      <c r="C75" s="1241" t="s">
        <v>815</v>
      </c>
      <c r="D75" s="1241">
        <v>17</v>
      </c>
      <c r="E75" s="1187">
        <f>(7997.3+3*307.95)/1.15</f>
        <v>7757.521739130435</v>
      </c>
      <c r="F75" s="1355">
        <f t="shared" si="4"/>
        <v>1.3187786956521741</v>
      </c>
      <c r="G75" s="1240" t="s">
        <v>1071</v>
      </c>
      <c r="H75" s="1226"/>
      <c r="I75" s="1315"/>
      <c r="J75" s="1237"/>
    </row>
    <row r="76" spans="1:10" ht="38.4">
      <c r="A76" s="1239">
        <v>5</v>
      </c>
      <c r="B76" s="1240" t="s">
        <v>1072</v>
      </c>
      <c r="C76" s="1241" t="s">
        <v>815</v>
      </c>
      <c r="D76" s="1241">
        <v>0</v>
      </c>
      <c r="E76" s="1187">
        <f>8599.35/1.15*1.1</f>
        <v>8225.4652173913055</v>
      </c>
      <c r="F76" s="1355">
        <f t="shared" si="4"/>
        <v>0</v>
      </c>
      <c r="G76" s="1240" t="s">
        <v>1073</v>
      </c>
      <c r="H76" s="1226"/>
      <c r="I76" s="1315"/>
      <c r="J76" s="1237"/>
    </row>
    <row r="77" spans="1:10" ht="19.2">
      <c r="A77" s="1239">
        <v>6</v>
      </c>
      <c r="B77" s="1240" t="s">
        <v>1074</v>
      </c>
      <c r="C77" s="1241" t="s">
        <v>1075</v>
      </c>
      <c r="D77" s="1241">
        <v>1332</v>
      </c>
      <c r="E77" s="1187">
        <f>89.65/1.15</f>
        <v>77.956521739130451</v>
      </c>
      <c r="F77" s="1355">
        <f t="shared" si="4"/>
        <v>1.0383808695652177</v>
      </c>
      <c r="G77" s="1240" t="s">
        <v>750</v>
      </c>
      <c r="H77" s="1226"/>
      <c r="I77" s="1315"/>
      <c r="J77" s="1237"/>
    </row>
    <row r="78" spans="1:10" ht="19.2">
      <c r="A78" s="1239">
        <v>7</v>
      </c>
      <c r="B78" s="1240" t="s">
        <v>1076</v>
      </c>
      <c r="C78" s="1241" t="s">
        <v>1075</v>
      </c>
      <c r="D78" s="1241">
        <v>0</v>
      </c>
      <c r="E78" s="1187">
        <f>89.65/1.15</f>
        <v>77.956521739130451</v>
      </c>
      <c r="F78" s="1355">
        <f t="shared" si="4"/>
        <v>0</v>
      </c>
      <c r="G78" s="1240" t="s">
        <v>750</v>
      </c>
      <c r="H78" s="1226"/>
      <c r="I78" s="1315"/>
      <c r="J78" s="1237"/>
    </row>
    <row r="79" spans="1:10" ht="19.2">
      <c r="A79" s="1239">
        <v>8</v>
      </c>
      <c r="B79" s="1240" t="s">
        <v>1077</v>
      </c>
      <c r="C79" s="1241" t="s">
        <v>1075</v>
      </c>
      <c r="D79" s="1241">
        <v>0</v>
      </c>
      <c r="E79" s="1187">
        <f>93.05/1.15</f>
        <v>80.913043478260875</v>
      </c>
      <c r="F79" s="1355">
        <f t="shared" si="4"/>
        <v>0</v>
      </c>
      <c r="G79" s="1240" t="s">
        <v>1078</v>
      </c>
      <c r="H79" s="1226"/>
      <c r="I79" s="1315"/>
      <c r="J79" s="1237"/>
    </row>
    <row r="80" spans="1:10" ht="20.25" customHeight="1">
      <c r="A80" s="1239">
        <v>9</v>
      </c>
      <c r="B80" s="1240" t="s">
        <v>1079</v>
      </c>
      <c r="C80" s="1241" t="s">
        <v>771</v>
      </c>
      <c r="D80" s="1241">
        <v>0</v>
      </c>
      <c r="E80" s="1187">
        <f>3060.1/1.15</f>
        <v>2660.9565217391305</v>
      </c>
      <c r="F80" s="1355">
        <f t="shared" si="4"/>
        <v>0</v>
      </c>
      <c r="G80" s="1240" t="s">
        <v>1080</v>
      </c>
      <c r="H80" s="1226"/>
      <c r="I80" s="1315"/>
      <c r="J80" s="1237"/>
    </row>
    <row r="81" spans="1:10" ht="19.2">
      <c r="A81" s="1242"/>
      <c r="B81" s="2300" t="s">
        <v>1095</v>
      </c>
      <c r="C81" s="2301"/>
      <c r="D81" s="2301"/>
      <c r="E81" s="2302"/>
      <c r="F81" s="1225">
        <f>SUM(F72:F80)</f>
        <v>3.2509626086956529</v>
      </c>
      <c r="G81" s="1224"/>
      <c r="H81" s="1226"/>
      <c r="I81" s="1315"/>
      <c r="J81" s="1237"/>
    </row>
    <row r="82" spans="1:10" ht="19.2">
      <c r="A82" s="1224" t="s">
        <v>814</v>
      </c>
      <c r="B82" s="1234" t="s">
        <v>116</v>
      </c>
      <c r="C82" s="1235"/>
      <c r="D82" s="1236"/>
      <c r="E82" s="1187"/>
      <c r="F82" s="1225"/>
      <c r="G82" s="1224"/>
      <c r="H82"/>
      <c r="I82" s="1315"/>
      <c r="J82" s="1237"/>
    </row>
    <row r="83" spans="1:10" ht="19.2">
      <c r="A83" s="1239">
        <v>1</v>
      </c>
      <c r="B83" s="1243" t="s">
        <v>1082</v>
      </c>
      <c r="C83" s="1235" t="s">
        <v>41</v>
      </c>
      <c r="D83" s="1244">
        <v>100</v>
      </c>
      <c r="E83" s="1357">
        <v>10000</v>
      </c>
      <c r="F83" s="1245">
        <f>D83*E83/10^5</f>
        <v>10</v>
      </c>
      <c r="G83" s="1232"/>
      <c r="H83"/>
      <c r="I83" s="1315" t="s">
        <v>1139</v>
      </c>
      <c r="J83" s="1237"/>
    </row>
    <row r="84" spans="1:10" ht="19.2">
      <c r="A84" s="1239">
        <v>2</v>
      </c>
      <c r="B84" s="1243" t="s">
        <v>1083</v>
      </c>
      <c r="C84" s="1229" t="s">
        <v>1061</v>
      </c>
      <c r="D84" s="1212">
        <v>1500</v>
      </c>
      <c r="E84" s="1357">
        <v>250</v>
      </c>
      <c r="F84" s="1245">
        <f>D84*E84/10^5</f>
        <v>3.75</v>
      </c>
      <c r="G84" s="1232"/>
      <c r="H84" s="1226"/>
      <c r="I84" s="1315"/>
      <c r="J84" s="1237"/>
    </row>
    <row r="85" spans="1:10" ht="19.5" customHeight="1">
      <c r="A85" s="1193"/>
      <c r="B85" s="2300" t="s">
        <v>1096</v>
      </c>
      <c r="C85" s="2301"/>
      <c r="D85" s="2301"/>
      <c r="E85" s="2302"/>
      <c r="F85" s="1207">
        <f>SUM(F83:F84)</f>
        <v>13.75</v>
      </c>
      <c r="G85" s="1193"/>
      <c r="H85" s="1226"/>
      <c r="I85" s="1315"/>
      <c r="J85" s="1237"/>
    </row>
    <row r="86" spans="1:10" ht="15.6">
      <c r="A86" s="1358" t="s">
        <v>1140</v>
      </c>
      <c r="B86" s="1359" t="s">
        <v>1005</v>
      </c>
      <c r="C86" s="1194"/>
      <c r="D86" s="1194"/>
      <c r="E86" s="1192"/>
      <c r="F86" s="1192"/>
      <c r="G86" s="1193"/>
      <c r="H86" s="1227"/>
      <c r="I86" s="1315"/>
      <c r="J86" s="1237"/>
    </row>
    <row r="87" spans="1:10" ht="76.8">
      <c r="A87" s="1360"/>
      <c r="B87" s="1361" t="s">
        <v>1141</v>
      </c>
      <c r="C87" s="1360"/>
      <c r="D87" s="1360"/>
      <c r="E87" s="1362"/>
      <c r="F87" s="1362"/>
      <c r="G87" s="1360"/>
      <c r="H87" s="1227"/>
      <c r="I87" s="1315"/>
      <c r="J87" s="1237"/>
    </row>
    <row r="88" spans="1:10" ht="38.4">
      <c r="A88" s="1380">
        <v>1</v>
      </c>
      <c r="B88" s="1361" t="s">
        <v>1142</v>
      </c>
      <c r="C88" s="1381" t="s">
        <v>1039</v>
      </c>
      <c r="D88" s="1381">
        <v>943</v>
      </c>
      <c r="E88" s="1382">
        <f>2463*0.75*1.05</f>
        <v>1939.6125000000002</v>
      </c>
      <c r="F88" s="1382">
        <f>E88*D88*0.95/10^5</f>
        <v>17.376018581250001</v>
      </c>
      <c r="G88" s="1197" t="s">
        <v>1148</v>
      </c>
      <c r="H88" s="1227"/>
      <c r="I88" s="1363" t="s">
        <v>1143</v>
      </c>
      <c r="J88" s="1237"/>
    </row>
    <row r="89" spans="1:10" ht="19.2">
      <c r="A89" s="1380">
        <v>2</v>
      </c>
      <c r="B89" s="1361" t="s">
        <v>1144</v>
      </c>
      <c r="C89" s="1383" t="s">
        <v>1039</v>
      </c>
      <c r="D89" s="1383">
        <v>300</v>
      </c>
      <c r="E89" s="1384">
        <v>490</v>
      </c>
      <c r="F89" s="1384">
        <f>E89*D89/10^5</f>
        <v>1.47</v>
      </c>
      <c r="G89" s="1199" t="s">
        <v>1043</v>
      </c>
      <c r="H89" s="1227"/>
      <c r="I89" s="1315"/>
      <c r="J89" s="1237"/>
    </row>
    <row r="90" spans="1:10" ht="19.2">
      <c r="A90" s="1376"/>
      <c r="B90" s="2303" t="s">
        <v>1089</v>
      </c>
      <c r="C90" s="2304"/>
      <c r="D90" s="2304"/>
      <c r="E90" s="2305"/>
      <c r="F90" s="1207">
        <f>SUM(F88:F89)</f>
        <v>18.84601858125</v>
      </c>
      <c r="G90" s="1373"/>
      <c r="H90" s="1227">
        <f>F43+F90</f>
        <v>3364.3682523312505</v>
      </c>
      <c r="I90" s="1227"/>
      <c r="J90" s="1230"/>
    </row>
    <row r="91" spans="1:10" ht="20.399999999999999">
      <c r="A91" s="1377"/>
      <c r="B91" s="2306" t="s">
        <v>1090</v>
      </c>
      <c r="C91" s="2307"/>
      <c r="D91" s="2307"/>
      <c r="E91" s="2308"/>
      <c r="F91" s="1374">
        <f>F90</f>
        <v>18.84601858125</v>
      </c>
      <c r="G91" s="1375"/>
      <c r="H91" s="1227"/>
      <c r="I91" s="1227"/>
      <c r="J91" s="1230"/>
    </row>
    <row r="92" spans="1:10" ht="19.2">
      <c r="A92" s="1251"/>
      <c r="B92" s="1254"/>
      <c r="C92" s="1255"/>
      <c r="D92" s="1256"/>
      <c r="E92" s="1257"/>
      <c r="F92" s="1257"/>
      <c r="G92" s="1254"/>
      <c r="H92" s="1227"/>
      <c r="I92" s="1227"/>
      <c r="J92" s="1230"/>
    </row>
    <row r="93" spans="1:10" ht="31.2">
      <c r="A93" s="1251"/>
      <c r="B93" s="1254"/>
      <c r="C93" s="1255"/>
      <c r="D93" s="1368" t="s">
        <v>1146</v>
      </c>
      <c r="E93" s="1358" t="s">
        <v>1147</v>
      </c>
      <c r="F93" s="1369" t="s">
        <v>1149</v>
      </c>
      <c r="G93" s="1254"/>
      <c r="H93" s="1227"/>
      <c r="I93" s="1227"/>
      <c r="J93" s="1230"/>
    </row>
    <row r="94" spans="1:10" ht="19.2">
      <c r="A94" s="1251"/>
      <c r="B94" s="1254"/>
      <c r="C94" s="1255"/>
      <c r="D94" s="1370">
        <f>(F11+F27+F28+F31+F32+F37+F38+F39+F40+F41+F89+F88)/100*1/CC!E173</f>
        <v>0.60202541385932695</v>
      </c>
      <c r="E94" s="1370">
        <f>(F20+F21+F22+F23+F24+F25+F33)/100*1/CC!E173</f>
        <v>8.7686880943198329E-4</v>
      </c>
      <c r="F94" s="1370">
        <f>CC!E158/CC!E173-D94-E94</f>
        <v>1.9854206194333937E-2</v>
      </c>
      <c r="G94" s="1254"/>
      <c r="H94" s="1227"/>
      <c r="I94" s="1227"/>
      <c r="J94" s="1230"/>
    </row>
    <row r="95" spans="1:10" ht="19.2">
      <c r="A95" s="1251"/>
      <c r="B95" s="1254"/>
      <c r="C95" s="1255"/>
      <c r="D95" s="1256"/>
      <c r="E95" s="1257"/>
      <c r="F95" s="1257"/>
      <c r="G95" s="1254"/>
      <c r="H95" s="1227"/>
      <c r="I95" s="1227"/>
      <c r="J95" s="1230"/>
    </row>
    <row r="96" spans="1:10" ht="19.2">
      <c r="A96" s="1251"/>
      <c r="B96" s="1254"/>
      <c r="C96" s="1255"/>
      <c r="D96" s="1256"/>
      <c r="E96" s="1257"/>
      <c r="F96" s="1257"/>
      <c r="G96" s="1254"/>
      <c r="H96" s="1227"/>
      <c r="I96" s="1227"/>
      <c r="J96" s="1230"/>
    </row>
    <row r="97" spans="1:10" ht="19.2">
      <c r="A97" s="1251"/>
      <c r="B97" s="1254"/>
      <c r="C97" s="1255"/>
      <c r="D97" s="1256"/>
      <c r="E97" s="1257"/>
      <c r="F97" s="1257"/>
      <c r="G97" s="1254"/>
      <c r="H97" s="1227"/>
      <c r="I97" s="1227"/>
      <c r="J97" s="1230"/>
    </row>
    <row r="98" spans="1:10" ht="19.2">
      <c r="A98" s="1251"/>
      <c r="B98" s="1254"/>
      <c r="C98" s="1255"/>
      <c r="D98" s="1256"/>
      <c r="E98" s="1257"/>
      <c r="F98" s="1257"/>
      <c r="G98" s="1254"/>
      <c r="H98" s="1227"/>
      <c r="I98" s="1227"/>
      <c r="J98" s="1230"/>
    </row>
    <row r="99" spans="1:10" ht="19.2">
      <c r="A99" s="1251"/>
      <c r="B99" s="1254"/>
      <c r="C99" s="1255"/>
      <c r="D99" s="1256"/>
      <c r="E99" s="1257"/>
      <c r="F99" s="1257"/>
      <c r="G99" s="1254"/>
      <c r="H99" s="1227"/>
      <c r="I99" s="1227"/>
      <c r="J99" s="1230"/>
    </row>
    <row r="100" spans="1:10" ht="19.2">
      <c r="A100" s="1251"/>
      <c r="B100" s="1254"/>
      <c r="C100" s="1255"/>
      <c r="D100" s="1256"/>
      <c r="E100" s="1257"/>
      <c r="F100" s="1257"/>
      <c r="G100" s="1254"/>
      <c r="H100" s="1227"/>
      <c r="I100" s="1227"/>
      <c r="J100" s="1230"/>
    </row>
    <row r="101" spans="1:10" ht="19.2">
      <c r="A101" s="1251"/>
      <c r="B101" s="1254"/>
      <c r="C101" s="1255"/>
      <c r="D101" s="1256"/>
      <c r="E101" s="1257"/>
      <c r="F101" s="1257"/>
      <c r="G101" s="1254"/>
      <c r="H101" s="1227"/>
      <c r="I101" s="1227"/>
      <c r="J101" s="1230"/>
    </row>
    <row r="102" spans="1:10" ht="19.2">
      <c r="A102" s="1251"/>
      <c r="B102" s="1254"/>
      <c r="C102" s="1255"/>
      <c r="D102" s="1256"/>
      <c r="E102" s="1257"/>
      <c r="F102" s="1257"/>
      <c r="G102" s="1254"/>
      <c r="H102" s="1227"/>
      <c r="I102" s="1227"/>
      <c r="J102" s="1230"/>
    </row>
    <row r="103" spans="1:10" ht="19.2">
      <c r="A103" s="1251"/>
      <c r="B103" s="1254"/>
      <c r="C103" s="1255"/>
      <c r="D103" s="1256"/>
      <c r="E103" s="1257"/>
      <c r="F103" s="1257"/>
      <c r="G103" s="1258"/>
      <c r="H103" s="1227"/>
      <c r="I103" s="1227"/>
      <c r="J103" s="1230"/>
    </row>
    <row r="104" spans="1:10" ht="19.2">
      <c r="A104" s="1251"/>
      <c r="B104" s="1254"/>
      <c r="C104" s="1255"/>
      <c r="D104" s="1256"/>
      <c r="E104" s="1257"/>
      <c r="F104" s="1257"/>
      <c r="G104" s="1258"/>
      <c r="H104" s="1227"/>
      <c r="I104" s="1227"/>
      <c r="J104" s="1230"/>
    </row>
    <row r="105" spans="1:10" ht="19.2">
      <c r="A105" s="1251"/>
      <c r="B105" s="1254"/>
      <c r="C105" s="1255"/>
      <c r="D105" s="1256"/>
      <c r="E105" s="1257"/>
      <c r="F105" s="1257"/>
      <c r="G105" s="1254"/>
      <c r="H105" s="1227"/>
      <c r="I105" s="1227"/>
      <c r="J105" s="1230"/>
    </row>
    <row r="106" spans="1:10" ht="63.75" customHeight="1">
      <c r="A106" s="1251"/>
      <c r="B106" s="1254"/>
      <c r="C106" s="1255"/>
      <c r="D106" s="1256"/>
      <c r="E106" s="1257"/>
      <c r="F106" s="1257"/>
      <c r="G106" s="1254"/>
      <c r="H106" s="1227"/>
      <c r="I106" s="1227"/>
      <c r="J106" s="1230"/>
    </row>
    <row r="107" spans="1:10" ht="117.75" customHeight="1">
      <c r="A107" s="1251"/>
      <c r="B107" s="1254"/>
      <c r="C107" s="1255"/>
      <c r="D107" s="1256"/>
      <c r="E107" s="1257"/>
      <c r="F107" s="1257"/>
      <c r="G107" s="1254"/>
      <c r="H107" s="1227"/>
      <c r="I107" s="1227"/>
      <c r="J107" s="1230"/>
    </row>
    <row r="108" spans="1:10" ht="34.5" customHeight="1">
      <c r="A108" s="1251"/>
      <c r="B108" s="1254"/>
      <c r="C108" s="1255"/>
      <c r="D108" s="1256"/>
      <c r="E108" s="1257"/>
      <c r="F108" s="1257"/>
      <c r="G108" s="1259"/>
      <c r="H108" s="1227"/>
      <c r="I108" s="1227"/>
      <c r="J108" s="1230"/>
    </row>
    <row r="109" spans="1:10" ht="33" customHeight="1">
      <c r="A109" s="1251"/>
      <c r="B109" s="1254"/>
      <c r="C109" s="1255"/>
      <c r="D109" s="1256"/>
      <c r="E109" s="1257"/>
      <c r="F109" s="1257"/>
      <c r="G109" s="1258"/>
      <c r="H109" s="1227"/>
      <c r="I109" s="1227"/>
      <c r="J109" s="1230"/>
    </row>
    <row r="110" spans="1:10" ht="33" customHeight="1">
      <c r="A110" s="1251"/>
      <c r="B110" s="1254"/>
      <c r="C110" s="1255"/>
      <c r="D110" s="1256"/>
      <c r="E110" s="1257"/>
      <c r="F110" s="1257"/>
      <c r="G110" s="1254"/>
      <c r="H110" s="1227"/>
      <c r="I110" s="1227"/>
      <c r="J110" s="1230"/>
    </row>
    <row r="111" spans="1:10" ht="33" customHeight="1">
      <c r="A111" s="1251"/>
      <c r="B111" s="1254"/>
      <c r="C111" s="1255"/>
      <c r="D111" s="1256"/>
      <c r="E111" s="1257"/>
      <c r="F111" s="1257"/>
      <c r="G111" s="1254"/>
      <c r="H111" s="1227"/>
      <c r="I111" s="1227"/>
      <c r="J111" s="1230"/>
    </row>
    <row r="112" spans="1:10" ht="33" customHeight="1">
      <c r="A112" s="1251"/>
      <c r="B112" s="1254"/>
      <c r="C112" s="1255"/>
      <c r="D112" s="1256"/>
      <c r="E112" s="1257"/>
      <c r="F112" s="1257"/>
      <c r="G112" s="1254"/>
      <c r="H112" s="1227"/>
      <c r="I112" s="1227"/>
      <c r="J112" s="1230"/>
    </row>
    <row r="113" spans="1:10" ht="33" customHeight="1">
      <c r="A113" s="1251"/>
      <c r="B113" s="1254"/>
      <c r="C113" s="1255"/>
      <c r="D113" s="1256"/>
      <c r="E113" s="1257"/>
      <c r="F113" s="1257"/>
      <c r="G113" s="1254"/>
      <c r="H113" s="1227"/>
      <c r="I113" s="1227"/>
      <c r="J113" s="1230"/>
    </row>
    <row r="114" spans="1:10" ht="33" customHeight="1">
      <c r="A114" s="1251"/>
      <c r="B114" s="1254"/>
      <c r="C114" s="1255"/>
      <c r="D114" s="1256"/>
      <c r="E114" s="1257"/>
      <c r="F114" s="1257"/>
      <c r="G114" s="1254"/>
      <c r="H114" s="1227"/>
      <c r="I114" s="1227"/>
      <c r="J114" s="1230"/>
    </row>
    <row r="115" spans="1:10" ht="33" customHeight="1">
      <c r="A115" s="1251"/>
      <c r="B115" s="1254"/>
      <c r="C115" s="1255"/>
      <c r="D115" s="1256"/>
      <c r="E115" s="1257"/>
      <c r="F115" s="1257"/>
      <c r="G115" s="1254"/>
      <c r="H115" s="1227"/>
      <c r="I115" s="1227"/>
      <c r="J115" s="1230"/>
    </row>
    <row r="116" spans="1:10" ht="33" customHeight="1">
      <c r="A116" s="1251"/>
      <c r="B116" s="1254"/>
      <c r="C116" s="1255"/>
      <c r="D116" s="1256"/>
      <c r="E116" s="1257"/>
      <c r="F116" s="1257"/>
      <c r="G116" s="1254"/>
      <c r="H116" s="1227"/>
      <c r="I116" s="1227"/>
      <c r="J116" s="1230"/>
    </row>
    <row r="117" spans="1:10" ht="33" customHeight="1">
      <c r="A117" s="1251"/>
      <c r="B117" s="1254"/>
      <c r="C117" s="1255"/>
      <c r="D117" s="1256"/>
      <c r="E117" s="1257"/>
      <c r="F117" s="1257"/>
      <c r="G117" s="1254"/>
      <c r="H117" s="1227"/>
      <c r="I117" s="1227"/>
      <c r="J117" s="1230"/>
    </row>
    <row r="118" spans="1:10" ht="33" customHeight="1">
      <c r="A118" s="1251"/>
      <c r="B118" s="1254"/>
      <c r="C118" s="1255"/>
      <c r="D118" s="1256"/>
      <c r="E118" s="1257"/>
      <c r="F118" s="1257"/>
      <c r="G118" s="1254"/>
      <c r="H118" s="1227"/>
      <c r="I118" s="1227"/>
      <c r="J118" s="1230"/>
    </row>
    <row r="119" spans="1:10" ht="33" customHeight="1">
      <c r="A119" s="1260"/>
      <c r="B119" s="1248"/>
      <c r="C119" s="1247"/>
      <c r="D119" s="1247"/>
      <c r="E119" s="1249"/>
      <c r="F119" s="1261"/>
      <c r="G119" s="1248"/>
      <c r="H119" s="1227"/>
      <c r="I119" s="1227"/>
      <c r="J119" s="1230"/>
    </row>
    <row r="120" spans="1:10" ht="33" customHeight="1">
      <c r="A120" s="1251"/>
      <c r="B120" s="1253"/>
      <c r="C120" s="1250"/>
      <c r="D120" s="1262"/>
      <c r="E120" s="1263"/>
      <c r="F120" s="1252"/>
      <c r="G120" s="1264"/>
      <c r="H120" s="1227"/>
      <c r="I120" s="1227"/>
      <c r="J120" s="1230"/>
    </row>
    <row r="121" spans="1:10" ht="33" customHeight="1">
      <c r="A121" s="1251"/>
      <c r="B121" s="1248"/>
      <c r="C121" s="1250"/>
      <c r="D121" s="1250"/>
      <c r="E121" s="1252"/>
      <c r="F121" s="1252"/>
      <c r="G121" s="1264"/>
      <c r="H121" s="1227"/>
      <c r="I121" s="1227"/>
      <c r="J121" s="1230"/>
    </row>
    <row r="122" spans="1:10" ht="33" customHeight="1">
      <c r="A122" s="1251"/>
      <c r="B122" s="1248"/>
      <c r="C122" s="1250"/>
      <c r="D122" s="1250"/>
      <c r="E122" s="1252"/>
      <c r="F122" s="1252"/>
      <c r="G122" s="1264"/>
      <c r="H122" s="1227"/>
      <c r="I122" s="1227"/>
      <c r="J122" s="1227"/>
    </row>
    <row r="123" spans="1:10" ht="33" customHeight="1">
      <c r="A123" s="1251"/>
      <c r="B123" s="1254"/>
      <c r="C123" s="1255"/>
      <c r="D123" s="1256"/>
      <c r="E123" s="1257"/>
      <c r="F123" s="1257"/>
      <c r="G123" s="1254"/>
      <c r="H123" s="1227"/>
      <c r="I123" s="1227"/>
      <c r="J123" s="1227"/>
    </row>
    <row r="124" spans="1:10" ht="33" customHeight="1">
      <c r="A124" s="1251"/>
      <c r="B124" s="1254"/>
      <c r="C124" s="1255"/>
      <c r="D124" s="1256"/>
      <c r="E124" s="1257"/>
      <c r="F124" s="1257"/>
      <c r="G124" s="1254"/>
      <c r="H124" s="1227"/>
      <c r="I124" s="1227"/>
      <c r="J124" s="1227"/>
    </row>
    <row r="125" spans="1:10" ht="33" customHeight="1">
      <c r="A125" s="1251"/>
      <c r="B125" s="1254"/>
      <c r="C125" s="1255"/>
      <c r="D125" s="1256"/>
      <c r="E125" s="1257"/>
      <c r="F125" s="1257"/>
      <c r="G125" s="1254"/>
      <c r="H125" s="1227"/>
      <c r="I125" s="1227"/>
      <c r="J125" s="1227"/>
    </row>
    <row r="126" spans="1:10" ht="33" customHeight="1">
      <c r="A126" s="1251"/>
      <c r="B126" s="1254"/>
      <c r="C126" s="1255"/>
      <c r="D126" s="1256"/>
      <c r="E126" s="1257"/>
      <c r="F126" s="1257"/>
      <c r="G126" s="1254"/>
      <c r="H126" s="1227"/>
      <c r="I126" s="1227"/>
      <c r="J126" s="1227"/>
    </row>
    <row r="127" spans="1:10" ht="33" customHeight="1">
      <c r="A127" s="1251"/>
      <c r="B127" s="1254"/>
      <c r="C127" s="1255"/>
      <c r="D127" s="1256"/>
      <c r="E127" s="1257"/>
      <c r="F127" s="1257"/>
      <c r="G127" s="1254"/>
      <c r="H127" s="1227"/>
      <c r="I127" s="1227"/>
      <c r="J127" s="1227"/>
    </row>
    <row r="128" spans="1:10" ht="33" customHeight="1">
      <c r="A128" s="1251"/>
      <c r="B128" s="1254"/>
      <c r="C128" s="1255"/>
      <c r="D128" s="1256"/>
      <c r="E128" s="1257"/>
      <c r="F128" s="1257"/>
      <c r="G128" s="1254"/>
      <c r="H128" s="1227"/>
      <c r="I128" s="1227"/>
      <c r="J128" s="1227"/>
    </row>
    <row r="129" spans="1:10" ht="33" customHeight="1">
      <c r="A129" s="1251"/>
      <c r="B129" s="1254"/>
      <c r="C129" s="1255"/>
      <c r="D129" s="1256"/>
      <c r="E129" s="1257"/>
      <c r="F129" s="1257"/>
      <c r="G129" s="1254"/>
      <c r="H129" s="1227"/>
      <c r="I129" s="1227"/>
      <c r="J129" s="1227"/>
    </row>
    <row r="130" spans="1:10" ht="33" customHeight="1">
      <c r="A130" s="1251"/>
      <c r="B130" s="1254"/>
      <c r="C130" s="1255"/>
      <c r="D130" s="1256"/>
      <c r="E130" s="1257"/>
      <c r="F130" s="1257"/>
      <c r="G130" s="1254"/>
      <c r="H130" s="1227"/>
      <c r="I130" s="1227"/>
      <c r="J130" s="1227"/>
    </row>
    <row r="131" spans="1:10" ht="33" customHeight="1">
      <c r="A131" s="1251"/>
      <c r="B131" s="1254"/>
      <c r="C131" s="1255"/>
      <c r="D131" s="1256"/>
      <c r="E131" s="1257"/>
      <c r="F131" s="1257"/>
      <c r="G131" s="1254"/>
      <c r="H131" s="1227"/>
      <c r="I131" s="1227"/>
      <c r="J131" s="1227"/>
    </row>
    <row r="132" spans="1:10" ht="33" customHeight="1">
      <c r="A132" s="1251"/>
      <c r="B132" s="1254"/>
      <c r="C132" s="1255"/>
      <c r="D132" s="1256"/>
      <c r="E132" s="1257"/>
      <c r="F132" s="1257"/>
      <c r="G132" s="1254"/>
      <c r="H132" s="1227"/>
      <c r="I132" s="1227"/>
      <c r="J132" s="1227"/>
    </row>
    <row r="133" spans="1:10" ht="33" customHeight="1">
      <c r="A133" s="1251"/>
      <c r="B133" s="1254"/>
      <c r="C133" s="1255"/>
      <c r="D133" s="1256"/>
      <c r="E133" s="1257"/>
      <c r="F133" s="1257"/>
      <c r="G133" s="1254"/>
      <c r="H133" s="1227"/>
      <c r="I133" s="1227"/>
      <c r="J133" s="1227"/>
    </row>
    <row r="134" spans="1:10" ht="33" customHeight="1">
      <c r="A134" s="1251"/>
      <c r="B134" s="1254"/>
      <c r="C134" s="1255"/>
      <c r="D134" s="1256"/>
      <c r="E134" s="1257"/>
      <c r="F134" s="1257"/>
      <c r="G134" s="1254"/>
      <c r="H134" s="1227"/>
      <c r="I134" s="1227"/>
      <c r="J134" s="1227"/>
    </row>
    <row r="135" spans="1:10" ht="33" customHeight="1">
      <c r="A135" s="1251"/>
      <c r="B135" s="1254"/>
      <c r="C135" s="1255"/>
      <c r="D135" s="1256"/>
      <c r="E135" s="1257"/>
      <c r="F135" s="1257"/>
      <c r="G135" s="1258"/>
      <c r="H135" s="1227"/>
      <c r="I135" s="1227"/>
      <c r="J135" s="1227"/>
    </row>
    <row r="136" spans="1:10" ht="33" customHeight="1">
      <c r="A136" s="1251"/>
      <c r="B136" s="1254"/>
      <c r="C136" s="1255"/>
      <c r="D136" s="1256"/>
      <c r="E136" s="1257"/>
      <c r="F136" s="1257"/>
      <c r="G136" s="1258"/>
      <c r="H136" s="1227"/>
      <c r="I136" s="1227"/>
      <c r="J136" s="1227"/>
    </row>
    <row r="137" spans="1:10" ht="33" customHeight="1">
      <c r="A137" s="1251"/>
      <c r="B137" s="1254"/>
      <c r="C137" s="1255"/>
      <c r="D137" s="1256"/>
      <c r="E137" s="1257"/>
      <c r="F137" s="1257"/>
      <c r="G137" s="1254"/>
      <c r="H137" s="1227"/>
      <c r="I137" s="1227"/>
      <c r="J137" s="1227"/>
    </row>
    <row r="138" spans="1:10" ht="33" customHeight="1">
      <c r="A138" s="1251"/>
      <c r="B138" s="1254"/>
      <c r="C138" s="1255"/>
      <c r="D138" s="1256"/>
      <c r="E138" s="1257"/>
      <c r="F138" s="1257"/>
      <c r="G138" s="1254"/>
      <c r="H138" s="1227"/>
      <c r="I138" s="1227"/>
      <c r="J138" s="1227"/>
    </row>
    <row r="139" spans="1:10" ht="33" customHeight="1">
      <c r="A139" s="1251"/>
      <c r="B139" s="1254"/>
      <c r="C139" s="1255"/>
      <c r="D139" s="1256"/>
      <c r="E139" s="1257"/>
      <c r="F139" s="1257"/>
      <c r="G139" s="1254"/>
      <c r="H139" s="1227"/>
      <c r="I139" s="1227"/>
      <c r="J139" s="1227"/>
    </row>
    <row r="140" spans="1:10" ht="33" customHeight="1">
      <c r="A140" s="1251"/>
      <c r="B140" s="1254"/>
      <c r="C140" s="1255"/>
      <c r="D140" s="1256"/>
      <c r="E140" s="1257"/>
      <c r="F140" s="1257"/>
      <c r="G140" s="1259"/>
      <c r="H140" s="1227"/>
      <c r="I140" s="1227"/>
      <c r="J140" s="1227"/>
    </row>
    <row r="141" spans="1:10" ht="33" customHeight="1">
      <c r="A141" s="1251"/>
      <c r="B141" s="1254"/>
      <c r="C141" s="1255"/>
      <c r="D141" s="1256"/>
      <c r="E141" s="1257"/>
      <c r="F141" s="1257"/>
      <c r="G141" s="1258"/>
      <c r="H141" s="1227"/>
      <c r="I141" s="1227"/>
      <c r="J141" s="1227"/>
    </row>
    <row r="142" spans="1:10" ht="33" customHeight="1">
      <c r="A142" s="1251"/>
      <c r="B142" s="1254"/>
      <c r="C142" s="1255"/>
      <c r="D142" s="1256"/>
      <c r="E142" s="1257"/>
      <c r="F142" s="1257"/>
      <c r="G142" s="1254"/>
      <c r="H142" s="1227"/>
      <c r="I142" s="1227"/>
      <c r="J142" s="1227"/>
    </row>
    <row r="143" spans="1:10" ht="33" customHeight="1">
      <c r="A143" s="1251"/>
      <c r="B143" s="1254"/>
      <c r="C143" s="1255"/>
      <c r="D143" s="1256"/>
      <c r="E143" s="1257"/>
      <c r="F143" s="1257"/>
      <c r="G143" s="1254"/>
      <c r="H143" s="1227"/>
      <c r="I143" s="1227"/>
      <c r="J143" s="1227"/>
    </row>
    <row r="144" spans="1:10" ht="33" customHeight="1">
      <c r="A144" s="1251"/>
      <c r="B144" s="1254"/>
      <c r="C144" s="1255"/>
      <c r="D144" s="1256"/>
      <c r="E144" s="1257"/>
      <c r="F144" s="1257"/>
      <c r="G144" s="1254"/>
      <c r="H144" s="1227"/>
      <c r="I144" s="1227"/>
      <c r="J144" s="1227"/>
    </row>
    <row r="145" spans="1:10" ht="33" customHeight="1">
      <c r="A145" s="1251"/>
      <c r="B145" s="1254"/>
      <c r="C145" s="1255"/>
      <c r="D145" s="1256"/>
      <c r="E145" s="1257"/>
      <c r="F145" s="1257"/>
      <c r="G145" s="1254"/>
      <c r="H145" s="1227"/>
      <c r="I145" s="1227"/>
      <c r="J145" s="1227"/>
    </row>
    <row r="146" spans="1:10" ht="33" customHeight="1">
      <c r="A146" s="1251"/>
      <c r="B146" s="1254"/>
      <c r="C146" s="1255"/>
      <c r="D146" s="1256"/>
      <c r="E146" s="1257"/>
      <c r="F146" s="1257"/>
      <c r="G146" s="1254"/>
      <c r="H146" s="1227"/>
      <c r="I146" s="1227"/>
      <c r="J146" s="1227"/>
    </row>
    <row r="147" spans="1:10" ht="33" customHeight="1">
      <c r="A147" s="1251"/>
      <c r="B147" s="1254"/>
      <c r="C147" s="1255"/>
      <c r="D147" s="1256"/>
      <c r="E147" s="1257"/>
      <c r="F147" s="1257"/>
      <c r="G147" s="1254"/>
      <c r="H147" s="1227"/>
      <c r="I147" s="1227"/>
      <c r="J147" s="1227"/>
    </row>
    <row r="148" spans="1:10" ht="33" customHeight="1">
      <c r="A148" s="1251"/>
      <c r="B148" s="1254"/>
      <c r="C148" s="1255"/>
      <c r="D148" s="1256"/>
      <c r="E148" s="1257"/>
      <c r="F148" s="1257"/>
      <c r="G148" s="1254"/>
      <c r="H148" s="1227"/>
      <c r="I148" s="1227"/>
      <c r="J148" s="1227"/>
    </row>
    <row r="149" spans="1:10" ht="33" customHeight="1">
      <c r="A149" s="1251"/>
      <c r="B149" s="1254"/>
      <c r="C149" s="1255"/>
      <c r="D149" s="1256"/>
      <c r="E149" s="1257"/>
      <c r="F149" s="1257"/>
      <c r="G149" s="1254"/>
      <c r="H149" s="1227"/>
      <c r="I149" s="1227"/>
      <c r="J149" s="1227"/>
    </row>
    <row r="150" spans="1:10" ht="33" customHeight="1">
      <c r="A150" s="1251"/>
      <c r="B150" s="1254"/>
      <c r="C150" s="1255"/>
      <c r="D150" s="1256"/>
      <c r="E150" s="1257"/>
      <c r="F150" s="1257"/>
      <c r="G150" s="1254"/>
      <c r="H150" s="1227"/>
      <c r="I150" s="1227"/>
      <c r="J150" s="1227"/>
    </row>
    <row r="151" spans="1:10" ht="33" customHeight="1">
      <c r="A151" s="1260"/>
      <c r="B151" s="1248"/>
      <c r="C151" s="1247"/>
      <c r="D151" s="1247"/>
      <c r="E151" s="1249"/>
      <c r="F151" s="1261"/>
      <c r="G151" s="1248"/>
      <c r="H151" s="1227"/>
      <c r="I151" s="1227"/>
      <c r="J151" s="1237"/>
    </row>
    <row r="152" spans="1:10" ht="33" customHeight="1">
      <c r="D152" s="1246"/>
      <c r="E152" s="1142"/>
      <c r="F152" s="1142"/>
      <c r="G152" s="578"/>
      <c r="H152" s="253"/>
      <c r="I152" s="253"/>
    </row>
    <row r="153" spans="1:10" ht="33" customHeight="1">
      <c r="D153" s="1246"/>
      <c r="E153" s="1142"/>
      <c r="F153" s="1142"/>
      <c r="G153" s="578"/>
      <c r="H153" s="253"/>
      <c r="I153" s="253"/>
    </row>
    <row r="154" spans="1:10" ht="33" customHeight="1">
      <c r="D154" s="1364"/>
      <c r="E154" s="1365"/>
      <c r="F154" s="1365"/>
    </row>
    <row r="155" spans="1:10" ht="33" customHeight="1">
      <c r="D155" s="1364"/>
      <c r="E155" s="1365"/>
      <c r="F155" s="1365"/>
    </row>
    <row r="156" spans="1:10" ht="33" customHeight="1">
      <c r="D156" s="1364"/>
      <c r="E156" s="1365"/>
      <c r="F156" s="1365"/>
    </row>
    <row r="157" spans="1:10" ht="33" customHeight="1"/>
    <row r="158" spans="1:10" ht="33" customHeight="1"/>
    <row r="159" spans="1:10" ht="33" customHeight="1"/>
    <row r="160" spans="1:10" ht="33" customHeight="1"/>
    <row r="161" spans="1:13" ht="33" customHeight="1"/>
    <row r="162" spans="1:13" ht="33" customHeight="1"/>
    <row r="163" spans="1:13" ht="33" customHeight="1"/>
    <row r="164" spans="1:13" ht="33" customHeight="1"/>
    <row r="165" spans="1:13" ht="33" customHeight="1">
      <c r="A165" s="253"/>
      <c r="C165" s="253"/>
      <c r="D165" s="253"/>
      <c r="E165" s="253"/>
      <c r="F165" s="253"/>
      <c r="G165" s="253"/>
      <c r="H165" s="253"/>
      <c r="I165" s="253"/>
      <c r="J165" s="253"/>
      <c r="M165" s="253"/>
    </row>
    <row r="166" spans="1:13" ht="33" customHeight="1">
      <c r="A166" s="253"/>
      <c r="C166" s="253"/>
      <c r="D166" s="253"/>
      <c r="E166" s="253"/>
      <c r="F166" s="253"/>
      <c r="G166" s="253"/>
      <c r="H166" s="253"/>
      <c r="I166" s="253"/>
      <c r="J166" s="253"/>
      <c r="M166" s="253"/>
    </row>
    <row r="167" spans="1:13" ht="33" customHeight="1">
      <c r="A167" s="253"/>
      <c r="C167" s="253"/>
      <c r="D167" s="253"/>
      <c r="E167" s="253"/>
      <c r="F167" s="253"/>
      <c r="G167" s="253"/>
      <c r="H167" s="253"/>
      <c r="I167" s="253"/>
      <c r="J167" s="253"/>
      <c r="M167" s="253"/>
    </row>
    <row r="168" spans="1:13" ht="33" customHeight="1">
      <c r="A168" s="253"/>
      <c r="C168" s="253"/>
      <c r="D168" s="253"/>
      <c r="E168" s="253"/>
      <c r="F168" s="253"/>
      <c r="G168" s="253"/>
      <c r="H168" s="253"/>
      <c r="I168" s="253"/>
      <c r="J168" s="253"/>
      <c r="M168" s="253"/>
    </row>
    <row r="169" spans="1:13" ht="33" customHeight="1">
      <c r="A169" s="253"/>
      <c r="C169" s="253"/>
      <c r="D169" s="253"/>
      <c r="E169" s="253"/>
      <c r="F169" s="253"/>
      <c r="G169" s="253"/>
      <c r="H169" s="253"/>
      <c r="I169" s="253"/>
      <c r="J169" s="253"/>
      <c r="M169" s="253"/>
    </row>
    <row r="170" spans="1:13" ht="33" customHeight="1">
      <c r="A170" s="253"/>
      <c r="C170" s="253"/>
      <c r="D170" s="253"/>
      <c r="E170" s="253"/>
      <c r="F170" s="253"/>
      <c r="G170" s="253"/>
      <c r="H170" s="253"/>
      <c r="I170" s="253"/>
      <c r="J170" s="253"/>
      <c r="M170" s="253"/>
    </row>
    <row r="171" spans="1:13" ht="33" customHeight="1">
      <c r="A171" s="253"/>
      <c r="C171" s="253"/>
      <c r="D171" s="253"/>
      <c r="E171" s="253"/>
      <c r="F171" s="253"/>
      <c r="G171" s="253"/>
      <c r="H171" s="253"/>
      <c r="I171" s="253"/>
      <c r="J171" s="253"/>
      <c r="M171" s="253"/>
    </row>
    <row r="172" spans="1:13" ht="33" customHeight="1">
      <c r="A172" s="253"/>
      <c r="C172" s="253"/>
      <c r="D172" s="253"/>
      <c r="E172" s="253"/>
      <c r="F172" s="253"/>
      <c r="G172" s="253"/>
      <c r="H172" s="253"/>
      <c r="I172" s="253"/>
      <c r="J172" s="253"/>
      <c r="M172" s="253"/>
    </row>
    <row r="173" spans="1:13" ht="33" customHeight="1">
      <c r="A173" s="253"/>
      <c r="C173" s="253"/>
      <c r="D173" s="253"/>
      <c r="E173" s="253"/>
      <c r="F173" s="253"/>
      <c r="G173" s="253"/>
      <c r="H173" s="253"/>
      <c r="I173" s="253"/>
      <c r="J173" s="253"/>
      <c r="M173" s="253"/>
    </row>
    <row r="174" spans="1:13" ht="33" customHeight="1">
      <c r="A174" s="253"/>
      <c r="C174" s="253"/>
      <c r="D174" s="253"/>
      <c r="E174" s="253"/>
      <c r="F174" s="253"/>
      <c r="G174" s="253"/>
      <c r="H174" s="253"/>
      <c r="I174" s="253"/>
      <c r="J174" s="253"/>
      <c r="M174" s="253"/>
    </row>
    <row r="175" spans="1:13" ht="33" customHeight="1">
      <c r="A175" s="253"/>
      <c r="C175" s="253"/>
      <c r="D175" s="253"/>
      <c r="E175" s="253"/>
      <c r="F175" s="253"/>
      <c r="G175" s="253"/>
      <c r="H175" s="253"/>
      <c r="I175" s="253"/>
      <c r="J175" s="253"/>
      <c r="M175" s="253"/>
    </row>
    <row r="176" spans="1:13" ht="33" customHeight="1">
      <c r="A176" s="253"/>
      <c r="C176" s="253"/>
      <c r="D176" s="253"/>
      <c r="E176" s="253"/>
      <c r="F176" s="253"/>
      <c r="G176" s="253"/>
      <c r="H176" s="253"/>
      <c r="I176" s="253"/>
      <c r="J176" s="253"/>
      <c r="M176" s="253"/>
    </row>
    <row r="177" s="253" customFormat="1" ht="33" customHeight="1"/>
    <row r="178" s="253" customFormat="1" ht="33" customHeight="1"/>
    <row r="186" s="253" customFormat="1" ht="33" customHeight="1"/>
    <row r="187" s="253" customFormat="1" ht="33" customHeight="1"/>
    <row r="188" s="253" customFormat="1" ht="33" customHeight="1"/>
    <row r="189" s="253" customFormat="1" ht="33" customHeight="1"/>
    <row r="190" s="253" customFormat="1" ht="33" customHeight="1"/>
    <row r="191" s="253" customFormat="1" ht="33" customHeight="1"/>
    <row r="192" s="253" customFormat="1" ht="33" customHeight="1"/>
    <row r="193" s="253" customFormat="1" ht="33" customHeight="1"/>
    <row r="194" s="253" customFormat="1" ht="33" customHeight="1"/>
    <row r="195" s="253" customFormat="1" ht="33" customHeight="1"/>
    <row r="196" s="253" customFormat="1" ht="33" customHeight="1"/>
    <row r="197" s="253" customFormat="1" ht="33" customHeight="1"/>
    <row r="198" s="253" customFormat="1" ht="33" customHeight="1"/>
    <row r="199" s="253" customFormat="1" ht="33" customHeight="1"/>
    <row r="200" s="253" customFormat="1" ht="33" customHeight="1"/>
    <row r="201" s="253" customFormat="1" ht="33" customHeight="1"/>
    <row r="202" s="253" customFormat="1" ht="33" customHeight="1"/>
    <row r="203" s="253" customFormat="1" ht="33" customHeight="1"/>
    <row r="204" s="253" customFormat="1" ht="33" customHeight="1"/>
    <row r="205" s="253" customFormat="1" ht="33" customHeight="1"/>
    <row r="206" s="253" customFormat="1" ht="33" customHeight="1"/>
    <row r="207" s="253" customFormat="1" ht="33" customHeight="1"/>
    <row r="208" s="253" customFormat="1" ht="33" customHeight="1"/>
    <row r="209" s="253" customFormat="1" ht="33" customHeight="1"/>
    <row r="210" s="253" customFormat="1" ht="33" customHeight="1"/>
    <row r="211" s="253" customFormat="1" ht="33" customHeight="1"/>
    <row r="212" s="253" customFormat="1" ht="33" customHeight="1"/>
    <row r="213" s="253" customFormat="1" ht="33" customHeight="1"/>
    <row r="214" s="253" customFormat="1" ht="33" customHeight="1"/>
    <row r="215" s="253" customFormat="1" ht="33" customHeight="1"/>
    <row r="216" s="253" customFormat="1" ht="33" customHeight="1"/>
    <row r="217" s="253" customFormat="1" ht="33" customHeight="1"/>
    <row r="218" s="253" customFormat="1" ht="33" customHeight="1"/>
    <row r="219" s="253" customFormat="1" ht="33" customHeight="1"/>
    <row r="220" s="253" customFormat="1" ht="33" customHeight="1"/>
    <row r="221" s="253" customFormat="1" ht="33" customHeight="1"/>
    <row r="222" s="253" customFormat="1" ht="33" customHeight="1"/>
    <row r="223" s="253" customFormat="1" ht="33" customHeight="1"/>
    <row r="224" s="253" customFormat="1" ht="33" customHeight="1"/>
    <row r="225" s="253" customFormat="1" ht="33" customHeight="1"/>
    <row r="226" s="253" customFormat="1" ht="33" customHeight="1"/>
    <row r="227" s="253" customFormat="1" ht="33" customHeight="1"/>
    <row r="228" s="253" customFormat="1" ht="33" customHeight="1"/>
    <row r="229" s="253" customFormat="1" ht="33" customHeight="1"/>
    <row r="230" s="253" customFormat="1" ht="33" customHeight="1"/>
    <row r="231" s="253" customFormat="1" ht="33" customHeight="1"/>
    <row r="232" s="253" customFormat="1" ht="33" customHeight="1"/>
    <row r="233" s="253" customFormat="1" ht="33" customHeight="1"/>
    <row r="234" s="253" customFormat="1" ht="33" customHeight="1"/>
    <row r="235" s="253" customFormat="1" ht="33" customHeight="1"/>
    <row r="236" s="253" customFormat="1" ht="33" customHeight="1"/>
    <row r="237" s="253" customFormat="1" ht="33" customHeight="1"/>
    <row r="238" s="253" customFormat="1" ht="33" customHeight="1"/>
    <row r="239" s="253" customFormat="1" ht="33" customHeight="1"/>
    <row r="240" s="253" customFormat="1" ht="33" customHeight="1"/>
    <row r="241" s="253" customFormat="1" ht="33" customHeight="1"/>
    <row r="242" s="253" customFormat="1" ht="33" customHeight="1"/>
    <row r="243" s="253" customFormat="1" ht="33" customHeight="1"/>
    <row r="244" s="253" customFormat="1" ht="33" customHeight="1"/>
    <row r="245" s="253" customFormat="1" ht="33" customHeight="1"/>
    <row r="246" s="253" customFormat="1" ht="33" customHeight="1"/>
    <row r="247" s="253" customFormat="1" ht="33" customHeight="1"/>
    <row r="248" s="253" customFormat="1" ht="33" customHeight="1"/>
    <row r="249" s="253" customFormat="1" ht="33" customHeight="1"/>
    <row r="250" s="253" customFormat="1" ht="33" customHeight="1"/>
    <row r="251" s="253" customFormat="1" ht="33" customHeight="1"/>
    <row r="252" s="253" customFormat="1" ht="33" customHeight="1"/>
    <row r="253" s="253" customFormat="1" ht="33" customHeight="1"/>
    <row r="254" s="253" customFormat="1" ht="33" customHeight="1"/>
    <row r="255" s="253" customFormat="1" ht="33" customHeight="1"/>
    <row r="256" s="253" customFormat="1" ht="33" customHeight="1"/>
    <row r="257" s="253" customFormat="1" ht="33" customHeight="1"/>
    <row r="258" s="253" customFormat="1" ht="33" customHeight="1"/>
    <row r="259" s="253" customFormat="1" ht="33" customHeight="1"/>
    <row r="260" s="253" customFormat="1" ht="33" customHeight="1"/>
    <row r="261" s="253" customFormat="1" ht="33" customHeight="1"/>
    <row r="262" s="253" customFormat="1" ht="33" customHeight="1"/>
    <row r="263" s="253" customFormat="1" ht="33" customHeight="1"/>
    <row r="264" s="253" customFormat="1" ht="33" customHeight="1"/>
    <row r="265" s="253" customFormat="1" ht="33" customHeight="1"/>
    <row r="266" s="253" customFormat="1" ht="33" customHeight="1"/>
    <row r="267" s="253" customFormat="1" ht="33" customHeight="1"/>
    <row r="268" s="253" customFormat="1" ht="33" customHeight="1"/>
    <row r="269" s="253" customFormat="1" ht="33" customHeight="1"/>
    <row r="270" s="253" customFormat="1" ht="33" customHeight="1"/>
    <row r="271" s="253" customFormat="1" ht="33" customHeight="1"/>
    <row r="272" s="253" customFormat="1" ht="33" customHeight="1"/>
    <row r="273" s="253" customFormat="1" ht="33" customHeight="1"/>
    <row r="274" s="253" customFormat="1" ht="33" customHeight="1"/>
    <row r="275" s="253" customFormat="1" ht="33" customHeight="1"/>
    <row r="276" s="253" customFormat="1" ht="33" customHeight="1"/>
    <row r="277" s="253" customFormat="1" ht="33" customHeight="1"/>
    <row r="278" s="253" customFormat="1" ht="33" customHeight="1"/>
    <row r="279" s="253" customFormat="1" ht="33" customHeight="1"/>
    <row r="280" s="253" customFormat="1" ht="33" customHeight="1"/>
    <row r="281" s="253" customFormat="1" ht="33" customHeight="1"/>
    <row r="282" s="253" customFormat="1" ht="33" customHeight="1"/>
    <row r="283" s="253" customFormat="1" ht="33" customHeight="1"/>
    <row r="284" s="253" customFormat="1" ht="33" customHeight="1"/>
    <row r="285" s="253" customFormat="1" ht="33" customHeight="1"/>
    <row r="286" s="253" customFormat="1" ht="33" customHeight="1"/>
    <row r="287" s="253" customFormat="1" ht="33" customHeight="1"/>
    <row r="288" s="253" customFormat="1" ht="33" customHeight="1"/>
    <row r="289" s="253" customFormat="1" ht="33" customHeight="1"/>
    <row r="290" s="253" customFormat="1" ht="33" customHeight="1"/>
    <row r="291" s="253" customFormat="1" ht="33" customHeight="1"/>
    <row r="292" s="253" customFormat="1" ht="33" customHeight="1"/>
    <row r="293" s="253" customFormat="1" ht="33" customHeight="1"/>
    <row r="294" s="253" customFormat="1" ht="33" customHeight="1"/>
    <row r="295" s="253" customFormat="1" ht="33" customHeight="1"/>
    <row r="296" s="253" customFormat="1" ht="33" customHeight="1"/>
    <row r="297" s="253" customFormat="1" ht="33" customHeight="1"/>
    <row r="298" s="253" customFormat="1" ht="33" customHeight="1"/>
    <row r="299" s="253" customFormat="1" ht="33" customHeight="1"/>
    <row r="300" s="253" customFormat="1" ht="33" customHeight="1"/>
    <row r="301" s="253" customFormat="1" ht="33" customHeight="1"/>
    <row r="302" s="253" customFormat="1" ht="33" customHeight="1"/>
    <row r="303" s="253" customFormat="1" ht="33" customHeight="1"/>
    <row r="304" s="253" customFormat="1" ht="33" customHeight="1"/>
    <row r="305" s="253" customFormat="1" ht="33" customHeight="1"/>
    <row r="306" s="253" customFormat="1" ht="33" customHeight="1"/>
    <row r="307" s="253" customFormat="1" ht="33" customHeight="1"/>
    <row r="308" s="253" customFormat="1" ht="33" customHeight="1"/>
    <row r="309" s="253" customFormat="1" ht="33" customHeight="1"/>
    <row r="310" s="253" customFormat="1" ht="33" customHeight="1"/>
    <row r="311" s="253" customFormat="1" ht="33" customHeight="1"/>
    <row r="312" s="253" customFormat="1" ht="33" customHeight="1"/>
    <row r="313" s="253" customFormat="1" ht="33" customHeight="1"/>
    <row r="314" s="253" customFormat="1" ht="33" customHeight="1"/>
    <row r="315" s="253" customFormat="1" ht="33" customHeight="1"/>
  </sheetData>
  <mergeCells count="16">
    <mergeCell ref="A1:H1"/>
    <mergeCell ref="A2:H2"/>
    <mergeCell ref="A3:H3"/>
    <mergeCell ref="A4:H4"/>
    <mergeCell ref="B7:F7"/>
    <mergeCell ref="B16:E16"/>
    <mergeCell ref="B42:E42"/>
    <mergeCell ref="B43:E43"/>
    <mergeCell ref="B90:E90"/>
    <mergeCell ref="B91:E91"/>
    <mergeCell ref="B47:E47"/>
    <mergeCell ref="B51:E51"/>
    <mergeCell ref="B58:E58"/>
    <mergeCell ref="B70:E70"/>
    <mergeCell ref="B81:E81"/>
    <mergeCell ref="B85:E85"/>
  </mergeCells>
  <pageMargins left="0.70866141732283472" right="0.70866141732283472" top="0.74803149606299213" bottom="0.74803149606299213" header="0.31496062992125984" footer="0.31496062992125984"/>
  <pageSetup paperSize="9" scale="64" fitToHeight="8"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IV132"/>
  <sheetViews>
    <sheetView showZeros="0" topLeftCell="B47" workbookViewId="0">
      <selection activeCell="D56" sqref="D56"/>
    </sheetView>
  </sheetViews>
  <sheetFormatPr defaultRowHeight="14.4"/>
  <cols>
    <col min="1" max="1" width="6.453125" style="1385" customWidth="1"/>
    <col min="2" max="2" width="47.54296875" style="1385" customWidth="1"/>
    <col min="3" max="3" width="11.08984375" style="1385" customWidth="1"/>
    <col min="4" max="4" width="13.08984375" style="1385" customWidth="1"/>
    <col min="5" max="5" width="18.36328125" style="1385" customWidth="1"/>
    <col min="6" max="6" width="12.453125" style="1385" customWidth="1"/>
    <col min="7" max="7" width="13" style="1385" customWidth="1"/>
    <col min="8" max="8" width="11" style="1385" customWidth="1"/>
    <col min="9" max="9" width="9.90625" style="1385" customWidth="1"/>
    <col min="10" max="10" width="11.08984375" style="1385" customWidth="1"/>
    <col min="11" max="11" width="9.453125" style="1385" customWidth="1"/>
    <col min="12" max="12" width="9.54296875" style="1385" customWidth="1"/>
    <col min="13" max="13" width="10.81640625" style="1385" customWidth="1"/>
    <col min="14" max="14" width="6.54296875" style="1385" customWidth="1"/>
    <col min="15" max="15" width="7.54296875" style="1385" customWidth="1"/>
    <col min="16" max="16" width="10.08984375" style="1385" customWidth="1"/>
    <col min="17" max="17" width="9.453125" style="1385" customWidth="1"/>
    <col min="18" max="18" width="11" style="1385" customWidth="1"/>
    <col min="19" max="19" width="14" style="1385" customWidth="1"/>
    <col min="20" max="20" width="9.90625" style="1385" customWidth="1"/>
    <col min="21" max="24" width="8.90625" style="1385"/>
    <col min="25" max="25" width="15" style="1385" customWidth="1"/>
    <col min="26" max="26" width="6.453125" style="1385" customWidth="1"/>
    <col min="27" max="27" width="5.6328125" style="1385" customWidth="1"/>
    <col min="28" max="28" width="9.08984375" style="1385" customWidth="1"/>
    <col min="29" max="31" width="8.90625" style="1385"/>
    <col min="32" max="32" width="11.6328125" style="1385" customWidth="1"/>
    <col min="33" max="256" width="8.90625" style="1385"/>
    <col min="257" max="257" width="6.453125" style="1385" customWidth="1"/>
    <col min="258" max="258" width="43.36328125" style="1385" customWidth="1"/>
    <col min="259" max="259" width="11.08984375" style="1385" customWidth="1"/>
    <col min="260" max="260" width="13.08984375" style="1385" customWidth="1"/>
    <col min="261" max="261" width="13.90625" style="1385" customWidth="1"/>
    <col min="262" max="262" width="12.453125" style="1385" customWidth="1"/>
    <col min="263" max="263" width="13" style="1385" customWidth="1"/>
    <col min="264" max="264" width="11" style="1385" customWidth="1"/>
    <col min="265" max="265" width="9.90625" style="1385" customWidth="1"/>
    <col min="266" max="266" width="11.08984375" style="1385" customWidth="1"/>
    <col min="267" max="267" width="9.453125" style="1385" customWidth="1"/>
    <col min="268" max="268" width="9.54296875" style="1385" customWidth="1"/>
    <col min="269" max="269" width="10.81640625" style="1385" customWidth="1"/>
    <col min="270" max="270" width="6.54296875" style="1385" customWidth="1"/>
    <col min="271" max="271" width="7.54296875" style="1385" customWidth="1"/>
    <col min="272" max="272" width="10.08984375" style="1385" customWidth="1"/>
    <col min="273" max="273" width="9.453125" style="1385" customWidth="1"/>
    <col min="274" max="274" width="11" style="1385" customWidth="1"/>
    <col min="275" max="275" width="14" style="1385" customWidth="1"/>
    <col min="276" max="276" width="9.90625" style="1385" customWidth="1"/>
    <col min="277" max="280" width="8.90625" style="1385"/>
    <col min="281" max="281" width="15" style="1385" customWidth="1"/>
    <col min="282" max="282" width="6.453125" style="1385" customWidth="1"/>
    <col min="283" max="283" width="5.6328125" style="1385" customWidth="1"/>
    <col min="284" max="284" width="9.08984375" style="1385" customWidth="1"/>
    <col min="285" max="287" width="8.90625" style="1385"/>
    <col min="288" max="288" width="11.6328125" style="1385" customWidth="1"/>
    <col min="289" max="512" width="8.90625" style="1385"/>
    <col min="513" max="513" width="6.453125" style="1385" customWidth="1"/>
    <col min="514" max="514" width="43.36328125" style="1385" customWidth="1"/>
    <col min="515" max="515" width="11.08984375" style="1385" customWidth="1"/>
    <col min="516" max="516" width="13.08984375" style="1385" customWidth="1"/>
    <col min="517" max="517" width="13.90625" style="1385" customWidth="1"/>
    <col min="518" max="518" width="12.453125" style="1385" customWidth="1"/>
    <col min="519" max="519" width="13" style="1385" customWidth="1"/>
    <col min="520" max="520" width="11" style="1385" customWidth="1"/>
    <col min="521" max="521" width="9.90625" style="1385" customWidth="1"/>
    <col min="522" max="522" width="11.08984375" style="1385" customWidth="1"/>
    <col min="523" max="523" width="9.453125" style="1385" customWidth="1"/>
    <col min="524" max="524" width="9.54296875" style="1385" customWidth="1"/>
    <col min="525" max="525" width="10.81640625" style="1385" customWidth="1"/>
    <col min="526" max="526" width="6.54296875" style="1385" customWidth="1"/>
    <col min="527" max="527" width="7.54296875" style="1385" customWidth="1"/>
    <col min="528" max="528" width="10.08984375" style="1385" customWidth="1"/>
    <col min="529" max="529" width="9.453125" style="1385" customWidth="1"/>
    <col min="530" max="530" width="11" style="1385" customWidth="1"/>
    <col min="531" max="531" width="14" style="1385" customWidth="1"/>
    <col min="532" max="532" width="9.90625" style="1385" customWidth="1"/>
    <col min="533" max="536" width="8.90625" style="1385"/>
    <col min="537" max="537" width="15" style="1385" customWidth="1"/>
    <col min="538" max="538" width="6.453125" style="1385" customWidth="1"/>
    <col min="539" max="539" width="5.6328125" style="1385" customWidth="1"/>
    <col min="540" max="540" width="9.08984375" style="1385" customWidth="1"/>
    <col min="541" max="543" width="8.90625" style="1385"/>
    <col min="544" max="544" width="11.6328125" style="1385" customWidth="1"/>
    <col min="545" max="768" width="8.90625" style="1385"/>
    <col min="769" max="769" width="6.453125" style="1385" customWidth="1"/>
    <col min="770" max="770" width="43.36328125" style="1385" customWidth="1"/>
    <col min="771" max="771" width="11.08984375" style="1385" customWidth="1"/>
    <col min="772" max="772" width="13.08984375" style="1385" customWidth="1"/>
    <col min="773" max="773" width="13.90625" style="1385" customWidth="1"/>
    <col min="774" max="774" width="12.453125" style="1385" customWidth="1"/>
    <col min="775" max="775" width="13" style="1385" customWidth="1"/>
    <col min="776" max="776" width="11" style="1385" customWidth="1"/>
    <col min="777" max="777" width="9.90625" style="1385" customWidth="1"/>
    <col min="778" max="778" width="11.08984375" style="1385" customWidth="1"/>
    <col min="779" max="779" width="9.453125" style="1385" customWidth="1"/>
    <col min="780" max="780" width="9.54296875" style="1385" customWidth="1"/>
    <col min="781" max="781" width="10.81640625" style="1385" customWidth="1"/>
    <col min="782" max="782" width="6.54296875" style="1385" customWidth="1"/>
    <col min="783" max="783" width="7.54296875" style="1385" customWidth="1"/>
    <col min="784" max="784" width="10.08984375" style="1385" customWidth="1"/>
    <col min="785" max="785" width="9.453125" style="1385" customWidth="1"/>
    <col min="786" max="786" width="11" style="1385" customWidth="1"/>
    <col min="787" max="787" width="14" style="1385" customWidth="1"/>
    <col min="788" max="788" width="9.90625" style="1385" customWidth="1"/>
    <col min="789" max="792" width="8.90625" style="1385"/>
    <col min="793" max="793" width="15" style="1385" customWidth="1"/>
    <col min="794" max="794" width="6.453125" style="1385" customWidth="1"/>
    <col min="795" max="795" width="5.6328125" style="1385" customWidth="1"/>
    <col min="796" max="796" width="9.08984375" style="1385" customWidth="1"/>
    <col min="797" max="799" width="8.90625" style="1385"/>
    <col min="800" max="800" width="11.6328125" style="1385" customWidth="1"/>
    <col min="801" max="1024" width="8.90625" style="1385"/>
    <col min="1025" max="1025" width="6.453125" style="1385" customWidth="1"/>
    <col min="1026" max="1026" width="43.36328125" style="1385" customWidth="1"/>
    <col min="1027" max="1027" width="11.08984375" style="1385" customWidth="1"/>
    <col min="1028" max="1028" width="13.08984375" style="1385" customWidth="1"/>
    <col min="1029" max="1029" width="13.90625" style="1385" customWidth="1"/>
    <col min="1030" max="1030" width="12.453125" style="1385" customWidth="1"/>
    <col min="1031" max="1031" width="13" style="1385" customWidth="1"/>
    <col min="1032" max="1032" width="11" style="1385" customWidth="1"/>
    <col min="1033" max="1033" width="9.90625" style="1385" customWidth="1"/>
    <col min="1034" max="1034" width="11.08984375" style="1385" customWidth="1"/>
    <col min="1035" max="1035" width="9.453125" style="1385" customWidth="1"/>
    <col min="1036" max="1036" width="9.54296875" style="1385" customWidth="1"/>
    <col min="1037" max="1037" width="10.81640625" style="1385" customWidth="1"/>
    <col min="1038" max="1038" width="6.54296875" style="1385" customWidth="1"/>
    <col min="1039" max="1039" width="7.54296875" style="1385" customWidth="1"/>
    <col min="1040" max="1040" width="10.08984375" style="1385" customWidth="1"/>
    <col min="1041" max="1041" width="9.453125" style="1385" customWidth="1"/>
    <col min="1042" max="1042" width="11" style="1385" customWidth="1"/>
    <col min="1043" max="1043" width="14" style="1385" customWidth="1"/>
    <col min="1044" max="1044" width="9.90625" style="1385" customWidth="1"/>
    <col min="1045" max="1048" width="8.90625" style="1385"/>
    <col min="1049" max="1049" width="15" style="1385" customWidth="1"/>
    <col min="1050" max="1050" width="6.453125" style="1385" customWidth="1"/>
    <col min="1051" max="1051" width="5.6328125" style="1385" customWidth="1"/>
    <col min="1052" max="1052" width="9.08984375" style="1385" customWidth="1"/>
    <col min="1053" max="1055" width="8.90625" style="1385"/>
    <col min="1056" max="1056" width="11.6328125" style="1385" customWidth="1"/>
    <col min="1057" max="1280" width="8.90625" style="1385"/>
    <col min="1281" max="1281" width="6.453125" style="1385" customWidth="1"/>
    <col min="1282" max="1282" width="43.36328125" style="1385" customWidth="1"/>
    <col min="1283" max="1283" width="11.08984375" style="1385" customWidth="1"/>
    <col min="1284" max="1284" width="13.08984375" style="1385" customWidth="1"/>
    <col min="1285" max="1285" width="13.90625" style="1385" customWidth="1"/>
    <col min="1286" max="1286" width="12.453125" style="1385" customWidth="1"/>
    <col min="1287" max="1287" width="13" style="1385" customWidth="1"/>
    <col min="1288" max="1288" width="11" style="1385" customWidth="1"/>
    <col min="1289" max="1289" width="9.90625" style="1385" customWidth="1"/>
    <col min="1290" max="1290" width="11.08984375" style="1385" customWidth="1"/>
    <col min="1291" max="1291" width="9.453125" style="1385" customWidth="1"/>
    <col min="1292" max="1292" width="9.54296875" style="1385" customWidth="1"/>
    <col min="1293" max="1293" width="10.81640625" style="1385" customWidth="1"/>
    <col min="1294" max="1294" width="6.54296875" style="1385" customWidth="1"/>
    <col min="1295" max="1295" width="7.54296875" style="1385" customWidth="1"/>
    <col min="1296" max="1296" width="10.08984375" style="1385" customWidth="1"/>
    <col min="1297" max="1297" width="9.453125" style="1385" customWidth="1"/>
    <col min="1298" max="1298" width="11" style="1385" customWidth="1"/>
    <col min="1299" max="1299" width="14" style="1385" customWidth="1"/>
    <col min="1300" max="1300" width="9.90625" style="1385" customWidth="1"/>
    <col min="1301" max="1304" width="8.90625" style="1385"/>
    <col min="1305" max="1305" width="15" style="1385" customWidth="1"/>
    <col min="1306" max="1306" width="6.453125" style="1385" customWidth="1"/>
    <col min="1307" max="1307" width="5.6328125" style="1385" customWidth="1"/>
    <col min="1308" max="1308" width="9.08984375" style="1385" customWidth="1"/>
    <col min="1309" max="1311" width="8.90625" style="1385"/>
    <col min="1312" max="1312" width="11.6328125" style="1385" customWidth="1"/>
    <col min="1313" max="1536" width="8.90625" style="1385"/>
    <col min="1537" max="1537" width="6.453125" style="1385" customWidth="1"/>
    <col min="1538" max="1538" width="43.36328125" style="1385" customWidth="1"/>
    <col min="1539" max="1539" width="11.08984375" style="1385" customWidth="1"/>
    <col min="1540" max="1540" width="13.08984375" style="1385" customWidth="1"/>
    <col min="1541" max="1541" width="13.90625" style="1385" customWidth="1"/>
    <col min="1542" max="1542" width="12.453125" style="1385" customWidth="1"/>
    <col min="1543" max="1543" width="13" style="1385" customWidth="1"/>
    <col min="1544" max="1544" width="11" style="1385" customWidth="1"/>
    <col min="1545" max="1545" width="9.90625" style="1385" customWidth="1"/>
    <col min="1546" max="1546" width="11.08984375" style="1385" customWidth="1"/>
    <col min="1547" max="1547" width="9.453125" style="1385" customWidth="1"/>
    <col min="1548" max="1548" width="9.54296875" style="1385" customWidth="1"/>
    <col min="1549" max="1549" width="10.81640625" style="1385" customWidth="1"/>
    <col min="1550" max="1550" width="6.54296875" style="1385" customWidth="1"/>
    <col min="1551" max="1551" width="7.54296875" style="1385" customWidth="1"/>
    <col min="1552" max="1552" width="10.08984375" style="1385" customWidth="1"/>
    <col min="1553" max="1553" width="9.453125" style="1385" customWidth="1"/>
    <col min="1554" max="1554" width="11" style="1385" customWidth="1"/>
    <col min="1555" max="1555" width="14" style="1385" customWidth="1"/>
    <col min="1556" max="1556" width="9.90625" style="1385" customWidth="1"/>
    <col min="1557" max="1560" width="8.90625" style="1385"/>
    <col min="1561" max="1561" width="15" style="1385" customWidth="1"/>
    <col min="1562" max="1562" width="6.453125" style="1385" customWidth="1"/>
    <col min="1563" max="1563" width="5.6328125" style="1385" customWidth="1"/>
    <col min="1564" max="1564" width="9.08984375" style="1385" customWidth="1"/>
    <col min="1565" max="1567" width="8.90625" style="1385"/>
    <col min="1568" max="1568" width="11.6328125" style="1385" customWidth="1"/>
    <col min="1569" max="1792" width="8.90625" style="1385"/>
    <col min="1793" max="1793" width="6.453125" style="1385" customWidth="1"/>
    <col min="1794" max="1794" width="43.36328125" style="1385" customWidth="1"/>
    <col min="1795" max="1795" width="11.08984375" style="1385" customWidth="1"/>
    <col min="1796" max="1796" width="13.08984375" style="1385" customWidth="1"/>
    <col min="1797" max="1797" width="13.90625" style="1385" customWidth="1"/>
    <col min="1798" max="1798" width="12.453125" style="1385" customWidth="1"/>
    <col min="1799" max="1799" width="13" style="1385" customWidth="1"/>
    <col min="1800" max="1800" width="11" style="1385" customWidth="1"/>
    <col min="1801" max="1801" width="9.90625" style="1385" customWidth="1"/>
    <col min="1802" max="1802" width="11.08984375" style="1385" customWidth="1"/>
    <col min="1803" max="1803" width="9.453125" style="1385" customWidth="1"/>
    <col min="1804" max="1804" width="9.54296875" style="1385" customWidth="1"/>
    <col min="1805" max="1805" width="10.81640625" style="1385" customWidth="1"/>
    <col min="1806" max="1806" width="6.54296875" style="1385" customWidth="1"/>
    <col min="1807" max="1807" width="7.54296875" style="1385" customWidth="1"/>
    <col min="1808" max="1808" width="10.08984375" style="1385" customWidth="1"/>
    <col min="1809" max="1809" width="9.453125" style="1385" customWidth="1"/>
    <col min="1810" max="1810" width="11" style="1385" customWidth="1"/>
    <col min="1811" max="1811" width="14" style="1385" customWidth="1"/>
    <col min="1812" max="1812" width="9.90625" style="1385" customWidth="1"/>
    <col min="1813" max="1816" width="8.90625" style="1385"/>
    <col min="1817" max="1817" width="15" style="1385" customWidth="1"/>
    <col min="1818" max="1818" width="6.453125" style="1385" customWidth="1"/>
    <col min="1819" max="1819" width="5.6328125" style="1385" customWidth="1"/>
    <col min="1820" max="1820" width="9.08984375" style="1385" customWidth="1"/>
    <col min="1821" max="1823" width="8.90625" style="1385"/>
    <col min="1824" max="1824" width="11.6328125" style="1385" customWidth="1"/>
    <col min="1825" max="2048" width="8.90625" style="1385"/>
    <col min="2049" max="2049" width="6.453125" style="1385" customWidth="1"/>
    <col min="2050" max="2050" width="43.36328125" style="1385" customWidth="1"/>
    <col min="2051" max="2051" width="11.08984375" style="1385" customWidth="1"/>
    <col min="2052" max="2052" width="13.08984375" style="1385" customWidth="1"/>
    <col min="2053" max="2053" width="13.90625" style="1385" customWidth="1"/>
    <col min="2054" max="2054" width="12.453125" style="1385" customWidth="1"/>
    <col min="2055" max="2055" width="13" style="1385" customWidth="1"/>
    <col min="2056" max="2056" width="11" style="1385" customWidth="1"/>
    <col min="2057" max="2057" width="9.90625" style="1385" customWidth="1"/>
    <col min="2058" max="2058" width="11.08984375" style="1385" customWidth="1"/>
    <col min="2059" max="2059" width="9.453125" style="1385" customWidth="1"/>
    <col min="2060" max="2060" width="9.54296875" style="1385" customWidth="1"/>
    <col min="2061" max="2061" width="10.81640625" style="1385" customWidth="1"/>
    <col min="2062" max="2062" width="6.54296875" style="1385" customWidth="1"/>
    <col min="2063" max="2063" width="7.54296875" style="1385" customWidth="1"/>
    <col min="2064" max="2064" width="10.08984375" style="1385" customWidth="1"/>
    <col min="2065" max="2065" width="9.453125" style="1385" customWidth="1"/>
    <col min="2066" max="2066" width="11" style="1385" customWidth="1"/>
    <col min="2067" max="2067" width="14" style="1385" customWidth="1"/>
    <col min="2068" max="2068" width="9.90625" style="1385" customWidth="1"/>
    <col min="2069" max="2072" width="8.90625" style="1385"/>
    <col min="2073" max="2073" width="15" style="1385" customWidth="1"/>
    <col min="2074" max="2074" width="6.453125" style="1385" customWidth="1"/>
    <col min="2075" max="2075" width="5.6328125" style="1385" customWidth="1"/>
    <col min="2076" max="2076" width="9.08984375" style="1385" customWidth="1"/>
    <col min="2077" max="2079" width="8.90625" style="1385"/>
    <col min="2080" max="2080" width="11.6328125" style="1385" customWidth="1"/>
    <col min="2081" max="2304" width="8.90625" style="1385"/>
    <col min="2305" max="2305" width="6.453125" style="1385" customWidth="1"/>
    <col min="2306" max="2306" width="43.36328125" style="1385" customWidth="1"/>
    <col min="2307" max="2307" width="11.08984375" style="1385" customWidth="1"/>
    <col min="2308" max="2308" width="13.08984375" style="1385" customWidth="1"/>
    <col min="2309" max="2309" width="13.90625" style="1385" customWidth="1"/>
    <col min="2310" max="2310" width="12.453125" style="1385" customWidth="1"/>
    <col min="2311" max="2311" width="13" style="1385" customWidth="1"/>
    <col min="2312" max="2312" width="11" style="1385" customWidth="1"/>
    <col min="2313" max="2313" width="9.90625" style="1385" customWidth="1"/>
    <col min="2314" max="2314" width="11.08984375" style="1385" customWidth="1"/>
    <col min="2315" max="2315" width="9.453125" style="1385" customWidth="1"/>
    <col min="2316" max="2316" width="9.54296875" style="1385" customWidth="1"/>
    <col min="2317" max="2317" width="10.81640625" style="1385" customWidth="1"/>
    <col min="2318" max="2318" width="6.54296875" style="1385" customWidth="1"/>
    <col min="2319" max="2319" width="7.54296875" style="1385" customWidth="1"/>
    <col min="2320" max="2320" width="10.08984375" style="1385" customWidth="1"/>
    <col min="2321" max="2321" width="9.453125" style="1385" customWidth="1"/>
    <col min="2322" max="2322" width="11" style="1385" customWidth="1"/>
    <col min="2323" max="2323" width="14" style="1385" customWidth="1"/>
    <col min="2324" max="2324" width="9.90625" style="1385" customWidth="1"/>
    <col min="2325" max="2328" width="8.90625" style="1385"/>
    <col min="2329" max="2329" width="15" style="1385" customWidth="1"/>
    <col min="2330" max="2330" width="6.453125" style="1385" customWidth="1"/>
    <col min="2331" max="2331" width="5.6328125" style="1385" customWidth="1"/>
    <col min="2332" max="2332" width="9.08984375" style="1385" customWidth="1"/>
    <col min="2333" max="2335" width="8.90625" style="1385"/>
    <col min="2336" max="2336" width="11.6328125" style="1385" customWidth="1"/>
    <col min="2337" max="2560" width="8.90625" style="1385"/>
    <col min="2561" max="2561" width="6.453125" style="1385" customWidth="1"/>
    <col min="2562" max="2562" width="43.36328125" style="1385" customWidth="1"/>
    <col min="2563" max="2563" width="11.08984375" style="1385" customWidth="1"/>
    <col min="2564" max="2564" width="13.08984375" style="1385" customWidth="1"/>
    <col min="2565" max="2565" width="13.90625" style="1385" customWidth="1"/>
    <col min="2566" max="2566" width="12.453125" style="1385" customWidth="1"/>
    <col min="2567" max="2567" width="13" style="1385" customWidth="1"/>
    <col min="2568" max="2568" width="11" style="1385" customWidth="1"/>
    <col min="2569" max="2569" width="9.90625" style="1385" customWidth="1"/>
    <col min="2570" max="2570" width="11.08984375" style="1385" customWidth="1"/>
    <col min="2571" max="2571" width="9.453125" style="1385" customWidth="1"/>
    <col min="2572" max="2572" width="9.54296875" style="1385" customWidth="1"/>
    <col min="2573" max="2573" width="10.81640625" style="1385" customWidth="1"/>
    <col min="2574" max="2574" width="6.54296875" style="1385" customWidth="1"/>
    <col min="2575" max="2575" width="7.54296875" style="1385" customWidth="1"/>
    <col min="2576" max="2576" width="10.08984375" style="1385" customWidth="1"/>
    <col min="2577" max="2577" width="9.453125" style="1385" customWidth="1"/>
    <col min="2578" max="2578" width="11" style="1385" customWidth="1"/>
    <col min="2579" max="2579" width="14" style="1385" customWidth="1"/>
    <col min="2580" max="2580" width="9.90625" style="1385" customWidth="1"/>
    <col min="2581" max="2584" width="8.90625" style="1385"/>
    <col min="2585" max="2585" width="15" style="1385" customWidth="1"/>
    <col min="2586" max="2586" width="6.453125" style="1385" customWidth="1"/>
    <col min="2587" max="2587" width="5.6328125" style="1385" customWidth="1"/>
    <col min="2588" max="2588" width="9.08984375" style="1385" customWidth="1"/>
    <col min="2589" max="2591" width="8.90625" style="1385"/>
    <col min="2592" max="2592" width="11.6328125" style="1385" customWidth="1"/>
    <col min="2593" max="2816" width="8.90625" style="1385"/>
    <col min="2817" max="2817" width="6.453125" style="1385" customWidth="1"/>
    <col min="2818" max="2818" width="43.36328125" style="1385" customWidth="1"/>
    <col min="2819" max="2819" width="11.08984375" style="1385" customWidth="1"/>
    <col min="2820" max="2820" width="13.08984375" style="1385" customWidth="1"/>
    <col min="2821" max="2821" width="13.90625" style="1385" customWidth="1"/>
    <col min="2822" max="2822" width="12.453125" style="1385" customWidth="1"/>
    <col min="2823" max="2823" width="13" style="1385" customWidth="1"/>
    <col min="2824" max="2824" width="11" style="1385" customWidth="1"/>
    <col min="2825" max="2825" width="9.90625" style="1385" customWidth="1"/>
    <col min="2826" max="2826" width="11.08984375" style="1385" customWidth="1"/>
    <col min="2827" max="2827" width="9.453125" style="1385" customWidth="1"/>
    <col min="2828" max="2828" width="9.54296875" style="1385" customWidth="1"/>
    <col min="2829" max="2829" width="10.81640625" style="1385" customWidth="1"/>
    <col min="2830" max="2830" width="6.54296875" style="1385" customWidth="1"/>
    <col min="2831" max="2831" width="7.54296875" style="1385" customWidth="1"/>
    <col min="2832" max="2832" width="10.08984375" style="1385" customWidth="1"/>
    <col min="2833" max="2833" width="9.453125" style="1385" customWidth="1"/>
    <col min="2834" max="2834" width="11" style="1385" customWidth="1"/>
    <col min="2835" max="2835" width="14" style="1385" customWidth="1"/>
    <col min="2836" max="2836" width="9.90625" style="1385" customWidth="1"/>
    <col min="2837" max="2840" width="8.90625" style="1385"/>
    <col min="2841" max="2841" width="15" style="1385" customWidth="1"/>
    <col min="2842" max="2842" width="6.453125" style="1385" customWidth="1"/>
    <col min="2843" max="2843" width="5.6328125" style="1385" customWidth="1"/>
    <col min="2844" max="2844" width="9.08984375" style="1385" customWidth="1"/>
    <col min="2845" max="2847" width="8.90625" style="1385"/>
    <col min="2848" max="2848" width="11.6328125" style="1385" customWidth="1"/>
    <col min="2849" max="3072" width="8.90625" style="1385"/>
    <col min="3073" max="3073" width="6.453125" style="1385" customWidth="1"/>
    <col min="3074" max="3074" width="43.36328125" style="1385" customWidth="1"/>
    <col min="3075" max="3075" width="11.08984375" style="1385" customWidth="1"/>
    <col min="3076" max="3076" width="13.08984375" style="1385" customWidth="1"/>
    <col min="3077" max="3077" width="13.90625" style="1385" customWidth="1"/>
    <col min="3078" max="3078" width="12.453125" style="1385" customWidth="1"/>
    <col min="3079" max="3079" width="13" style="1385" customWidth="1"/>
    <col min="3080" max="3080" width="11" style="1385" customWidth="1"/>
    <col min="3081" max="3081" width="9.90625" style="1385" customWidth="1"/>
    <col min="3082" max="3082" width="11.08984375" style="1385" customWidth="1"/>
    <col min="3083" max="3083" width="9.453125" style="1385" customWidth="1"/>
    <col min="3084" max="3084" width="9.54296875" style="1385" customWidth="1"/>
    <col min="3085" max="3085" width="10.81640625" style="1385" customWidth="1"/>
    <col min="3086" max="3086" width="6.54296875" style="1385" customWidth="1"/>
    <col min="3087" max="3087" width="7.54296875" style="1385" customWidth="1"/>
    <col min="3088" max="3088" width="10.08984375" style="1385" customWidth="1"/>
    <col min="3089" max="3089" width="9.453125" style="1385" customWidth="1"/>
    <col min="3090" max="3090" width="11" style="1385" customWidth="1"/>
    <col min="3091" max="3091" width="14" style="1385" customWidth="1"/>
    <col min="3092" max="3092" width="9.90625" style="1385" customWidth="1"/>
    <col min="3093" max="3096" width="8.90625" style="1385"/>
    <col min="3097" max="3097" width="15" style="1385" customWidth="1"/>
    <col min="3098" max="3098" width="6.453125" style="1385" customWidth="1"/>
    <col min="3099" max="3099" width="5.6328125" style="1385" customWidth="1"/>
    <col min="3100" max="3100" width="9.08984375" style="1385" customWidth="1"/>
    <col min="3101" max="3103" width="8.90625" style="1385"/>
    <col min="3104" max="3104" width="11.6328125" style="1385" customWidth="1"/>
    <col min="3105" max="3328" width="8.90625" style="1385"/>
    <col min="3329" max="3329" width="6.453125" style="1385" customWidth="1"/>
    <col min="3330" max="3330" width="43.36328125" style="1385" customWidth="1"/>
    <col min="3331" max="3331" width="11.08984375" style="1385" customWidth="1"/>
    <col min="3332" max="3332" width="13.08984375" style="1385" customWidth="1"/>
    <col min="3333" max="3333" width="13.90625" style="1385" customWidth="1"/>
    <col min="3334" max="3334" width="12.453125" style="1385" customWidth="1"/>
    <col min="3335" max="3335" width="13" style="1385" customWidth="1"/>
    <col min="3336" max="3336" width="11" style="1385" customWidth="1"/>
    <col min="3337" max="3337" width="9.90625" style="1385" customWidth="1"/>
    <col min="3338" max="3338" width="11.08984375" style="1385" customWidth="1"/>
    <col min="3339" max="3339" width="9.453125" style="1385" customWidth="1"/>
    <col min="3340" max="3340" width="9.54296875" style="1385" customWidth="1"/>
    <col min="3341" max="3341" width="10.81640625" style="1385" customWidth="1"/>
    <col min="3342" max="3342" width="6.54296875" style="1385" customWidth="1"/>
    <col min="3343" max="3343" width="7.54296875" style="1385" customWidth="1"/>
    <col min="3344" max="3344" width="10.08984375" style="1385" customWidth="1"/>
    <col min="3345" max="3345" width="9.453125" style="1385" customWidth="1"/>
    <col min="3346" max="3346" width="11" style="1385" customWidth="1"/>
    <col min="3347" max="3347" width="14" style="1385" customWidth="1"/>
    <col min="3348" max="3348" width="9.90625" style="1385" customWidth="1"/>
    <col min="3349" max="3352" width="8.90625" style="1385"/>
    <col min="3353" max="3353" width="15" style="1385" customWidth="1"/>
    <col min="3354" max="3354" width="6.453125" style="1385" customWidth="1"/>
    <col min="3355" max="3355" width="5.6328125" style="1385" customWidth="1"/>
    <col min="3356" max="3356" width="9.08984375" style="1385" customWidth="1"/>
    <col min="3357" max="3359" width="8.90625" style="1385"/>
    <col min="3360" max="3360" width="11.6328125" style="1385" customWidth="1"/>
    <col min="3361" max="3584" width="8.90625" style="1385"/>
    <col min="3585" max="3585" width="6.453125" style="1385" customWidth="1"/>
    <col min="3586" max="3586" width="43.36328125" style="1385" customWidth="1"/>
    <col min="3587" max="3587" width="11.08984375" style="1385" customWidth="1"/>
    <col min="3588" max="3588" width="13.08984375" style="1385" customWidth="1"/>
    <col min="3589" max="3589" width="13.90625" style="1385" customWidth="1"/>
    <col min="3590" max="3590" width="12.453125" style="1385" customWidth="1"/>
    <col min="3591" max="3591" width="13" style="1385" customWidth="1"/>
    <col min="3592" max="3592" width="11" style="1385" customWidth="1"/>
    <col min="3593" max="3593" width="9.90625" style="1385" customWidth="1"/>
    <col min="3594" max="3594" width="11.08984375" style="1385" customWidth="1"/>
    <col min="3595" max="3595" width="9.453125" style="1385" customWidth="1"/>
    <col min="3596" max="3596" width="9.54296875" style="1385" customWidth="1"/>
    <col min="3597" max="3597" width="10.81640625" style="1385" customWidth="1"/>
    <col min="3598" max="3598" width="6.54296875" style="1385" customWidth="1"/>
    <col min="3599" max="3599" width="7.54296875" style="1385" customWidth="1"/>
    <col min="3600" max="3600" width="10.08984375" style="1385" customWidth="1"/>
    <col min="3601" max="3601" width="9.453125" style="1385" customWidth="1"/>
    <col min="3602" max="3602" width="11" style="1385" customWidth="1"/>
    <col min="3603" max="3603" width="14" style="1385" customWidth="1"/>
    <col min="3604" max="3604" width="9.90625" style="1385" customWidth="1"/>
    <col min="3605" max="3608" width="8.90625" style="1385"/>
    <col min="3609" max="3609" width="15" style="1385" customWidth="1"/>
    <col min="3610" max="3610" width="6.453125" style="1385" customWidth="1"/>
    <col min="3611" max="3611" width="5.6328125" style="1385" customWidth="1"/>
    <col min="3612" max="3612" width="9.08984375" style="1385" customWidth="1"/>
    <col min="3613" max="3615" width="8.90625" style="1385"/>
    <col min="3616" max="3616" width="11.6328125" style="1385" customWidth="1"/>
    <col min="3617" max="3840" width="8.90625" style="1385"/>
    <col min="3841" max="3841" width="6.453125" style="1385" customWidth="1"/>
    <col min="3842" max="3842" width="43.36328125" style="1385" customWidth="1"/>
    <col min="3843" max="3843" width="11.08984375" style="1385" customWidth="1"/>
    <col min="3844" max="3844" width="13.08984375" style="1385" customWidth="1"/>
    <col min="3845" max="3845" width="13.90625" style="1385" customWidth="1"/>
    <col min="3846" max="3846" width="12.453125" style="1385" customWidth="1"/>
    <col min="3847" max="3847" width="13" style="1385" customWidth="1"/>
    <col min="3848" max="3848" width="11" style="1385" customWidth="1"/>
    <col min="3849" max="3849" width="9.90625" style="1385" customWidth="1"/>
    <col min="3850" max="3850" width="11.08984375" style="1385" customWidth="1"/>
    <col min="3851" max="3851" width="9.453125" style="1385" customWidth="1"/>
    <col min="3852" max="3852" width="9.54296875" style="1385" customWidth="1"/>
    <col min="3853" max="3853" width="10.81640625" style="1385" customWidth="1"/>
    <col min="3854" max="3854" width="6.54296875" style="1385" customWidth="1"/>
    <col min="3855" max="3855" width="7.54296875" style="1385" customWidth="1"/>
    <col min="3856" max="3856" width="10.08984375" style="1385" customWidth="1"/>
    <col min="3857" max="3857" width="9.453125" style="1385" customWidth="1"/>
    <col min="3858" max="3858" width="11" style="1385" customWidth="1"/>
    <col min="3859" max="3859" width="14" style="1385" customWidth="1"/>
    <col min="3860" max="3860" width="9.90625" style="1385" customWidth="1"/>
    <col min="3861" max="3864" width="8.90625" style="1385"/>
    <col min="3865" max="3865" width="15" style="1385" customWidth="1"/>
    <col min="3866" max="3866" width="6.453125" style="1385" customWidth="1"/>
    <col min="3867" max="3867" width="5.6328125" style="1385" customWidth="1"/>
    <col min="3868" max="3868" width="9.08984375" style="1385" customWidth="1"/>
    <col min="3869" max="3871" width="8.90625" style="1385"/>
    <col min="3872" max="3872" width="11.6328125" style="1385" customWidth="1"/>
    <col min="3873" max="4096" width="8.90625" style="1385"/>
    <col min="4097" max="4097" width="6.453125" style="1385" customWidth="1"/>
    <col min="4098" max="4098" width="43.36328125" style="1385" customWidth="1"/>
    <col min="4099" max="4099" width="11.08984375" style="1385" customWidth="1"/>
    <col min="4100" max="4100" width="13.08984375" style="1385" customWidth="1"/>
    <col min="4101" max="4101" width="13.90625" style="1385" customWidth="1"/>
    <col min="4102" max="4102" width="12.453125" style="1385" customWidth="1"/>
    <col min="4103" max="4103" width="13" style="1385" customWidth="1"/>
    <col min="4104" max="4104" width="11" style="1385" customWidth="1"/>
    <col min="4105" max="4105" width="9.90625" style="1385" customWidth="1"/>
    <col min="4106" max="4106" width="11.08984375" style="1385" customWidth="1"/>
    <col min="4107" max="4107" width="9.453125" style="1385" customWidth="1"/>
    <col min="4108" max="4108" width="9.54296875" style="1385" customWidth="1"/>
    <col min="4109" max="4109" width="10.81640625" style="1385" customWidth="1"/>
    <col min="4110" max="4110" width="6.54296875" style="1385" customWidth="1"/>
    <col min="4111" max="4111" width="7.54296875" style="1385" customWidth="1"/>
    <col min="4112" max="4112" width="10.08984375" style="1385" customWidth="1"/>
    <col min="4113" max="4113" width="9.453125" style="1385" customWidth="1"/>
    <col min="4114" max="4114" width="11" style="1385" customWidth="1"/>
    <col min="4115" max="4115" width="14" style="1385" customWidth="1"/>
    <col min="4116" max="4116" width="9.90625" style="1385" customWidth="1"/>
    <col min="4117" max="4120" width="8.90625" style="1385"/>
    <col min="4121" max="4121" width="15" style="1385" customWidth="1"/>
    <col min="4122" max="4122" width="6.453125" style="1385" customWidth="1"/>
    <col min="4123" max="4123" width="5.6328125" style="1385" customWidth="1"/>
    <col min="4124" max="4124" width="9.08984375" style="1385" customWidth="1"/>
    <col min="4125" max="4127" width="8.90625" style="1385"/>
    <col min="4128" max="4128" width="11.6328125" style="1385" customWidth="1"/>
    <col min="4129" max="4352" width="8.90625" style="1385"/>
    <col min="4353" max="4353" width="6.453125" style="1385" customWidth="1"/>
    <col min="4354" max="4354" width="43.36328125" style="1385" customWidth="1"/>
    <col min="4355" max="4355" width="11.08984375" style="1385" customWidth="1"/>
    <col min="4356" max="4356" width="13.08984375" style="1385" customWidth="1"/>
    <col min="4357" max="4357" width="13.90625" style="1385" customWidth="1"/>
    <col min="4358" max="4358" width="12.453125" style="1385" customWidth="1"/>
    <col min="4359" max="4359" width="13" style="1385" customWidth="1"/>
    <col min="4360" max="4360" width="11" style="1385" customWidth="1"/>
    <col min="4361" max="4361" width="9.90625" style="1385" customWidth="1"/>
    <col min="4362" max="4362" width="11.08984375" style="1385" customWidth="1"/>
    <col min="4363" max="4363" width="9.453125" style="1385" customWidth="1"/>
    <col min="4364" max="4364" width="9.54296875" style="1385" customWidth="1"/>
    <col min="4365" max="4365" width="10.81640625" style="1385" customWidth="1"/>
    <col min="4366" max="4366" width="6.54296875" style="1385" customWidth="1"/>
    <col min="4367" max="4367" width="7.54296875" style="1385" customWidth="1"/>
    <col min="4368" max="4368" width="10.08984375" style="1385" customWidth="1"/>
    <col min="4369" max="4369" width="9.453125" style="1385" customWidth="1"/>
    <col min="4370" max="4370" width="11" style="1385" customWidth="1"/>
    <col min="4371" max="4371" width="14" style="1385" customWidth="1"/>
    <col min="4372" max="4372" width="9.90625" style="1385" customWidth="1"/>
    <col min="4373" max="4376" width="8.90625" style="1385"/>
    <col min="4377" max="4377" width="15" style="1385" customWidth="1"/>
    <col min="4378" max="4378" width="6.453125" style="1385" customWidth="1"/>
    <col min="4379" max="4379" width="5.6328125" style="1385" customWidth="1"/>
    <col min="4380" max="4380" width="9.08984375" style="1385" customWidth="1"/>
    <col min="4381" max="4383" width="8.90625" style="1385"/>
    <col min="4384" max="4384" width="11.6328125" style="1385" customWidth="1"/>
    <col min="4385" max="4608" width="8.90625" style="1385"/>
    <col min="4609" max="4609" width="6.453125" style="1385" customWidth="1"/>
    <col min="4610" max="4610" width="43.36328125" style="1385" customWidth="1"/>
    <col min="4611" max="4611" width="11.08984375" style="1385" customWidth="1"/>
    <col min="4612" max="4612" width="13.08984375" style="1385" customWidth="1"/>
    <col min="4613" max="4613" width="13.90625" style="1385" customWidth="1"/>
    <col min="4614" max="4614" width="12.453125" style="1385" customWidth="1"/>
    <col min="4615" max="4615" width="13" style="1385" customWidth="1"/>
    <col min="4616" max="4616" width="11" style="1385" customWidth="1"/>
    <col min="4617" max="4617" width="9.90625" style="1385" customWidth="1"/>
    <col min="4618" max="4618" width="11.08984375" style="1385" customWidth="1"/>
    <col min="4619" max="4619" width="9.453125" style="1385" customWidth="1"/>
    <col min="4620" max="4620" width="9.54296875" style="1385" customWidth="1"/>
    <col min="4621" max="4621" width="10.81640625" style="1385" customWidth="1"/>
    <col min="4622" max="4622" width="6.54296875" style="1385" customWidth="1"/>
    <col min="4623" max="4623" width="7.54296875" style="1385" customWidth="1"/>
    <col min="4624" max="4624" width="10.08984375" style="1385" customWidth="1"/>
    <col min="4625" max="4625" width="9.453125" style="1385" customWidth="1"/>
    <col min="4626" max="4626" width="11" style="1385" customWidth="1"/>
    <col min="4627" max="4627" width="14" style="1385" customWidth="1"/>
    <col min="4628" max="4628" width="9.90625" style="1385" customWidth="1"/>
    <col min="4629" max="4632" width="8.90625" style="1385"/>
    <col min="4633" max="4633" width="15" style="1385" customWidth="1"/>
    <col min="4634" max="4634" width="6.453125" style="1385" customWidth="1"/>
    <col min="4635" max="4635" width="5.6328125" style="1385" customWidth="1"/>
    <col min="4636" max="4636" width="9.08984375" style="1385" customWidth="1"/>
    <col min="4637" max="4639" width="8.90625" style="1385"/>
    <col min="4640" max="4640" width="11.6328125" style="1385" customWidth="1"/>
    <col min="4641" max="4864" width="8.90625" style="1385"/>
    <col min="4865" max="4865" width="6.453125" style="1385" customWidth="1"/>
    <col min="4866" max="4866" width="43.36328125" style="1385" customWidth="1"/>
    <col min="4867" max="4867" width="11.08984375" style="1385" customWidth="1"/>
    <col min="4868" max="4868" width="13.08984375" style="1385" customWidth="1"/>
    <col min="4869" max="4869" width="13.90625" style="1385" customWidth="1"/>
    <col min="4870" max="4870" width="12.453125" style="1385" customWidth="1"/>
    <col min="4871" max="4871" width="13" style="1385" customWidth="1"/>
    <col min="4872" max="4872" width="11" style="1385" customWidth="1"/>
    <col min="4873" max="4873" width="9.90625" style="1385" customWidth="1"/>
    <col min="4874" max="4874" width="11.08984375" style="1385" customWidth="1"/>
    <col min="4875" max="4875" width="9.453125" style="1385" customWidth="1"/>
    <col min="4876" max="4876" width="9.54296875" style="1385" customWidth="1"/>
    <col min="4877" max="4877" width="10.81640625" style="1385" customWidth="1"/>
    <col min="4878" max="4878" width="6.54296875" style="1385" customWidth="1"/>
    <col min="4879" max="4879" width="7.54296875" style="1385" customWidth="1"/>
    <col min="4880" max="4880" width="10.08984375" style="1385" customWidth="1"/>
    <col min="4881" max="4881" width="9.453125" style="1385" customWidth="1"/>
    <col min="4882" max="4882" width="11" style="1385" customWidth="1"/>
    <col min="4883" max="4883" width="14" style="1385" customWidth="1"/>
    <col min="4884" max="4884" width="9.90625" style="1385" customWidth="1"/>
    <col min="4885" max="4888" width="8.90625" style="1385"/>
    <col min="4889" max="4889" width="15" style="1385" customWidth="1"/>
    <col min="4890" max="4890" width="6.453125" style="1385" customWidth="1"/>
    <col min="4891" max="4891" width="5.6328125" style="1385" customWidth="1"/>
    <col min="4892" max="4892" width="9.08984375" style="1385" customWidth="1"/>
    <col min="4893" max="4895" width="8.90625" style="1385"/>
    <col min="4896" max="4896" width="11.6328125" style="1385" customWidth="1"/>
    <col min="4897" max="5120" width="8.90625" style="1385"/>
    <col min="5121" max="5121" width="6.453125" style="1385" customWidth="1"/>
    <col min="5122" max="5122" width="43.36328125" style="1385" customWidth="1"/>
    <col min="5123" max="5123" width="11.08984375" style="1385" customWidth="1"/>
    <col min="5124" max="5124" width="13.08984375" style="1385" customWidth="1"/>
    <col min="5125" max="5125" width="13.90625" style="1385" customWidth="1"/>
    <col min="5126" max="5126" width="12.453125" style="1385" customWidth="1"/>
    <col min="5127" max="5127" width="13" style="1385" customWidth="1"/>
    <col min="5128" max="5128" width="11" style="1385" customWidth="1"/>
    <col min="5129" max="5129" width="9.90625" style="1385" customWidth="1"/>
    <col min="5130" max="5130" width="11.08984375" style="1385" customWidth="1"/>
    <col min="5131" max="5131" width="9.453125" style="1385" customWidth="1"/>
    <col min="5132" max="5132" width="9.54296875" style="1385" customWidth="1"/>
    <col min="5133" max="5133" width="10.81640625" style="1385" customWidth="1"/>
    <col min="5134" max="5134" width="6.54296875" style="1385" customWidth="1"/>
    <col min="5135" max="5135" width="7.54296875" style="1385" customWidth="1"/>
    <col min="5136" max="5136" width="10.08984375" style="1385" customWidth="1"/>
    <col min="5137" max="5137" width="9.453125" style="1385" customWidth="1"/>
    <col min="5138" max="5138" width="11" style="1385" customWidth="1"/>
    <col min="5139" max="5139" width="14" style="1385" customWidth="1"/>
    <col min="5140" max="5140" width="9.90625" style="1385" customWidth="1"/>
    <col min="5141" max="5144" width="8.90625" style="1385"/>
    <col min="5145" max="5145" width="15" style="1385" customWidth="1"/>
    <col min="5146" max="5146" width="6.453125" style="1385" customWidth="1"/>
    <col min="5147" max="5147" width="5.6328125" style="1385" customWidth="1"/>
    <col min="5148" max="5148" width="9.08984375" style="1385" customWidth="1"/>
    <col min="5149" max="5151" width="8.90625" style="1385"/>
    <col min="5152" max="5152" width="11.6328125" style="1385" customWidth="1"/>
    <col min="5153" max="5376" width="8.90625" style="1385"/>
    <col min="5377" max="5377" width="6.453125" style="1385" customWidth="1"/>
    <col min="5378" max="5378" width="43.36328125" style="1385" customWidth="1"/>
    <col min="5379" max="5379" width="11.08984375" style="1385" customWidth="1"/>
    <col min="5380" max="5380" width="13.08984375" style="1385" customWidth="1"/>
    <col min="5381" max="5381" width="13.90625" style="1385" customWidth="1"/>
    <col min="5382" max="5382" width="12.453125" style="1385" customWidth="1"/>
    <col min="5383" max="5383" width="13" style="1385" customWidth="1"/>
    <col min="5384" max="5384" width="11" style="1385" customWidth="1"/>
    <col min="5385" max="5385" width="9.90625" style="1385" customWidth="1"/>
    <col min="5386" max="5386" width="11.08984375" style="1385" customWidth="1"/>
    <col min="5387" max="5387" width="9.453125" style="1385" customWidth="1"/>
    <col min="5388" max="5388" width="9.54296875" style="1385" customWidth="1"/>
    <col min="5389" max="5389" width="10.81640625" style="1385" customWidth="1"/>
    <col min="5390" max="5390" width="6.54296875" style="1385" customWidth="1"/>
    <col min="5391" max="5391" width="7.54296875" style="1385" customWidth="1"/>
    <col min="5392" max="5392" width="10.08984375" style="1385" customWidth="1"/>
    <col min="5393" max="5393" width="9.453125" style="1385" customWidth="1"/>
    <col min="5394" max="5394" width="11" style="1385" customWidth="1"/>
    <col min="5395" max="5395" width="14" style="1385" customWidth="1"/>
    <col min="5396" max="5396" width="9.90625" style="1385" customWidth="1"/>
    <col min="5397" max="5400" width="8.90625" style="1385"/>
    <col min="5401" max="5401" width="15" style="1385" customWidth="1"/>
    <col min="5402" max="5402" width="6.453125" style="1385" customWidth="1"/>
    <col min="5403" max="5403" width="5.6328125" style="1385" customWidth="1"/>
    <col min="5404" max="5404" width="9.08984375" style="1385" customWidth="1"/>
    <col min="5405" max="5407" width="8.90625" style="1385"/>
    <col min="5408" max="5408" width="11.6328125" style="1385" customWidth="1"/>
    <col min="5409" max="5632" width="8.90625" style="1385"/>
    <col min="5633" max="5633" width="6.453125" style="1385" customWidth="1"/>
    <col min="5634" max="5634" width="43.36328125" style="1385" customWidth="1"/>
    <col min="5635" max="5635" width="11.08984375" style="1385" customWidth="1"/>
    <col min="5636" max="5636" width="13.08984375" style="1385" customWidth="1"/>
    <col min="5637" max="5637" width="13.90625" style="1385" customWidth="1"/>
    <col min="5638" max="5638" width="12.453125" style="1385" customWidth="1"/>
    <col min="5639" max="5639" width="13" style="1385" customWidth="1"/>
    <col min="5640" max="5640" width="11" style="1385" customWidth="1"/>
    <col min="5641" max="5641" width="9.90625" style="1385" customWidth="1"/>
    <col min="5642" max="5642" width="11.08984375" style="1385" customWidth="1"/>
    <col min="5643" max="5643" width="9.453125" style="1385" customWidth="1"/>
    <col min="5644" max="5644" width="9.54296875" style="1385" customWidth="1"/>
    <col min="5645" max="5645" width="10.81640625" style="1385" customWidth="1"/>
    <col min="5646" max="5646" width="6.54296875" style="1385" customWidth="1"/>
    <col min="5647" max="5647" width="7.54296875" style="1385" customWidth="1"/>
    <col min="5648" max="5648" width="10.08984375" style="1385" customWidth="1"/>
    <col min="5649" max="5649" width="9.453125" style="1385" customWidth="1"/>
    <col min="5650" max="5650" width="11" style="1385" customWidth="1"/>
    <col min="5651" max="5651" width="14" style="1385" customWidth="1"/>
    <col min="5652" max="5652" width="9.90625" style="1385" customWidth="1"/>
    <col min="5653" max="5656" width="8.90625" style="1385"/>
    <col min="5657" max="5657" width="15" style="1385" customWidth="1"/>
    <col min="5658" max="5658" width="6.453125" style="1385" customWidth="1"/>
    <col min="5659" max="5659" width="5.6328125" style="1385" customWidth="1"/>
    <col min="5660" max="5660" width="9.08984375" style="1385" customWidth="1"/>
    <col min="5661" max="5663" width="8.90625" style="1385"/>
    <col min="5664" max="5664" width="11.6328125" style="1385" customWidth="1"/>
    <col min="5665" max="5888" width="8.90625" style="1385"/>
    <col min="5889" max="5889" width="6.453125" style="1385" customWidth="1"/>
    <col min="5890" max="5890" width="43.36328125" style="1385" customWidth="1"/>
    <col min="5891" max="5891" width="11.08984375" style="1385" customWidth="1"/>
    <col min="5892" max="5892" width="13.08984375" style="1385" customWidth="1"/>
    <col min="5893" max="5893" width="13.90625" style="1385" customWidth="1"/>
    <col min="5894" max="5894" width="12.453125" style="1385" customWidth="1"/>
    <col min="5895" max="5895" width="13" style="1385" customWidth="1"/>
    <col min="5896" max="5896" width="11" style="1385" customWidth="1"/>
    <col min="5897" max="5897" width="9.90625" style="1385" customWidth="1"/>
    <col min="5898" max="5898" width="11.08984375" style="1385" customWidth="1"/>
    <col min="5899" max="5899" width="9.453125" style="1385" customWidth="1"/>
    <col min="5900" max="5900" width="9.54296875" style="1385" customWidth="1"/>
    <col min="5901" max="5901" width="10.81640625" style="1385" customWidth="1"/>
    <col min="5902" max="5902" width="6.54296875" style="1385" customWidth="1"/>
    <col min="5903" max="5903" width="7.54296875" style="1385" customWidth="1"/>
    <col min="5904" max="5904" width="10.08984375" style="1385" customWidth="1"/>
    <col min="5905" max="5905" width="9.453125" style="1385" customWidth="1"/>
    <col min="5906" max="5906" width="11" style="1385" customWidth="1"/>
    <col min="5907" max="5907" width="14" style="1385" customWidth="1"/>
    <col min="5908" max="5908" width="9.90625" style="1385" customWidth="1"/>
    <col min="5909" max="5912" width="8.90625" style="1385"/>
    <col min="5913" max="5913" width="15" style="1385" customWidth="1"/>
    <col min="5914" max="5914" width="6.453125" style="1385" customWidth="1"/>
    <col min="5915" max="5915" width="5.6328125" style="1385" customWidth="1"/>
    <col min="5916" max="5916" width="9.08984375" style="1385" customWidth="1"/>
    <col min="5917" max="5919" width="8.90625" style="1385"/>
    <col min="5920" max="5920" width="11.6328125" style="1385" customWidth="1"/>
    <col min="5921" max="6144" width="8.90625" style="1385"/>
    <col min="6145" max="6145" width="6.453125" style="1385" customWidth="1"/>
    <col min="6146" max="6146" width="43.36328125" style="1385" customWidth="1"/>
    <col min="6147" max="6147" width="11.08984375" style="1385" customWidth="1"/>
    <col min="6148" max="6148" width="13.08984375" style="1385" customWidth="1"/>
    <col min="6149" max="6149" width="13.90625" style="1385" customWidth="1"/>
    <col min="6150" max="6150" width="12.453125" style="1385" customWidth="1"/>
    <col min="6151" max="6151" width="13" style="1385" customWidth="1"/>
    <col min="6152" max="6152" width="11" style="1385" customWidth="1"/>
    <col min="6153" max="6153" width="9.90625" style="1385" customWidth="1"/>
    <col min="6154" max="6154" width="11.08984375" style="1385" customWidth="1"/>
    <col min="6155" max="6155" width="9.453125" style="1385" customWidth="1"/>
    <col min="6156" max="6156" width="9.54296875" style="1385" customWidth="1"/>
    <col min="6157" max="6157" width="10.81640625" style="1385" customWidth="1"/>
    <col min="6158" max="6158" width="6.54296875" style="1385" customWidth="1"/>
    <col min="6159" max="6159" width="7.54296875" style="1385" customWidth="1"/>
    <col min="6160" max="6160" width="10.08984375" style="1385" customWidth="1"/>
    <col min="6161" max="6161" width="9.453125" style="1385" customWidth="1"/>
    <col min="6162" max="6162" width="11" style="1385" customWidth="1"/>
    <col min="6163" max="6163" width="14" style="1385" customWidth="1"/>
    <col min="6164" max="6164" width="9.90625" style="1385" customWidth="1"/>
    <col min="6165" max="6168" width="8.90625" style="1385"/>
    <col min="6169" max="6169" width="15" style="1385" customWidth="1"/>
    <col min="6170" max="6170" width="6.453125" style="1385" customWidth="1"/>
    <col min="6171" max="6171" width="5.6328125" style="1385" customWidth="1"/>
    <col min="6172" max="6172" width="9.08984375" style="1385" customWidth="1"/>
    <col min="6173" max="6175" width="8.90625" style="1385"/>
    <col min="6176" max="6176" width="11.6328125" style="1385" customWidth="1"/>
    <col min="6177" max="6400" width="8.90625" style="1385"/>
    <col min="6401" max="6401" width="6.453125" style="1385" customWidth="1"/>
    <col min="6402" max="6402" width="43.36328125" style="1385" customWidth="1"/>
    <col min="6403" max="6403" width="11.08984375" style="1385" customWidth="1"/>
    <col min="6404" max="6404" width="13.08984375" style="1385" customWidth="1"/>
    <col min="6405" max="6405" width="13.90625" style="1385" customWidth="1"/>
    <col min="6406" max="6406" width="12.453125" style="1385" customWidth="1"/>
    <col min="6407" max="6407" width="13" style="1385" customWidth="1"/>
    <col min="6408" max="6408" width="11" style="1385" customWidth="1"/>
    <col min="6409" max="6409" width="9.90625" style="1385" customWidth="1"/>
    <col min="6410" max="6410" width="11.08984375" style="1385" customWidth="1"/>
    <col min="6411" max="6411" width="9.453125" style="1385" customWidth="1"/>
    <col min="6412" max="6412" width="9.54296875" style="1385" customWidth="1"/>
    <col min="6413" max="6413" width="10.81640625" style="1385" customWidth="1"/>
    <col min="6414" max="6414" width="6.54296875" style="1385" customWidth="1"/>
    <col min="6415" max="6415" width="7.54296875" style="1385" customWidth="1"/>
    <col min="6416" max="6416" width="10.08984375" style="1385" customWidth="1"/>
    <col min="6417" max="6417" width="9.453125" style="1385" customWidth="1"/>
    <col min="6418" max="6418" width="11" style="1385" customWidth="1"/>
    <col min="6419" max="6419" width="14" style="1385" customWidth="1"/>
    <col min="6420" max="6420" width="9.90625" style="1385" customWidth="1"/>
    <col min="6421" max="6424" width="8.90625" style="1385"/>
    <col min="6425" max="6425" width="15" style="1385" customWidth="1"/>
    <col min="6426" max="6426" width="6.453125" style="1385" customWidth="1"/>
    <col min="6427" max="6427" width="5.6328125" style="1385" customWidth="1"/>
    <col min="6428" max="6428" width="9.08984375" style="1385" customWidth="1"/>
    <col min="6429" max="6431" width="8.90625" style="1385"/>
    <col min="6432" max="6432" width="11.6328125" style="1385" customWidth="1"/>
    <col min="6433" max="6656" width="8.90625" style="1385"/>
    <col min="6657" max="6657" width="6.453125" style="1385" customWidth="1"/>
    <col min="6658" max="6658" width="43.36328125" style="1385" customWidth="1"/>
    <col min="6659" max="6659" width="11.08984375" style="1385" customWidth="1"/>
    <col min="6660" max="6660" width="13.08984375" style="1385" customWidth="1"/>
    <col min="6661" max="6661" width="13.90625" style="1385" customWidth="1"/>
    <col min="6662" max="6662" width="12.453125" style="1385" customWidth="1"/>
    <col min="6663" max="6663" width="13" style="1385" customWidth="1"/>
    <col min="6664" max="6664" width="11" style="1385" customWidth="1"/>
    <col min="6665" max="6665" width="9.90625" style="1385" customWidth="1"/>
    <col min="6666" max="6666" width="11.08984375" style="1385" customWidth="1"/>
    <col min="6667" max="6667" width="9.453125" style="1385" customWidth="1"/>
    <col min="6668" max="6668" width="9.54296875" style="1385" customWidth="1"/>
    <col min="6669" max="6669" width="10.81640625" style="1385" customWidth="1"/>
    <col min="6670" max="6670" width="6.54296875" style="1385" customWidth="1"/>
    <col min="6671" max="6671" width="7.54296875" style="1385" customWidth="1"/>
    <col min="6672" max="6672" width="10.08984375" style="1385" customWidth="1"/>
    <col min="6673" max="6673" width="9.453125" style="1385" customWidth="1"/>
    <col min="6674" max="6674" width="11" style="1385" customWidth="1"/>
    <col min="6675" max="6675" width="14" style="1385" customWidth="1"/>
    <col min="6676" max="6676" width="9.90625" style="1385" customWidth="1"/>
    <col min="6677" max="6680" width="8.90625" style="1385"/>
    <col min="6681" max="6681" width="15" style="1385" customWidth="1"/>
    <col min="6682" max="6682" width="6.453125" style="1385" customWidth="1"/>
    <col min="6683" max="6683" width="5.6328125" style="1385" customWidth="1"/>
    <col min="6684" max="6684" width="9.08984375" style="1385" customWidth="1"/>
    <col min="6685" max="6687" width="8.90625" style="1385"/>
    <col min="6688" max="6688" width="11.6328125" style="1385" customWidth="1"/>
    <col min="6689" max="6912" width="8.90625" style="1385"/>
    <col min="6913" max="6913" width="6.453125" style="1385" customWidth="1"/>
    <col min="6914" max="6914" width="43.36328125" style="1385" customWidth="1"/>
    <col min="6915" max="6915" width="11.08984375" style="1385" customWidth="1"/>
    <col min="6916" max="6916" width="13.08984375" style="1385" customWidth="1"/>
    <col min="6917" max="6917" width="13.90625" style="1385" customWidth="1"/>
    <col min="6918" max="6918" width="12.453125" style="1385" customWidth="1"/>
    <col min="6919" max="6919" width="13" style="1385" customWidth="1"/>
    <col min="6920" max="6920" width="11" style="1385" customWidth="1"/>
    <col min="6921" max="6921" width="9.90625" style="1385" customWidth="1"/>
    <col min="6922" max="6922" width="11.08984375" style="1385" customWidth="1"/>
    <col min="6923" max="6923" width="9.453125" style="1385" customWidth="1"/>
    <col min="6924" max="6924" width="9.54296875" style="1385" customWidth="1"/>
    <col min="6925" max="6925" width="10.81640625" style="1385" customWidth="1"/>
    <col min="6926" max="6926" width="6.54296875" style="1385" customWidth="1"/>
    <col min="6927" max="6927" width="7.54296875" style="1385" customWidth="1"/>
    <col min="6928" max="6928" width="10.08984375" style="1385" customWidth="1"/>
    <col min="6929" max="6929" width="9.453125" style="1385" customWidth="1"/>
    <col min="6930" max="6930" width="11" style="1385" customWidth="1"/>
    <col min="6931" max="6931" width="14" style="1385" customWidth="1"/>
    <col min="6932" max="6932" width="9.90625" style="1385" customWidth="1"/>
    <col min="6933" max="6936" width="8.90625" style="1385"/>
    <col min="6937" max="6937" width="15" style="1385" customWidth="1"/>
    <col min="6938" max="6938" width="6.453125" style="1385" customWidth="1"/>
    <col min="6939" max="6939" width="5.6328125" style="1385" customWidth="1"/>
    <col min="6940" max="6940" width="9.08984375" style="1385" customWidth="1"/>
    <col min="6941" max="6943" width="8.90625" style="1385"/>
    <col min="6944" max="6944" width="11.6328125" style="1385" customWidth="1"/>
    <col min="6945" max="7168" width="8.90625" style="1385"/>
    <col min="7169" max="7169" width="6.453125" style="1385" customWidth="1"/>
    <col min="7170" max="7170" width="43.36328125" style="1385" customWidth="1"/>
    <col min="7171" max="7171" width="11.08984375" style="1385" customWidth="1"/>
    <col min="7172" max="7172" width="13.08984375" style="1385" customWidth="1"/>
    <col min="7173" max="7173" width="13.90625" style="1385" customWidth="1"/>
    <col min="7174" max="7174" width="12.453125" style="1385" customWidth="1"/>
    <col min="7175" max="7175" width="13" style="1385" customWidth="1"/>
    <col min="7176" max="7176" width="11" style="1385" customWidth="1"/>
    <col min="7177" max="7177" width="9.90625" style="1385" customWidth="1"/>
    <col min="7178" max="7178" width="11.08984375" style="1385" customWidth="1"/>
    <col min="7179" max="7179" width="9.453125" style="1385" customWidth="1"/>
    <col min="7180" max="7180" width="9.54296875" style="1385" customWidth="1"/>
    <col min="7181" max="7181" width="10.81640625" style="1385" customWidth="1"/>
    <col min="7182" max="7182" width="6.54296875" style="1385" customWidth="1"/>
    <col min="7183" max="7183" width="7.54296875" style="1385" customWidth="1"/>
    <col min="7184" max="7184" width="10.08984375" style="1385" customWidth="1"/>
    <col min="7185" max="7185" width="9.453125" style="1385" customWidth="1"/>
    <col min="7186" max="7186" width="11" style="1385" customWidth="1"/>
    <col min="7187" max="7187" width="14" style="1385" customWidth="1"/>
    <col min="7188" max="7188" width="9.90625" style="1385" customWidth="1"/>
    <col min="7189" max="7192" width="8.90625" style="1385"/>
    <col min="7193" max="7193" width="15" style="1385" customWidth="1"/>
    <col min="7194" max="7194" width="6.453125" style="1385" customWidth="1"/>
    <col min="7195" max="7195" width="5.6328125" style="1385" customWidth="1"/>
    <col min="7196" max="7196" width="9.08984375" style="1385" customWidth="1"/>
    <col min="7197" max="7199" width="8.90625" style="1385"/>
    <col min="7200" max="7200" width="11.6328125" style="1385" customWidth="1"/>
    <col min="7201" max="7424" width="8.90625" style="1385"/>
    <col min="7425" max="7425" width="6.453125" style="1385" customWidth="1"/>
    <col min="7426" max="7426" width="43.36328125" style="1385" customWidth="1"/>
    <col min="7427" max="7427" width="11.08984375" style="1385" customWidth="1"/>
    <col min="7428" max="7428" width="13.08984375" style="1385" customWidth="1"/>
    <col min="7429" max="7429" width="13.90625" style="1385" customWidth="1"/>
    <col min="7430" max="7430" width="12.453125" style="1385" customWidth="1"/>
    <col min="7431" max="7431" width="13" style="1385" customWidth="1"/>
    <col min="7432" max="7432" width="11" style="1385" customWidth="1"/>
    <col min="7433" max="7433" width="9.90625" style="1385" customWidth="1"/>
    <col min="7434" max="7434" width="11.08984375" style="1385" customWidth="1"/>
    <col min="7435" max="7435" width="9.453125" style="1385" customWidth="1"/>
    <col min="7436" max="7436" width="9.54296875" style="1385" customWidth="1"/>
    <col min="7437" max="7437" width="10.81640625" style="1385" customWidth="1"/>
    <col min="7438" max="7438" width="6.54296875" style="1385" customWidth="1"/>
    <col min="7439" max="7439" width="7.54296875" style="1385" customWidth="1"/>
    <col min="7440" max="7440" width="10.08984375" style="1385" customWidth="1"/>
    <col min="7441" max="7441" width="9.453125" style="1385" customWidth="1"/>
    <col min="7442" max="7442" width="11" style="1385" customWidth="1"/>
    <col min="7443" max="7443" width="14" style="1385" customWidth="1"/>
    <col min="7444" max="7444" width="9.90625" style="1385" customWidth="1"/>
    <col min="7445" max="7448" width="8.90625" style="1385"/>
    <col min="7449" max="7449" width="15" style="1385" customWidth="1"/>
    <col min="7450" max="7450" width="6.453125" style="1385" customWidth="1"/>
    <col min="7451" max="7451" width="5.6328125" style="1385" customWidth="1"/>
    <col min="7452" max="7452" width="9.08984375" style="1385" customWidth="1"/>
    <col min="7453" max="7455" width="8.90625" style="1385"/>
    <col min="7456" max="7456" width="11.6328125" style="1385" customWidth="1"/>
    <col min="7457" max="7680" width="8.90625" style="1385"/>
    <col min="7681" max="7681" width="6.453125" style="1385" customWidth="1"/>
    <col min="7682" max="7682" width="43.36328125" style="1385" customWidth="1"/>
    <col min="7683" max="7683" width="11.08984375" style="1385" customWidth="1"/>
    <col min="7684" max="7684" width="13.08984375" style="1385" customWidth="1"/>
    <col min="7685" max="7685" width="13.90625" style="1385" customWidth="1"/>
    <col min="7686" max="7686" width="12.453125" style="1385" customWidth="1"/>
    <col min="7687" max="7687" width="13" style="1385" customWidth="1"/>
    <col min="7688" max="7688" width="11" style="1385" customWidth="1"/>
    <col min="7689" max="7689" width="9.90625" style="1385" customWidth="1"/>
    <col min="7690" max="7690" width="11.08984375" style="1385" customWidth="1"/>
    <col min="7691" max="7691" width="9.453125" style="1385" customWidth="1"/>
    <col min="7692" max="7692" width="9.54296875" style="1385" customWidth="1"/>
    <col min="7693" max="7693" width="10.81640625" style="1385" customWidth="1"/>
    <col min="7694" max="7694" width="6.54296875" style="1385" customWidth="1"/>
    <col min="7695" max="7695" width="7.54296875" style="1385" customWidth="1"/>
    <col min="7696" max="7696" width="10.08984375" style="1385" customWidth="1"/>
    <col min="7697" max="7697" width="9.453125" style="1385" customWidth="1"/>
    <col min="7698" max="7698" width="11" style="1385" customWidth="1"/>
    <col min="7699" max="7699" width="14" style="1385" customWidth="1"/>
    <col min="7700" max="7700" width="9.90625" style="1385" customWidth="1"/>
    <col min="7701" max="7704" width="8.90625" style="1385"/>
    <col min="7705" max="7705" width="15" style="1385" customWidth="1"/>
    <col min="7706" max="7706" width="6.453125" style="1385" customWidth="1"/>
    <col min="7707" max="7707" width="5.6328125" style="1385" customWidth="1"/>
    <col min="7708" max="7708" width="9.08984375" style="1385" customWidth="1"/>
    <col min="7709" max="7711" width="8.90625" style="1385"/>
    <col min="7712" max="7712" width="11.6328125" style="1385" customWidth="1"/>
    <col min="7713" max="7936" width="8.90625" style="1385"/>
    <col min="7937" max="7937" width="6.453125" style="1385" customWidth="1"/>
    <col min="7938" max="7938" width="43.36328125" style="1385" customWidth="1"/>
    <col min="7939" max="7939" width="11.08984375" style="1385" customWidth="1"/>
    <col min="7940" max="7940" width="13.08984375" style="1385" customWidth="1"/>
    <col min="7941" max="7941" width="13.90625" style="1385" customWidth="1"/>
    <col min="7942" max="7942" width="12.453125" style="1385" customWidth="1"/>
    <col min="7943" max="7943" width="13" style="1385" customWidth="1"/>
    <col min="7944" max="7944" width="11" style="1385" customWidth="1"/>
    <col min="7945" max="7945" width="9.90625" style="1385" customWidth="1"/>
    <col min="7946" max="7946" width="11.08984375" style="1385" customWidth="1"/>
    <col min="7947" max="7947" width="9.453125" style="1385" customWidth="1"/>
    <col min="7948" max="7948" width="9.54296875" style="1385" customWidth="1"/>
    <col min="7949" max="7949" width="10.81640625" style="1385" customWidth="1"/>
    <col min="7950" max="7950" width="6.54296875" style="1385" customWidth="1"/>
    <col min="7951" max="7951" width="7.54296875" style="1385" customWidth="1"/>
    <col min="7952" max="7952" width="10.08984375" style="1385" customWidth="1"/>
    <col min="7953" max="7953" width="9.453125" style="1385" customWidth="1"/>
    <col min="7954" max="7954" width="11" style="1385" customWidth="1"/>
    <col min="7955" max="7955" width="14" style="1385" customWidth="1"/>
    <col min="7956" max="7956" width="9.90625" style="1385" customWidth="1"/>
    <col min="7957" max="7960" width="8.90625" style="1385"/>
    <col min="7961" max="7961" width="15" style="1385" customWidth="1"/>
    <col min="7962" max="7962" width="6.453125" style="1385" customWidth="1"/>
    <col min="7963" max="7963" width="5.6328125" style="1385" customWidth="1"/>
    <col min="7964" max="7964" width="9.08984375" style="1385" customWidth="1"/>
    <col min="7965" max="7967" width="8.90625" style="1385"/>
    <col min="7968" max="7968" width="11.6328125" style="1385" customWidth="1"/>
    <col min="7969" max="8192" width="8.90625" style="1385"/>
    <col min="8193" max="8193" width="6.453125" style="1385" customWidth="1"/>
    <col min="8194" max="8194" width="43.36328125" style="1385" customWidth="1"/>
    <col min="8195" max="8195" width="11.08984375" style="1385" customWidth="1"/>
    <col min="8196" max="8196" width="13.08984375" style="1385" customWidth="1"/>
    <col min="8197" max="8197" width="13.90625" style="1385" customWidth="1"/>
    <col min="8198" max="8198" width="12.453125" style="1385" customWidth="1"/>
    <col min="8199" max="8199" width="13" style="1385" customWidth="1"/>
    <col min="8200" max="8200" width="11" style="1385" customWidth="1"/>
    <col min="8201" max="8201" width="9.90625" style="1385" customWidth="1"/>
    <col min="8202" max="8202" width="11.08984375" style="1385" customWidth="1"/>
    <col min="8203" max="8203" width="9.453125" style="1385" customWidth="1"/>
    <col min="8204" max="8204" width="9.54296875" style="1385" customWidth="1"/>
    <col min="8205" max="8205" width="10.81640625" style="1385" customWidth="1"/>
    <col min="8206" max="8206" width="6.54296875" style="1385" customWidth="1"/>
    <col min="8207" max="8207" width="7.54296875" style="1385" customWidth="1"/>
    <col min="8208" max="8208" width="10.08984375" style="1385" customWidth="1"/>
    <col min="8209" max="8209" width="9.453125" style="1385" customWidth="1"/>
    <col min="8210" max="8210" width="11" style="1385" customWidth="1"/>
    <col min="8211" max="8211" width="14" style="1385" customWidth="1"/>
    <col min="8212" max="8212" width="9.90625" style="1385" customWidth="1"/>
    <col min="8213" max="8216" width="8.90625" style="1385"/>
    <col min="8217" max="8217" width="15" style="1385" customWidth="1"/>
    <col min="8218" max="8218" width="6.453125" style="1385" customWidth="1"/>
    <col min="8219" max="8219" width="5.6328125" style="1385" customWidth="1"/>
    <col min="8220" max="8220" width="9.08984375" style="1385" customWidth="1"/>
    <col min="8221" max="8223" width="8.90625" style="1385"/>
    <col min="8224" max="8224" width="11.6328125" style="1385" customWidth="1"/>
    <col min="8225" max="8448" width="8.90625" style="1385"/>
    <col min="8449" max="8449" width="6.453125" style="1385" customWidth="1"/>
    <col min="8450" max="8450" width="43.36328125" style="1385" customWidth="1"/>
    <col min="8451" max="8451" width="11.08984375" style="1385" customWidth="1"/>
    <col min="8452" max="8452" width="13.08984375" style="1385" customWidth="1"/>
    <col min="8453" max="8453" width="13.90625" style="1385" customWidth="1"/>
    <col min="8454" max="8454" width="12.453125" style="1385" customWidth="1"/>
    <col min="8455" max="8455" width="13" style="1385" customWidth="1"/>
    <col min="8456" max="8456" width="11" style="1385" customWidth="1"/>
    <col min="8457" max="8457" width="9.90625" style="1385" customWidth="1"/>
    <col min="8458" max="8458" width="11.08984375" style="1385" customWidth="1"/>
    <col min="8459" max="8459" width="9.453125" style="1385" customWidth="1"/>
    <col min="8460" max="8460" width="9.54296875" style="1385" customWidth="1"/>
    <col min="8461" max="8461" width="10.81640625" style="1385" customWidth="1"/>
    <col min="8462" max="8462" width="6.54296875" style="1385" customWidth="1"/>
    <col min="8463" max="8463" width="7.54296875" style="1385" customWidth="1"/>
    <col min="8464" max="8464" width="10.08984375" style="1385" customWidth="1"/>
    <col min="8465" max="8465" width="9.453125" style="1385" customWidth="1"/>
    <col min="8466" max="8466" width="11" style="1385" customWidth="1"/>
    <col min="8467" max="8467" width="14" style="1385" customWidth="1"/>
    <col min="8468" max="8468" width="9.90625" style="1385" customWidth="1"/>
    <col min="8469" max="8472" width="8.90625" style="1385"/>
    <col min="8473" max="8473" width="15" style="1385" customWidth="1"/>
    <col min="8474" max="8474" width="6.453125" style="1385" customWidth="1"/>
    <col min="8475" max="8475" width="5.6328125" style="1385" customWidth="1"/>
    <col min="8476" max="8476" width="9.08984375" style="1385" customWidth="1"/>
    <col min="8477" max="8479" width="8.90625" style="1385"/>
    <col min="8480" max="8480" width="11.6328125" style="1385" customWidth="1"/>
    <col min="8481" max="8704" width="8.90625" style="1385"/>
    <col min="8705" max="8705" width="6.453125" style="1385" customWidth="1"/>
    <col min="8706" max="8706" width="43.36328125" style="1385" customWidth="1"/>
    <col min="8707" max="8707" width="11.08984375" style="1385" customWidth="1"/>
    <col min="8708" max="8708" width="13.08984375" style="1385" customWidth="1"/>
    <col min="8709" max="8709" width="13.90625" style="1385" customWidth="1"/>
    <col min="8710" max="8710" width="12.453125" style="1385" customWidth="1"/>
    <col min="8711" max="8711" width="13" style="1385" customWidth="1"/>
    <col min="8712" max="8712" width="11" style="1385" customWidth="1"/>
    <col min="8713" max="8713" width="9.90625" style="1385" customWidth="1"/>
    <col min="8714" max="8714" width="11.08984375" style="1385" customWidth="1"/>
    <col min="8715" max="8715" width="9.453125" style="1385" customWidth="1"/>
    <col min="8716" max="8716" width="9.54296875" style="1385" customWidth="1"/>
    <col min="8717" max="8717" width="10.81640625" style="1385" customWidth="1"/>
    <col min="8718" max="8718" width="6.54296875" style="1385" customWidth="1"/>
    <col min="8719" max="8719" width="7.54296875" style="1385" customWidth="1"/>
    <col min="8720" max="8720" width="10.08984375" style="1385" customWidth="1"/>
    <col min="8721" max="8721" width="9.453125" style="1385" customWidth="1"/>
    <col min="8722" max="8722" width="11" style="1385" customWidth="1"/>
    <col min="8723" max="8723" width="14" style="1385" customWidth="1"/>
    <col min="8724" max="8724" width="9.90625" style="1385" customWidth="1"/>
    <col min="8725" max="8728" width="8.90625" style="1385"/>
    <col min="8729" max="8729" width="15" style="1385" customWidth="1"/>
    <col min="8730" max="8730" width="6.453125" style="1385" customWidth="1"/>
    <col min="8731" max="8731" width="5.6328125" style="1385" customWidth="1"/>
    <col min="8732" max="8732" width="9.08984375" style="1385" customWidth="1"/>
    <col min="8733" max="8735" width="8.90625" style="1385"/>
    <col min="8736" max="8736" width="11.6328125" style="1385" customWidth="1"/>
    <col min="8737" max="8960" width="8.90625" style="1385"/>
    <col min="8961" max="8961" width="6.453125" style="1385" customWidth="1"/>
    <col min="8962" max="8962" width="43.36328125" style="1385" customWidth="1"/>
    <col min="8963" max="8963" width="11.08984375" style="1385" customWidth="1"/>
    <col min="8964" max="8964" width="13.08984375" style="1385" customWidth="1"/>
    <col min="8965" max="8965" width="13.90625" style="1385" customWidth="1"/>
    <col min="8966" max="8966" width="12.453125" style="1385" customWidth="1"/>
    <col min="8967" max="8967" width="13" style="1385" customWidth="1"/>
    <col min="8968" max="8968" width="11" style="1385" customWidth="1"/>
    <col min="8969" max="8969" width="9.90625" style="1385" customWidth="1"/>
    <col min="8970" max="8970" width="11.08984375" style="1385" customWidth="1"/>
    <col min="8971" max="8971" width="9.453125" style="1385" customWidth="1"/>
    <col min="8972" max="8972" width="9.54296875" style="1385" customWidth="1"/>
    <col min="8973" max="8973" width="10.81640625" style="1385" customWidth="1"/>
    <col min="8974" max="8974" width="6.54296875" style="1385" customWidth="1"/>
    <col min="8975" max="8975" width="7.54296875" style="1385" customWidth="1"/>
    <col min="8976" max="8976" width="10.08984375" style="1385" customWidth="1"/>
    <col min="8977" max="8977" width="9.453125" style="1385" customWidth="1"/>
    <col min="8978" max="8978" width="11" style="1385" customWidth="1"/>
    <col min="8979" max="8979" width="14" style="1385" customWidth="1"/>
    <col min="8980" max="8980" width="9.90625" style="1385" customWidth="1"/>
    <col min="8981" max="8984" width="8.90625" style="1385"/>
    <col min="8985" max="8985" width="15" style="1385" customWidth="1"/>
    <col min="8986" max="8986" width="6.453125" style="1385" customWidth="1"/>
    <col min="8987" max="8987" width="5.6328125" style="1385" customWidth="1"/>
    <col min="8988" max="8988" width="9.08984375" style="1385" customWidth="1"/>
    <col min="8989" max="8991" width="8.90625" style="1385"/>
    <col min="8992" max="8992" width="11.6328125" style="1385" customWidth="1"/>
    <col min="8993" max="9216" width="8.90625" style="1385"/>
    <col min="9217" max="9217" width="6.453125" style="1385" customWidth="1"/>
    <col min="9218" max="9218" width="43.36328125" style="1385" customWidth="1"/>
    <col min="9219" max="9219" width="11.08984375" style="1385" customWidth="1"/>
    <col min="9220" max="9220" width="13.08984375" style="1385" customWidth="1"/>
    <col min="9221" max="9221" width="13.90625" style="1385" customWidth="1"/>
    <col min="9222" max="9222" width="12.453125" style="1385" customWidth="1"/>
    <col min="9223" max="9223" width="13" style="1385" customWidth="1"/>
    <col min="9224" max="9224" width="11" style="1385" customWidth="1"/>
    <col min="9225" max="9225" width="9.90625" style="1385" customWidth="1"/>
    <col min="9226" max="9226" width="11.08984375" style="1385" customWidth="1"/>
    <col min="9227" max="9227" width="9.453125" style="1385" customWidth="1"/>
    <col min="9228" max="9228" width="9.54296875" style="1385" customWidth="1"/>
    <col min="9229" max="9229" width="10.81640625" style="1385" customWidth="1"/>
    <col min="9230" max="9230" width="6.54296875" style="1385" customWidth="1"/>
    <col min="9231" max="9231" width="7.54296875" style="1385" customWidth="1"/>
    <col min="9232" max="9232" width="10.08984375" style="1385" customWidth="1"/>
    <col min="9233" max="9233" width="9.453125" style="1385" customWidth="1"/>
    <col min="9234" max="9234" width="11" style="1385" customWidth="1"/>
    <col min="9235" max="9235" width="14" style="1385" customWidth="1"/>
    <col min="9236" max="9236" width="9.90625" style="1385" customWidth="1"/>
    <col min="9237" max="9240" width="8.90625" style="1385"/>
    <col min="9241" max="9241" width="15" style="1385" customWidth="1"/>
    <col min="9242" max="9242" width="6.453125" style="1385" customWidth="1"/>
    <col min="9243" max="9243" width="5.6328125" style="1385" customWidth="1"/>
    <col min="9244" max="9244" width="9.08984375" style="1385" customWidth="1"/>
    <col min="9245" max="9247" width="8.90625" style="1385"/>
    <col min="9248" max="9248" width="11.6328125" style="1385" customWidth="1"/>
    <col min="9249" max="9472" width="8.90625" style="1385"/>
    <col min="9473" max="9473" width="6.453125" style="1385" customWidth="1"/>
    <col min="9474" max="9474" width="43.36328125" style="1385" customWidth="1"/>
    <col min="9475" max="9475" width="11.08984375" style="1385" customWidth="1"/>
    <col min="9476" max="9476" width="13.08984375" style="1385" customWidth="1"/>
    <col min="9477" max="9477" width="13.90625" style="1385" customWidth="1"/>
    <col min="9478" max="9478" width="12.453125" style="1385" customWidth="1"/>
    <col min="9479" max="9479" width="13" style="1385" customWidth="1"/>
    <col min="9480" max="9480" width="11" style="1385" customWidth="1"/>
    <col min="9481" max="9481" width="9.90625" style="1385" customWidth="1"/>
    <col min="9482" max="9482" width="11.08984375" style="1385" customWidth="1"/>
    <col min="9483" max="9483" width="9.453125" style="1385" customWidth="1"/>
    <col min="9484" max="9484" width="9.54296875" style="1385" customWidth="1"/>
    <col min="9485" max="9485" width="10.81640625" style="1385" customWidth="1"/>
    <col min="9486" max="9486" width="6.54296875" style="1385" customWidth="1"/>
    <col min="9487" max="9487" width="7.54296875" style="1385" customWidth="1"/>
    <col min="9488" max="9488" width="10.08984375" style="1385" customWidth="1"/>
    <col min="9489" max="9489" width="9.453125" style="1385" customWidth="1"/>
    <col min="9490" max="9490" width="11" style="1385" customWidth="1"/>
    <col min="9491" max="9491" width="14" style="1385" customWidth="1"/>
    <col min="9492" max="9492" width="9.90625" style="1385" customWidth="1"/>
    <col min="9493" max="9496" width="8.90625" style="1385"/>
    <col min="9497" max="9497" width="15" style="1385" customWidth="1"/>
    <col min="9498" max="9498" width="6.453125" style="1385" customWidth="1"/>
    <col min="9499" max="9499" width="5.6328125" style="1385" customWidth="1"/>
    <col min="9500" max="9500" width="9.08984375" style="1385" customWidth="1"/>
    <col min="9501" max="9503" width="8.90625" style="1385"/>
    <col min="9504" max="9504" width="11.6328125" style="1385" customWidth="1"/>
    <col min="9505" max="9728" width="8.90625" style="1385"/>
    <col min="9729" max="9729" width="6.453125" style="1385" customWidth="1"/>
    <col min="9730" max="9730" width="43.36328125" style="1385" customWidth="1"/>
    <col min="9731" max="9731" width="11.08984375" style="1385" customWidth="1"/>
    <col min="9732" max="9732" width="13.08984375" style="1385" customWidth="1"/>
    <col min="9733" max="9733" width="13.90625" style="1385" customWidth="1"/>
    <col min="9734" max="9734" width="12.453125" style="1385" customWidth="1"/>
    <col min="9735" max="9735" width="13" style="1385" customWidth="1"/>
    <col min="9736" max="9736" width="11" style="1385" customWidth="1"/>
    <col min="9737" max="9737" width="9.90625" style="1385" customWidth="1"/>
    <col min="9738" max="9738" width="11.08984375" style="1385" customWidth="1"/>
    <col min="9739" max="9739" width="9.453125" style="1385" customWidth="1"/>
    <col min="9740" max="9740" width="9.54296875" style="1385" customWidth="1"/>
    <col min="9741" max="9741" width="10.81640625" style="1385" customWidth="1"/>
    <col min="9742" max="9742" width="6.54296875" style="1385" customWidth="1"/>
    <col min="9743" max="9743" width="7.54296875" style="1385" customWidth="1"/>
    <col min="9744" max="9744" width="10.08984375" style="1385" customWidth="1"/>
    <col min="9745" max="9745" width="9.453125" style="1385" customWidth="1"/>
    <col min="9746" max="9746" width="11" style="1385" customWidth="1"/>
    <col min="9747" max="9747" width="14" style="1385" customWidth="1"/>
    <col min="9748" max="9748" width="9.90625" style="1385" customWidth="1"/>
    <col min="9749" max="9752" width="8.90625" style="1385"/>
    <col min="9753" max="9753" width="15" style="1385" customWidth="1"/>
    <col min="9754" max="9754" width="6.453125" style="1385" customWidth="1"/>
    <col min="9755" max="9755" width="5.6328125" style="1385" customWidth="1"/>
    <col min="9756" max="9756" width="9.08984375" style="1385" customWidth="1"/>
    <col min="9757" max="9759" width="8.90625" style="1385"/>
    <col min="9760" max="9760" width="11.6328125" style="1385" customWidth="1"/>
    <col min="9761" max="9984" width="8.90625" style="1385"/>
    <col min="9985" max="9985" width="6.453125" style="1385" customWidth="1"/>
    <col min="9986" max="9986" width="43.36328125" style="1385" customWidth="1"/>
    <col min="9987" max="9987" width="11.08984375" style="1385" customWidth="1"/>
    <col min="9988" max="9988" width="13.08984375" style="1385" customWidth="1"/>
    <col min="9989" max="9989" width="13.90625" style="1385" customWidth="1"/>
    <col min="9990" max="9990" width="12.453125" style="1385" customWidth="1"/>
    <col min="9991" max="9991" width="13" style="1385" customWidth="1"/>
    <col min="9992" max="9992" width="11" style="1385" customWidth="1"/>
    <col min="9993" max="9993" width="9.90625" style="1385" customWidth="1"/>
    <col min="9994" max="9994" width="11.08984375" style="1385" customWidth="1"/>
    <col min="9995" max="9995" width="9.453125" style="1385" customWidth="1"/>
    <col min="9996" max="9996" width="9.54296875" style="1385" customWidth="1"/>
    <col min="9997" max="9997" width="10.81640625" style="1385" customWidth="1"/>
    <col min="9998" max="9998" width="6.54296875" style="1385" customWidth="1"/>
    <col min="9999" max="9999" width="7.54296875" style="1385" customWidth="1"/>
    <col min="10000" max="10000" width="10.08984375" style="1385" customWidth="1"/>
    <col min="10001" max="10001" width="9.453125" style="1385" customWidth="1"/>
    <col min="10002" max="10002" width="11" style="1385" customWidth="1"/>
    <col min="10003" max="10003" width="14" style="1385" customWidth="1"/>
    <col min="10004" max="10004" width="9.90625" style="1385" customWidth="1"/>
    <col min="10005" max="10008" width="8.90625" style="1385"/>
    <col min="10009" max="10009" width="15" style="1385" customWidth="1"/>
    <col min="10010" max="10010" width="6.453125" style="1385" customWidth="1"/>
    <col min="10011" max="10011" width="5.6328125" style="1385" customWidth="1"/>
    <col min="10012" max="10012" width="9.08984375" style="1385" customWidth="1"/>
    <col min="10013" max="10015" width="8.90625" style="1385"/>
    <col min="10016" max="10016" width="11.6328125" style="1385" customWidth="1"/>
    <col min="10017" max="10240" width="8.90625" style="1385"/>
    <col min="10241" max="10241" width="6.453125" style="1385" customWidth="1"/>
    <col min="10242" max="10242" width="43.36328125" style="1385" customWidth="1"/>
    <col min="10243" max="10243" width="11.08984375" style="1385" customWidth="1"/>
    <col min="10244" max="10244" width="13.08984375" style="1385" customWidth="1"/>
    <col min="10245" max="10245" width="13.90625" style="1385" customWidth="1"/>
    <col min="10246" max="10246" width="12.453125" style="1385" customWidth="1"/>
    <col min="10247" max="10247" width="13" style="1385" customWidth="1"/>
    <col min="10248" max="10248" width="11" style="1385" customWidth="1"/>
    <col min="10249" max="10249" width="9.90625" style="1385" customWidth="1"/>
    <col min="10250" max="10250" width="11.08984375" style="1385" customWidth="1"/>
    <col min="10251" max="10251" width="9.453125" style="1385" customWidth="1"/>
    <col min="10252" max="10252" width="9.54296875" style="1385" customWidth="1"/>
    <col min="10253" max="10253" width="10.81640625" style="1385" customWidth="1"/>
    <col min="10254" max="10254" width="6.54296875" style="1385" customWidth="1"/>
    <col min="10255" max="10255" width="7.54296875" style="1385" customWidth="1"/>
    <col min="10256" max="10256" width="10.08984375" style="1385" customWidth="1"/>
    <col min="10257" max="10257" width="9.453125" style="1385" customWidth="1"/>
    <col min="10258" max="10258" width="11" style="1385" customWidth="1"/>
    <col min="10259" max="10259" width="14" style="1385" customWidth="1"/>
    <col min="10260" max="10260" width="9.90625" style="1385" customWidth="1"/>
    <col min="10261" max="10264" width="8.90625" style="1385"/>
    <col min="10265" max="10265" width="15" style="1385" customWidth="1"/>
    <col min="10266" max="10266" width="6.453125" style="1385" customWidth="1"/>
    <col min="10267" max="10267" width="5.6328125" style="1385" customWidth="1"/>
    <col min="10268" max="10268" width="9.08984375" style="1385" customWidth="1"/>
    <col min="10269" max="10271" width="8.90625" style="1385"/>
    <col min="10272" max="10272" width="11.6328125" style="1385" customWidth="1"/>
    <col min="10273" max="10496" width="8.90625" style="1385"/>
    <col min="10497" max="10497" width="6.453125" style="1385" customWidth="1"/>
    <col min="10498" max="10498" width="43.36328125" style="1385" customWidth="1"/>
    <col min="10499" max="10499" width="11.08984375" style="1385" customWidth="1"/>
    <col min="10500" max="10500" width="13.08984375" style="1385" customWidth="1"/>
    <col min="10501" max="10501" width="13.90625" style="1385" customWidth="1"/>
    <col min="10502" max="10502" width="12.453125" style="1385" customWidth="1"/>
    <col min="10503" max="10503" width="13" style="1385" customWidth="1"/>
    <col min="10504" max="10504" width="11" style="1385" customWidth="1"/>
    <col min="10505" max="10505" width="9.90625" style="1385" customWidth="1"/>
    <col min="10506" max="10506" width="11.08984375" style="1385" customWidth="1"/>
    <col min="10507" max="10507" width="9.453125" style="1385" customWidth="1"/>
    <col min="10508" max="10508" width="9.54296875" style="1385" customWidth="1"/>
    <col min="10509" max="10509" width="10.81640625" style="1385" customWidth="1"/>
    <col min="10510" max="10510" width="6.54296875" style="1385" customWidth="1"/>
    <col min="10511" max="10511" width="7.54296875" style="1385" customWidth="1"/>
    <col min="10512" max="10512" width="10.08984375" style="1385" customWidth="1"/>
    <col min="10513" max="10513" width="9.453125" style="1385" customWidth="1"/>
    <col min="10514" max="10514" width="11" style="1385" customWidth="1"/>
    <col min="10515" max="10515" width="14" style="1385" customWidth="1"/>
    <col min="10516" max="10516" width="9.90625" style="1385" customWidth="1"/>
    <col min="10517" max="10520" width="8.90625" style="1385"/>
    <col min="10521" max="10521" width="15" style="1385" customWidth="1"/>
    <col min="10522" max="10522" width="6.453125" style="1385" customWidth="1"/>
    <col min="10523" max="10523" width="5.6328125" style="1385" customWidth="1"/>
    <col min="10524" max="10524" width="9.08984375" style="1385" customWidth="1"/>
    <col min="10525" max="10527" width="8.90625" style="1385"/>
    <col min="10528" max="10528" width="11.6328125" style="1385" customWidth="1"/>
    <col min="10529" max="10752" width="8.90625" style="1385"/>
    <col min="10753" max="10753" width="6.453125" style="1385" customWidth="1"/>
    <col min="10754" max="10754" width="43.36328125" style="1385" customWidth="1"/>
    <col min="10755" max="10755" width="11.08984375" style="1385" customWidth="1"/>
    <col min="10756" max="10756" width="13.08984375" style="1385" customWidth="1"/>
    <col min="10757" max="10757" width="13.90625" style="1385" customWidth="1"/>
    <col min="10758" max="10758" width="12.453125" style="1385" customWidth="1"/>
    <col min="10759" max="10759" width="13" style="1385" customWidth="1"/>
    <col min="10760" max="10760" width="11" style="1385" customWidth="1"/>
    <col min="10761" max="10761" width="9.90625" style="1385" customWidth="1"/>
    <col min="10762" max="10762" width="11.08984375" style="1385" customWidth="1"/>
    <col min="10763" max="10763" width="9.453125" style="1385" customWidth="1"/>
    <col min="10764" max="10764" width="9.54296875" style="1385" customWidth="1"/>
    <col min="10765" max="10765" width="10.81640625" style="1385" customWidth="1"/>
    <col min="10766" max="10766" width="6.54296875" style="1385" customWidth="1"/>
    <col min="10767" max="10767" width="7.54296875" style="1385" customWidth="1"/>
    <col min="10768" max="10768" width="10.08984375" style="1385" customWidth="1"/>
    <col min="10769" max="10769" width="9.453125" style="1385" customWidth="1"/>
    <col min="10770" max="10770" width="11" style="1385" customWidth="1"/>
    <col min="10771" max="10771" width="14" style="1385" customWidth="1"/>
    <col min="10772" max="10772" width="9.90625" style="1385" customWidth="1"/>
    <col min="10773" max="10776" width="8.90625" style="1385"/>
    <col min="10777" max="10777" width="15" style="1385" customWidth="1"/>
    <col min="10778" max="10778" width="6.453125" style="1385" customWidth="1"/>
    <col min="10779" max="10779" width="5.6328125" style="1385" customWidth="1"/>
    <col min="10780" max="10780" width="9.08984375" style="1385" customWidth="1"/>
    <col min="10781" max="10783" width="8.90625" style="1385"/>
    <col min="10784" max="10784" width="11.6328125" style="1385" customWidth="1"/>
    <col min="10785" max="11008" width="8.90625" style="1385"/>
    <col min="11009" max="11009" width="6.453125" style="1385" customWidth="1"/>
    <col min="11010" max="11010" width="43.36328125" style="1385" customWidth="1"/>
    <col min="11011" max="11011" width="11.08984375" style="1385" customWidth="1"/>
    <col min="11012" max="11012" width="13.08984375" style="1385" customWidth="1"/>
    <col min="11013" max="11013" width="13.90625" style="1385" customWidth="1"/>
    <col min="11014" max="11014" width="12.453125" style="1385" customWidth="1"/>
    <col min="11015" max="11015" width="13" style="1385" customWidth="1"/>
    <col min="11016" max="11016" width="11" style="1385" customWidth="1"/>
    <col min="11017" max="11017" width="9.90625" style="1385" customWidth="1"/>
    <col min="11018" max="11018" width="11.08984375" style="1385" customWidth="1"/>
    <col min="11019" max="11019" width="9.453125" style="1385" customWidth="1"/>
    <col min="11020" max="11020" width="9.54296875" style="1385" customWidth="1"/>
    <col min="11021" max="11021" width="10.81640625" style="1385" customWidth="1"/>
    <col min="11022" max="11022" width="6.54296875" style="1385" customWidth="1"/>
    <col min="11023" max="11023" width="7.54296875" style="1385" customWidth="1"/>
    <col min="11024" max="11024" width="10.08984375" style="1385" customWidth="1"/>
    <col min="11025" max="11025" width="9.453125" style="1385" customWidth="1"/>
    <col min="11026" max="11026" width="11" style="1385" customWidth="1"/>
    <col min="11027" max="11027" width="14" style="1385" customWidth="1"/>
    <col min="11028" max="11028" width="9.90625" style="1385" customWidth="1"/>
    <col min="11029" max="11032" width="8.90625" style="1385"/>
    <col min="11033" max="11033" width="15" style="1385" customWidth="1"/>
    <col min="11034" max="11034" width="6.453125" style="1385" customWidth="1"/>
    <col min="11035" max="11035" width="5.6328125" style="1385" customWidth="1"/>
    <col min="11036" max="11036" width="9.08984375" style="1385" customWidth="1"/>
    <col min="11037" max="11039" width="8.90625" style="1385"/>
    <col min="11040" max="11040" width="11.6328125" style="1385" customWidth="1"/>
    <col min="11041" max="11264" width="8.90625" style="1385"/>
    <col min="11265" max="11265" width="6.453125" style="1385" customWidth="1"/>
    <col min="11266" max="11266" width="43.36328125" style="1385" customWidth="1"/>
    <col min="11267" max="11267" width="11.08984375" style="1385" customWidth="1"/>
    <col min="11268" max="11268" width="13.08984375" style="1385" customWidth="1"/>
    <col min="11269" max="11269" width="13.90625" style="1385" customWidth="1"/>
    <col min="11270" max="11270" width="12.453125" style="1385" customWidth="1"/>
    <col min="11271" max="11271" width="13" style="1385" customWidth="1"/>
    <col min="11272" max="11272" width="11" style="1385" customWidth="1"/>
    <col min="11273" max="11273" width="9.90625" style="1385" customWidth="1"/>
    <col min="11274" max="11274" width="11.08984375" style="1385" customWidth="1"/>
    <col min="11275" max="11275" width="9.453125" style="1385" customWidth="1"/>
    <col min="11276" max="11276" width="9.54296875" style="1385" customWidth="1"/>
    <col min="11277" max="11277" width="10.81640625" style="1385" customWidth="1"/>
    <col min="11278" max="11278" width="6.54296875" style="1385" customWidth="1"/>
    <col min="11279" max="11279" width="7.54296875" style="1385" customWidth="1"/>
    <col min="11280" max="11280" width="10.08984375" style="1385" customWidth="1"/>
    <col min="11281" max="11281" width="9.453125" style="1385" customWidth="1"/>
    <col min="11282" max="11282" width="11" style="1385" customWidth="1"/>
    <col min="11283" max="11283" width="14" style="1385" customWidth="1"/>
    <col min="11284" max="11284" width="9.90625" style="1385" customWidth="1"/>
    <col min="11285" max="11288" width="8.90625" style="1385"/>
    <col min="11289" max="11289" width="15" style="1385" customWidth="1"/>
    <col min="11290" max="11290" width="6.453125" style="1385" customWidth="1"/>
    <col min="11291" max="11291" width="5.6328125" style="1385" customWidth="1"/>
    <col min="11292" max="11292" width="9.08984375" style="1385" customWidth="1"/>
    <col min="11293" max="11295" width="8.90625" style="1385"/>
    <col min="11296" max="11296" width="11.6328125" style="1385" customWidth="1"/>
    <col min="11297" max="11520" width="8.90625" style="1385"/>
    <col min="11521" max="11521" width="6.453125" style="1385" customWidth="1"/>
    <col min="11522" max="11522" width="43.36328125" style="1385" customWidth="1"/>
    <col min="11523" max="11523" width="11.08984375" style="1385" customWidth="1"/>
    <col min="11524" max="11524" width="13.08984375" style="1385" customWidth="1"/>
    <col min="11525" max="11525" width="13.90625" style="1385" customWidth="1"/>
    <col min="11526" max="11526" width="12.453125" style="1385" customWidth="1"/>
    <col min="11527" max="11527" width="13" style="1385" customWidth="1"/>
    <col min="11528" max="11528" width="11" style="1385" customWidth="1"/>
    <col min="11529" max="11529" width="9.90625" style="1385" customWidth="1"/>
    <col min="11530" max="11530" width="11.08984375" style="1385" customWidth="1"/>
    <col min="11531" max="11531" width="9.453125" style="1385" customWidth="1"/>
    <col min="11532" max="11532" width="9.54296875" style="1385" customWidth="1"/>
    <col min="11533" max="11533" width="10.81640625" style="1385" customWidth="1"/>
    <col min="11534" max="11534" width="6.54296875" style="1385" customWidth="1"/>
    <col min="11535" max="11535" width="7.54296875" style="1385" customWidth="1"/>
    <col min="11536" max="11536" width="10.08984375" style="1385" customWidth="1"/>
    <col min="11537" max="11537" width="9.453125" style="1385" customWidth="1"/>
    <col min="11538" max="11538" width="11" style="1385" customWidth="1"/>
    <col min="11539" max="11539" width="14" style="1385" customWidth="1"/>
    <col min="11540" max="11540" width="9.90625" style="1385" customWidth="1"/>
    <col min="11541" max="11544" width="8.90625" style="1385"/>
    <col min="11545" max="11545" width="15" style="1385" customWidth="1"/>
    <col min="11546" max="11546" width="6.453125" style="1385" customWidth="1"/>
    <col min="11547" max="11547" width="5.6328125" style="1385" customWidth="1"/>
    <col min="11548" max="11548" width="9.08984375" style="1385" customWidth="1"/>
    <col min="11549" max="11551" width="8.90625" style="1385"/>
    <col min="11552" max="11552" width="11.6328125" style="1385" customWidth="1"/>
    <col min="11553" max="11776" width="8.90625" style="1385"/>
    <col min="11777" max="11777" width="6.453125" style="1385" customWidth="1"/>
    <col min="11778" max="11778" width="43.36328125" style="1385" customWidth="1"/>
    <col min="11779" max="11779" width="11.08984375" style="1385" customWidth="1"/>
    <col min="11780" max="11780" width="13.08984375" style="1385" customWidth="1"/>
    <col min="11781" max="11781" width="13.90625" style="1385" customWidth="1"/>
    <col min="11782" max="11782" width="12.453125" style="1385" customWidth="1"/>
    <col min="11783" max="11783" width="13" style="1385" customWidth="1"/>
    <col min="11784" max="11784" width="11" style="1385" customWidth="1"/>
    <col min="11785" max="11785" width="9.90625" style="1385" customWidth="1"/>
    <col min="11786" max="11786" width="11.08984375" style="1385" customWidth="1"/>
    <col min="11787" max="11787" width="9.453125" style="1385" customWidth="1"/>
    <col min="11788" max="11788" width="9.54296875" style="1385" customWidth="1"/>
    <col min="11789" max="11789" width="10.81640625" style="1385" customWidth="1"/>
    <col min="11790" max="11790" width="6.54296875" style="1385" customWidth="1"/>
    <col min="11791" max="11791" width="7.54296875" style="1385" customWidth="1"/>
    <col min="11792" max="11792" width="10.08984375" style="1385" customWidth="1"/>
    <col min="11793" max="11793" width="9.453125" style="1385" customWidth="1"/>
    <col min="11794" max="11794" width="11" style="1385" customWidth="1"/>
    <col min="11795" max="11795" width="14" style="1385" customWidth="1"/>
    <col min="11796" max="11796" width="9.90625" style="1385" customWidth="1"/>
    <col min="11797" max="11800" width="8.90625" style="1385"/>
    <col min="11801" max="11801" width="15" style="1385" customWidth="1"/>
    <col min="11802" max="11802" width="6.453125" style="1385" customWidth="1"/>
    <col min="11803" max="11803" width="5.6328125" style="1385" customWidth="1"/>
    <col min="11804" max="11804" width="9.08984375" style="1385" customWidth="1"/>
    <col min="11805" max="11807" width="8.90625" style="1385"/>
    <col min="11808" max="11808" width="11.6328125" style="1385" customWidth="1"/>
    <col min="11809" max="12032" width="8.90625" style="1385"/>
    <col min="12033" max="12033" width="6.453125" style="1385" customWidth="1"/>
    <col min="12034" max="12034" width="43.36328125" style="1385" customWidth="1"/>
    <col min="12035" max="12035" width="11.08984375" style="1385" customWidth="1"/>
    <col min="12036" max="12036" width="13.08984375" style="1385" customWidth="1"/>
    <col min="12037" max="12037" width="13.90625" style="1385" customWidth="1"/>
    <col min="12038" max="12038" width="12.453125" style="1385" customWidth="1"/>
    <col min="12039" max="12039" width="13" style="1385" customWidth="1"/>
    <col min="12040" max="12040" width="11" style="1385" customWidth="1"/>
    <col min="12041" max="12041" width="9.90625" style="1385" customWidth="1"/>
    <col min="12042" max="12042" width="11.08984375" style="1385" customWidth="1"/>
    <col min="12043" max="12043" width="9.453125" style="1385" customWidth="1"/>
    <col min="12044" max="12044" width="9.54296875" style="1385" customWidth="1"/>
    <col min="12045" max="12045" width="10.81640625" style="1385" customWidth="1"/>
    <col min="12046" max="12046" width="6.54296875" style="1385" customWidth="1"/>
    <col min="12047" max="12047" width="7.54296875" style="1385" customWidth="1"/>
    <col min="12048" max="12048" width="10.08984375" style="1385" customWidth="1"/>
    <col min="12049" max="12049" width="9.453125" style="1385" customWidth="1"/>
    <col min="12050" max="12050" width="11" style="1385" customWidth="1"/>
    <col min="12051" max="12051" width="14" style="1385" customWidth="1"/>
    <col min="12052" max="12052" width="9.90625" style="1385" customWidth="1"/>
    <col min="12053" max="12056" width="8.90625" style="1385"/>
    <col min="12057" max="12057" width="15" style="1385" customWidth="1"/>
    <col min="12058" max="12058" width="6.453125" style="1385" customWidth="1"/>
    <col min="12059" max="12059" width="5.6328125" style="1385" customWidth="1"/>
    <col min="12060" max="12060" width="9.08984375" style="1385" customWidth="1"/>
    <col min="12061" max="12063" width="8.90625" style="1385"/>
    <col min="12064" max="12064" width="11.6328125" style="1385" customWidth="1"/>
    <col min="12065" max="12288" width="8.90625" style="1385"/>
    <col min="12289" max="12289" width="6.453125" style="1385" customWidth="1"/>
    <col min="12290" max="12290" width="43.36328125" style="1385" customWidth="1"/>
    <col min="12291" max="12291" width="11.08984375" style="1385" customWidth="1"/>
    <col min="12292" max="12292" width="13.08984375" style="1385" customWidth="1"/>
    <col min="12293" max="12293" width="13.90625" style="1385" customWidth="1"/>
    <col min="12294" max="12294" width="12.453125" style="1385" customWidth="1"/>
    <col min="12295" max="12295" width="13" style="1385" customWidth="1"/>
    <col min="12296" max="12296" width="11" style="1385" customWidth="1"/>
    <col min="12297" max="12297" width="9.90625" style="1385" customWidth="1"/>
    <col min="12298" max="12298" width="11.08984375" style="1385" customWidth="1"/>
    <col min="12299" max="12299" width="9.453125" style="1385" customWidth="1"/>
    <col min="12300" max="12300" width="9.54296875" style="1385" customWidth="1"/>
    <col min="12301" max="12301" width="10.81640625" style="1385" customWidth="1"/>
    <col min="12302" max="12302" width="6.54296875" style="1385" customWidth="1"/>
    <col min="12303" max="12303" width="7.54296875" style="1385" customWidth="1"/>
    <col min="12304" max="12304" width="10.08984375" style="1385" customWidth="1"/>
    <col min="12305" max="12305" width="9.453125" style="1385" customWidth="1"/>
    <col min="12306" max="12306" width="11" style="1385" customWidth="1"/>
    <col min="12307" max="12307" width="14" style="1385" customWidth="1"/>
    <col min="12308" max="12308" width="9.90625" style="1385" customWidth="1"/>
    <col min="12309" max="12312" width="8.90625" style="1385"/>
    <col min="12313" max="12313" width="15" style="1385" customWidth="1"/>
    <col min="12314" max="12314" width="6.453125" style="1385" customWidth="1"/>
    <col min="12315" max="12315" width="5.6328125" style="1385" customWidth="1"/>
    <col min="12316" max="12316" width="9.08984375" style="1385" customWidth="1"/>
    <col min="12317" max="12319" width="8.90625" style="1385"/>
    <col min="12320" max="12320" width="11.6328125" style="1385" customWidth="1"/>
    <col min="12321" max="12544" width="8.90625" style="1385"/>
    <col min="12545" max="12545" width="6.453125" style="1385" customWidth="1"/>
    <col min="12546" max="12546" width="43.36328125" style="1385" customWidth="1"/>
    <col min="12547" max="12547" width="11.08984375" style="1385" customWidth="1"/>
    <col min="12548" max="12548" width="13.08984375" style="1385" customWidth="1"/>
    <col min="12549" max="12549" width="13.90625" style="1385" customWidth="1"/>
    <col min="12550" max="12550" width="12.453125" style="1385" customWidth="1"/>
    <col min="12551" max="12551" width="13" style="1385" customWidth="1"/>
    <col min="12552" max="12552" width="11" style="1385" customWidth="1"/>
    <col min="12553" max="12553" width="9.90625" style="1385" customWidth="1"/>
    <col min="12554" max="12554" width="11.08984375" style="1385" customWidth="1"/>
    <col min="12555" max="12555" width="9.453125" style="1385" customWidth="1"/>
    <col min="12556" max="12556" width="9.54296875" style="1385" customWidth="1"/>
    <col min="12557" max="12557" width="10.81640625" style="1385" customWidth="1"/>
    <col min="12558" max="12558" width="6.54296875" style="1385" customWidth="1"/>
    <col min="12559" max="12559" width="7.54296875" style="1385" customWidth="1"/>
    <col min="12560" max="12560" width="10.08984375" style="1385" customWidth="1"/>
    <col min="12561" max="12561" width="9.453125" style="1385" customWidth="1"/>
    <col min="12562" max="12562" width="11" style="1385" customWidth="1"/>
    <col min="12563" max="12563" width="14" style="1385" customWidth="1"/>
    <col min="12564" max="12564" width="9.90625" style="1385" customWidth="1"/>
    <col min="12565" max="12568" width="8.90625" style="1385"/>
    <col min="12569" max="12569" width="15" style="1385" customWidth="1"/>
    <col min="12570" max="12570" width="6.453125" style="1385" customWidth="1"/>
    <col min="12571" max="12571" width="5.6328125" style="1385" customWidth="1"/>
    <col min="12572" max="12572" width="9.08984375" style="1385" customWidth="1"/>
    <col min="12573" max="12575" width="8.90625" style="1385"/>
    <col min="12576" max="12576" width="11.6328125" style="1385" customWidth="1"/>
    <col min="12577" max="12800" width="8.90625" style="1385"/>
    <col min="12801" max="12801" width="6.453125" style="1385" customWidth="1"/>
    <col min="12802" max="12802" width="43.36328125" style="1385" customWidth="1"/>
    <col min="12803" max="12803" width="11.08984375" style="1385" customWidth="1"/>
    <col min="12804" max="12804" width="13.08984375" style="1385" customWidth="1"/>
    <col min="12805" max="12805" width="13.90625" style="1385" customWidth="1"/>
    <col min="12806" max="12806" width="12.453125" style="1385" customWidth="1"/>
    <col min="12807" max="12807" width="13" style="1385" customWidth="1"/>
    <col min="12808" max="12808" width="11" style="1385" customWidth="1"/>
    <col min="12809" max="12809" width="9.90625" style="1385" customWidth="1"/>
    <col min="12810" max="12810" width="11.08984375" style="1385" customWidth="1"/>
    <col min="12811" max="12811" width="9.453125" style="1385" customWidth="1"/>
    <col min="12812" max="12812" width="9.54296875" style="1385" customWidth="1"/>
    <col min="12813" max="12813" width="10.81640625" style="1385" customWidth="1"/>
    <col min="12814" max="12814" width="6.54296875" style="1385" customWidth="1"/>
    <col min="12815" max="12815" width="7.54296875" style="1385" customWidth="1"/>
    <col min="12816" max="12816" width="10.08984375" style="1385" customWidth="1"/>
    <col min="12817" max="12817" width="9.453125" style="1385" customWidth="1"/>
    <col min="12818" max="12818" width="11" style="1385" customWidth="1"/>
    <col min="12819" max="12819" width="14" style="1385" customWidth="1"/>
    <col min="12820" max="12820" width="9.90625" style="1385" customWidth="1"/>
    <col min="12821" max="12824" width="8.90625" style="1385"/>
    <col min="12825" max="12825" width="15" style="1385" customWidth="1"/>
    <col min="12826" max="12826" width="6.453125" style="1385" customWidth="1"/>
    <col min="12827" max="12827" width="5.6328125" style="1385" customWidth="1"/>
    <col min="12828" max="12828" width="9.08984375" style="1385" customWidth="1"/>
    <col min="12829" max="12831" width="8.90625" style="1385"/>
    <col min="12832" max="12832" width="11.6328125" style="1385" customWidth="1"/>
    <col min="12833" max="13056" width="8.90625" style="1385"/>
    <col min="13057" max="13057" width="6.453125" style="1385" customWidth="1"/>
    <col min="13058" max="13058" width="43.36328125" style="1385" customWidth="1"/>
    <col min="13059" max="13059" width="11.08984375" style="1385" customWidth="1"/>
    <col min="13060" max="13060" width="13.08984375" style="1385" customWidth="1"/>
    <col min="13061" max="13061" width="13.90625" style="1385" customWidth="1"/>
    <col min="13062" max="13062" width="12.453125" style="1385" customWidth="1"/>
    <col min="13063" max="13063" width="13" style="1385" customWidth="1"/>
    <col min="13064" max="13064" width="11" style="1385" customWidth="1"/>
    <col min="13065" max="13065" width="9.90625" style="1385" customWidth="1"/>
    <col min="13066" max="13066" width="11.08984375" style="1385" customWidth="1"/>
    <col min="13067" max="13067" width="9.453125" style="1385" customWidth="1"/>
    <col min="13068" max="13068" width="9.54296875" style="1385" customWidth="1"/>
    <col min="13069" max="13069" width="10.81640625" style="1385" customWidth="1"/>
    <col min="13070" max="13070" width="6.54296875" style="1385" customWidth="1"/>
    <col min="13071" max="13071" width="7.54296875" style="1385" customWidth="1"/>
    <col min="13072" max="13072" width="10.08984375" style="1385" customWidth="1"/>
    <col min="13073" max="13073" width="9.453125" style="1385" customWidth="1"/>
    <col min="13074" max="13074" width="11" style="1385" customWidth="1"/>
    <col min="13075" max="13075" width="14" style="1385" customWidth="1"/>
    <col min="13076" max="13076" width="9.90625" style="1385" customWidth="1"/>
    <col min="13077" max="13080" width="8.90625" style="1385"/>
    <col min="13081" max="13081" width="15" style="1385" customWidth="1"/>
    <col min="13082" max="13082" width="6.453125" style="1385" customWidth="1"/>
    <col min="13083" max="13083" width="5.6328125" style="1385" customWidth="1"/>
    <col min="13084" max="13084" width="9.08984375" style="1385" customWidth="1"/>
    <col min="13085" max="13087" width="8.90625" style="1385"/>
    <col min="13088" max="13088" width="11.6328125" style="1385" customWidth="1"/>
    <col min="13089" max="13312" width="8.90625" style="1385"/>
    <col min="13313" max="13313" width="6.453125" style="1385" customWidth="1"/>
    <col min="13314" max="13314" width="43.36328125" style="1385" customWidth="1"/>
    <col min="13315" max="13315" width="11.08984375" style="1385" customWidth="1"/>
    <col min="13316" max="13316" width="13.08984375" style="1385" customWidth="1"/>
    <col min="13317" max="13317" width="13.90625" style="1385" customWidth="1"/>
    <col min="13318" max="13318" width="12.453125" style="1385" customWidth="1"/>
    <col min="13319" max="13319" width="13" style="1385" customWidth="1"/>
    <col min="13320" max="13320" width="11" style="1385" customWidth="1"/>
    <col min="13321" max="13321" width="9.90625" style="1385" customWidth="1"/>
    <col min="13322" max="13322" width="11.08984375" style="1385" customWidth="1"/>
    <col min="13323" max="13323" width="9.453125" style="1385" customWidth="1"/>
    <col min="13324" max="13324" width="9.54296875" style="1385" customWidth="1"/>
    <col min="13325" max="13325" width="10.81640625" style="1385" customWidth="1"/>
    <col min="13326" max="13326" width="6.54296875" style="1385" customWidth="1"/>
    <col min="13327" max="13327" width="7.54296875" style="1385" customWidth="1"/>
    <col min="13328" max="13328" width="10.08984375" style="1385" customWidth="1"/>
    <col min="13329" max="13329" width="9.453125" style="1385" customWidth="1"/>
    <col min="13330" max="13330" width="11" style="1385" customWidth="1"/>
    <col min="13331" max="13331" width="14" style="1385" customWidth="1"/>
    <col min="13332" max="13332" width="9.90625" style="1385" customWidth="1"/>
    <col min="13333" max="13336" width="8.90625" style="1385"/>
    <col min="13337" max="13337" width="15" style="1385" customWidth="1"/>
    <col min="13338" max="13338" width="6.453125" style="1385" customWidth="1"/>
    <col min="13339" max="13339" width="5.6328125" style="1385" customWidth="1"/>
    <col min="13340" max="13340" width="9.08984375" style="1385" customWidth="1"/>
    <col min="13341" max="13343" width="8.90625" style="1385"/>
    <col min="13344" max="13344" width="11.6328125" style="1385" customWidth="1"/>
    <col min="13345" max="13568" width="8.90625" style="1385"/>
    <col min="13569" max="13569" width="6.453125" style="1385" customWidth="1"/>
    <col min="13570" max="13570" width="43.36328125" style="1385" customWidth="1"/>
    <col min="13571" max="13571" width="11.08984375" style="1385" customWidth="1"/>
    <col min="13572" max="13572" width="13.08984375" style="1385" customWidth="1"/>
    <col min="13573" max="13573" width="13.90625" style="1385" customWidth="1"/>
    <col min="13574" max="13574" width="12.453125" style="1385" customWidth="1"/>
    <col min="13575" max="13575" width="13" style="1385" customWidth="1"/>
    <col min="13576" max="13576" width="11" style="1385" customWidth="1"/>
    <col min="13577" max="13577" width="9.90625" style="1385" customWidth="1"/>
    <col min="13578" max="13578" width="11.08984375" style="1385" customWidth="1"/>
    <col min="13579" max="13579" width="9.453125" style="1385" customWidth="1"/>
    <col min="13580" max="13580" width="9.54296875" style="1385" customWidth="1"/>
    <col min="13581" max="13581" width="10.81640625" style="1385" customWidth="1"/>
    <col min="13582" max="13582" width="6.54296875" style="1385" customWidth="1"/>
    <col min="13583" max="13583" width="7.54296875" style="1385" customWidth="1"/>
    <col min="13584" max="13584" width="10.08984375" style="1385" customWidth="1"/>
    <col min="13585" max="13585" width="9.453125" style="1385" customWidth="1"/>
    <col min="13586" max="13586" width="11" style="1385" customWidth="1"/>
    <col min="13587" max="13587" width="14" style="1385" customWidth="1"/>
    <col min="13588" max="13588" width="9.90625" style="1385" customWidth="1"/>
    <col min="13589" max="13592" width="8.90625" style="1385"/>
    <col min="13593" max="13593" width="15" style="1385" customWidth="1"/>
    <col min="13594" max="13594" width="6.453125" style="1385" customWidth="1"/>
    <col min="13595" max="13595" width="5.6328125" style="1385" customWidth="1"/>
    <col min="13596" max="13596" width="9.08984375" style="1385" customWidth="1"/>
    <col min="13597" max="13599" width="8.90625" style="1385"/>
    <col min="13600" max="13600" width="11.6328125" style="1385" customWidth="1"/>
    <col min="13601" max="13824" width="8.90625" style="1385"/>
    <col min="13825" max="13825" width="6.453125" style="1385" customWidth="1"/>
    <col min="13826" max="13826" width="43.36328125" style="1385" customWidth="1"/>
    <col min="13827" max="13827" width="11.08984375" style="1385" customWidth="1"/>
    <col min="13828" max="13828" width="13.08984375" style="1385" customWidth="1"/>
    <col min="13829" max="13829" width="13.90625" style="1385" customWidth="1"/>
    <col min="13830" max="13830" width="12.453125" style="1385" customWidth="1"/>
    <col min="13831" max="13831" width="13" style="1385" customWidth="1"/>
    <col min="13832" max="13832" width="11" style="1385" customWidth="1"/>
    <col min="13833" max="13833" width="9.90625" style="1385" customWidth="1"/>
    <col min="13834" max="13834" width="11.08984375" style="1385" customWidth="1"/>
    <col min="13835" max="13835" width="9.453125" style="1385" customWidth="1"/>
    <col min="13836" max="13836" width="9.54296875" style="1385" customWidth="1"/>
    <col min="13837" max="13837" width="10.81640625" style="1385" customWidth="1"/>
    <col min="13838" max="13838" width="6.54296875" style="1385" customWidth="1"/>
    <col min="13839" max="13839" width="7.54296875" style="1385" customWidth="1"/>
    <col min="13840" max="13840" width="10.08984375" style="1385" customWidth="1"/>
    <col min="13841" max="13841" width="9.453125" style="1385" customWidth="1"/>
    <col min="13842" max="13842" width="11" style="1385" customWidth="1"/>
    <col min="13843" max="13843" width="14" style="1385" customWidth="1"/>
    <col min="13844" max="13844" width="9.90625" style="1385" customWidth="1"/>
    <col min="13845" max="13848" width="8.90625" style="1385"/>
    <col min="13849" max="13849" width="15" style="1385" customWidth="1"/>
    <col min="13850" max="13850" width="6.453125" style="1385" customWidth="1"/>
    <col min="13851" max="13851" width="5.6328125" style="1385" customWidth="1"/>
    <col min="13852" max="13852" width="9.08984375" style="1385" customWidth="1"/>
    <col min="13853" max="13855" width="8.90625" style="1385"/>
    <col min="13856" max="13856" width="11.6328125" style="1385" customWidth="1"/>
    <col min="13857" max="14080" width="8.90625" style="1385"/>
    <col min="14081" max="14081" width="6.453125" style="1385" customWidth="1"/>
    <col min="14082" max="14082" width="43.36328125" style="1385" customWidth="1"/>
    <col min="14083" max="14083" width="11.08984375" style="1385" customWidth="1"/>
    <col min="14084" max="14084" width="13.08984375" style="1385" customWidth="1"/>
    <col min="14085" max="14085" width="13.90625" style="1385" customWidth="1"/>
    <col min="14086" max="14086" width="12.453125" style="1385" customWidth="1"/>
    <col min="14087" max="14087" width="13" style="1385" customWidth="1"/>
    <col min="14088" max="14088" width="11" style="1385" customWidth="1"/>
    <col min="14089" max="14089" width="9.90625" style="1385" customWidth="1"/>
    <col min="14090" max="14090" width="11.08984375" style="1385" customWidth="1"/>
    <col min="14091" max="14091" width="9.453125" style="1385" customWidth="1"/>
    <col min="14092" max="14092" width="9.54296875" style="1385" customWidth="1"/>
    <col min="14093" max="14093" width="10.81640625" style="1385" customWidth="1"/>
    <col min="14094" max="14094" width="6.54296875" style="1385" customWidth="1"/>
    <col min="14095" max="14095" width="7.54296875" style="1385" customWidth="1"/>
    <col min="14096" max="14096" width="10.08984375" style="1385" customWidth="1"/>
    <col min="14097" max="14097" width="9.453125" style="1385" customWidth="1"/>
    <col min="14098" max="14098" width="11" style="1385" customWidth="1"/>
    <col min="14099" max="14099" width="14" style="1385" customWidth="1"/>
    <col min="14100" max="14100" width="9.90625" style="1385" customWidth="1"/>
    <col min="14101" max="14104" width="8.90625" style="1385"/>
    <col min="14105" max="14105" width="15" style="1385" customWidth="1"/>
    <col min="14106" max="14106" width="6.453125" style="1385" customWidth="1"/>
    <col min="14107" max="14107" width="5.6328125" style="1385" customWidth="1"/>
    <col min="14108" max="14108" width="9.08984375" style="1385" customWidth="1"/>
    <col min="14109" max="14111" width="8.90625" style="1385"/>
    <col min="14112" max="14112" width="11.6328125" style="1385" customWidth="1"/>
    <col min="14113" max="14336" width="8.90625" style="1385"/>
    <col min="14337" max="14337" width="6.453125" style="1385" customWidth="1"/>
    <col min="14338" max="14338" width="43.36328125" style="1385" customWidth="1"/>
    <col min="14339" max="14339" width="11.08984375" style="1385" customWidth="1"/>
    <col min="14340" max="14340" width="13.08984375" style="1385" customWidth="1"/>
    <col min="14341" max="14341" width="13.90625" style="1385" customWidth="1"/>
    <col min="14342" max="14342" width="12.453125" style="1385" customWidth="1"/>
    <col min="14343" max="14343" width="13" style="1385" customWidth="1"/>
    <col min="14344" max="14344" width="11" style="1385" customWidth="1"/>
    <col min="14345" max="14345" width="9.90625" style="1385" customWidth="1"/>
    <col min="14346" max="14346" width="11.08984375" style="1385" customWidth="1"/>
    <col min="14347" max="14347" width="9.453125" style="1385" customWidth="1"/>
    <col min="14348" max="14348" width="9.54296875" style="1385" customWidth="1"/>
    <col min="14349" max="14349" width="10.81640625" style="1385" customWidth="1"/>
    <col min="14350" max="14350" width="6.54296875" style="1385" customWidth="1"/>
    <col min="14351" max="14351" width="7.54296875" style="1385" customWidth="1"/>
    <col min="14352" max="14352" width="10.08984375" style="1385" customWidth="1"/>
    <col min="14353" max="14353" width="9.453125" style="1385" customWidth="1"/>
    <col min="14354" max="14354" width="11" style="1385" customWidth="1"/>
    <col min="14355" max="14355" width="14" style="1385" customWidth="1"/>
    <col min="14356" max="14356" width="9.90625" style="1385" customWidth="1"/>
    <col min="14357" max="14360" width="8.90625" style="1385"/>
    <col min="14361" max="14361" width="15" style="1385" customWidth="1"/>
    <col min="14362" max="14362" width="6.453125" style="1385" customWidth="1"/>
    <col min="14363" max="14363" width="5.6328125" style="1385" customWidth="1"/>
    <col min="14364" max="14364" width="9.08984375" style="1385" customWidth="1"/>
    <col min="14365" max="14367" width="8.90625" style="1385"/>
    <col min="14368" max="14368" width="11.6328125" style="1385" customWidth="1"/>
    <col min="14369" max="14592" width="8.90625" style="1385"/>
    <col min="14593" max="14593" width="6.453125" style="1385" customWidth="1"/>
    <col min="14594" max="14594" width="43.36328125" style="1385" customWidth="1"/>
    <col min="14595" max="14595" width="11.08984375" style="1385" customWidth="1"/>
    <col min="14596" max="14596" width="13.08984375" style="1385" customWidth="1"/>
    <col min="14597" max="14597" width="13.90625" style="1385" customWidth="1"/>
    <col min="14598" max="14598" width="12.453125" style="1385" customWidth="1"/>
    <col min="14599" max="14599" width="13" style="1385" customWidth="1"/>
    <col min="14600" max="14600" width="11" style="1385" customWidth="1"/>
    <col min="14601" max="14601" width="9.90625" style="1385" customWidth="1"/>
    <col min="14602" max="14602" width="11.08984375" style="1385" customWidth="1"/>
    <col min="14603" max="14603" width="9.453125" style="1385" customWidth="1"/>
    <col min="14604" max="14604" width="9.54296875" style="1385" customWidth="1"/>
    <col min="14605" max="14605" width="10.81640625" style="1385" customWidth="1"/>
    <col min="14606" max="14606" width="6.54296875" style="1385" customWidth="1"/>
    <col min="14607" max="14607" width="7.54296875" style="1385" customWidth="1"/>
    <col min="14608" max="14608" width="10.08984375" style="1385" customWidth="1"/>
    <col min="14609" max="14609" width="9.453125" style="1385" customWidth="1"/>
    <col min="14610" max="14610" width="11" style="1385" customWidth="1"/>
    <col min="14611" max="14611" width="14" style="1385" customWidth="1"/>
    <col min="14612" max="14612" width="9.90625" style="1385" customWidth="1"/>
    <col min="14613" max="14616" width="8.90625" style="1385"/>
    <col min="14617" max="14617" width="15" style="1385" customWidth="1"/>
    <col min="14618" max="14618" width="6.453125" style="1385" customWidth="1"/>
    <col min="14619" max="14619" width="5.6328125" style="1385" customWidth="1"/>
    <col min="14620" max="14620" width="9.08984375" style="1385" customWidth="1"/>
    <col min="14621" max="14623" width="8.90625" style="1385"/>
    <col min="14624" max="14624" width="11.6328125" style="1385" customWidth="1"/>
    <col min="14625" max="14848" width="8.90625" style="1385"/>
    <col min="14849" max="14849" width="6.453125" style="1385" customWidth="1"/>
    <col min="14850" max="14850" width="43.36328125" style="1385" customWidth="1"/>
    <col min="14851" max="14851" width="11.08984375" style="1385" customWidth="1"/>
    <col min="14852" max="14852" width="13.08984375" style="1385" customWidth="1"/>
    <col min="14853" max="14853" width="13.90625" style="1385" customWidth="1"/>
    <col min="14854" max="14854" width="12.453125" style="1385" customWidth="1"/>
    <col min="14855" max="14855" width="13" style="1385" customWidth="1"/>
    <col min="14856" max="14856" width="11" style="1385" customWidth="1"/>
    <col min="14857" max="14857" width="9.90625" style="1385" customWidth="1"/>
    <col min="14858" max="14858" width="11.08984375" style="1385" customWidth="1"/>
    <col min="14859" max="14859" width="9.453125" style="1385" customWidth="1"/>
    <col min="14860" max="14860" width="9.54296875" style="1385" customWidth="1"/>
    <col min="14861" max="14861" width="10.81640625" style="1385" customWidth="1"/>
    <col min="14862" max="14862" width="6.54296875" style="1385" customWidth="1"/>
    <col min="14863" max="14863" width="7.54296875" style="1385" customWidth="1"/>
    <col min="14864" max="14864" width="10.08984375" style="1385" customWidth="1"/>
    <col min="14865" max="14865" width="9.453125" style="1385" customWidth="1"/>
    <col min="14866" max="14866" width="11" style="1385" customWidth="1"/>
    <col min="14867" max="14867" width="14" style="1385" customWidth="1"/>
    <col min="14868" max="14868" width="9.90625" style="1385" customWidth="1"/>
    <col min="14869" max="14872" width="8.90625" style="1385"/>
    <col min="14873" max="14873" width="15" style="1385" customWidth="1"/>
    <col min="14874" max="14874" width="6.453125" style="1385" customWidth="1"/>
    <col min="14875" max="14875" width="5.6328125" style="1385" customWidth="1"/>
    <col min="14876" max="14876" width="9.08984375" style="1385" customWidth="1"/>
    <col min="14877" max="14879" width="8.90625" style="1385"/>
    <col min="14880" max="14880" width="11.6328125" style="1385" customWidth="1"/>
    <col min="14881" max="15104" width="8.90625" style="1385"/>
    <col min="15105" max="15105" width="6.453125" style="1385" customWidth="1"/>
    <col min="15106" max="15106" width="43.36328125" style="1385" customWidth="1"/>
    <col min="15107" max="15107" width="11.08984375" style="1385" customWidth="1"/>
    <col min="15108" max="15108" width="13.08984375" style="1385" customWidth="1"/>
    <col min="15109" max="15109" width="13.90625" style="1385" customWidth="1"/>
    <col min="15110" max="15110" width="12.453125" style="1385" customWidth="1"/>
    <col min="15111" max="15111" width="13" style="1385" customWidth="1"/>
    <col min="15112" max="15112" width="11" style="1385" customWidth="1"/>
    <col min="15113" max="15113" width="9.90625" style="1385" customWidth="1"/>
    <col min="15114" max="15114" width="11.08984375" style="1385" customWidth="1"/>
    <col min="15115" max="15115" width="9.453125" style="1385" customWidth="1"/>
    <col min="15116" max="15116" width="9.54296875" style="1385" customWidth="1"/>
    <col min="15117" max="15117" width="10.81640625" style="1385" customWidth="1"/>
    <col min="15118" max="15118" width="6.54296875" style="1385" customWidth="1"/>
    <col min="15119" max="15119" width="7.54296875" style="1385" customWidth="1"/>
    <col min="15120" max="15120" width="10.08984375" style="1385" customWidth="1"/>
    <col min="15121" max="15121" width="9.453125" style="1385" customWidth="1"/>
    <col min="15122" max="15122" width="11" style="1385" customWidth="1"/>
    <col min="15123" max="15123" width="14" style="1385" customWidth="1"/>
    <col min="15124" max="15124" width="9.90625" style="1385" customWidth="1"/>
    <col min="15125" max="15128" width="8.90625" style="1385"/>
    <col min="15129" max="15129" width="15" style="1385" customWidth="1"/>
    <col min="15130" max="15130" width="6.453125" style="1385" customWidth="1"/>
    <col min="15131" max="15131" width="5.6328125" style="1385" customWidth="1"/>
    <col min="15132" max="15132" width="9.08984375" style="1385" customWidth="1"/>
    <col min="15133" max="15135" width="8.90625" style="1385"/>
    <col min="15136" max="15136" width="11.6328125" style="1385" customWidth="1"/>
    <col min="15137" max="15360" width="8.90625" style="1385"/>
    <col min="15361" max="15361" width="6.453125" style="1385" customWidth="1"/>
    <col min="15362" max="15362" width="43.36328125" style="1385" customWidth="1"/>
    <col min="15363" max="15363" width="11.08984375" style="1385" customWidth="1"/>
    <col min="15364" max="15364" width="13.08984375" style="1385" customWidth="1"/>
    <col min="15365" max="15365" width="13.90625" style="1385" customWidth="1"/>
    <col min="15366" max="15366" width="12.453125" style="1385" customWidth="1"/>
    <col min="15367" max="15367" width="13" style="1385" customWidth="1"/>
    <col min="15368" max="15368" width="11" style="1385" customWidth="1"/>
    <col min="15369" max="15369" width="9.90625" style="1385" customWidth="1"/>
    <col min="15370" max="15370" width="11.08984375" style="1385" customWidth="1"/>
    <col min="15371" max="15371" width="9.453125" style="1385" customWidth="1"/>
    <col min="15372" max="15372" width="9.54296875" style="1385" customWidth="1"/>
    <col min="15373" max="15373" width="10.81640625" style="1385" customWidth="1"/>
    <col min="15374" max="15374" width="6.54296875" style="1385" customWidth="1"/>
    <col min="15375" max="15375" width="7.54296875" style="1385" customWidth="1"/>
    <col min="15376" max="15376" width="10.08984375" style="1385" customWidth="1"/>
    <col min="15377" max="15377" width="9.453125" style="1385" customWidth="1"/>
    <col min="15378" max="15378" width="11" style="1385" customWidth="1"/>
    <col min="15379" max="15379" width="14" style="1385" customWidth="1"/>
    <col min="15380" max="15380" width="9.90625" style="1385" customWidth="1"/>
    <col min="15381" max="15384" width="8.90625" style="1385"/>
    <col min="15385" max="15385" width="15" style="1385" customWidth="1"/>
    <col min="15386" max="15386" width="6.453125" style="1385" customWidth="1"/>
    <col min="15387" max="15387" width="5.6328125" style="1385" customWidth="1"/>
    <col min="15388" max="15388" width="9.08984375" style="1385" customWidth="1"/>
    <col min="15389" max="15391" width="8.90625" style="1385"/>
    <col min="15392" max="15392" width="11.6328125" style="1385" customWidth="1"/>
    <col min="15393" max="15616" width="8.90625" style="1385"/>
    <col min="15617" max="15617" width="6.453125" style="1385" customWidth="1"/>
    <col min="15618" max="15618" width="43.36328125" style="1385" customWidth="1"/>
    <col min="15619" max="15619" width="11.08984375" style="1385" customWidth="1"/>
    <col min="15620" max="15620" width="13.08984375" style="1385" customWidth="1"/>
    <col min="15621" max="15621" width="13.90625" style="1385" customWidth="1"/>
    <col min="15622" max="15622" width="12.453125" style="1385" customWidth="1"/>
    <col min="15623" max="15623" width="13" style="1385" customWidth="1"/>
    <col min="15624" max="15624" width="11" style="1385" customWidth="1"/>
    <col min="15625" max="15625" width="9.90625" style="1385" customWidth="1"/>
    <col min="15626" max="15626" width="11.08984375" style="1385" customWidth="1"/>
    <col min="15627" max="15627" width="9.453125" style="1385" customWidth="1"/>
    <col min="15628" max="15628" width="9.54296875" style="1385" customWidth="1"/>
    <col min="15629" max="15629" width="10.81640625" style="1385" customWidth="1"/>
    <col min="15630" max="15630" width="6.54296875" style="1385" customWidth="1"/>
    <col min="15631" max="15631" width="7.54296875" style="1385" customWidth="1"/>
    <col min="15632" max="15632" width="10.08984375" style="1385" customWidth="1"/>
    <col min="15633" max="15633" width="9.453125" style="1385" customWidth="1"/>
    <col min="15634" max="15634" width="11" style="1385" customWidth="1"/>
    <col min="15635" max="15635" width="14" style="1385" customWidth="1"/>
    <col min="15636" max="15636" width="9.90625" style="1385" customWidth="1"/>
    <col min="15637" max="15640" width="8.90625" style="1385"/>
    <col min="15641" max="15641" width="15" style="1385" customWidth="1"/>
    <col min="15642" max="15642" width="6.453125" style="1385" customWidth="1"/>
    <col min="15643" max="15643" width="5.6328125" style="1385" customWidth="1"/>
    <col min="15644" max="15644" width="9.08984375" style="1385" customWidth="1"/>
    <col min="15645" max="15647" width="8.90625" style="1385"/>
    <col min="15648" max="15648" width="11.6328125" style="1385" customWidth="1"/>
    <col min="15649" max="15872" width="8.90625" style="1385"/>
    <col min="15873" max="15873" width="6.453125" style="1385" customWidth="1"/>
    <col min="15874" max="15874" width="43.36328125" style="1385" customWidth="1"/>
    <col min="15875" max="15875" width="11.08984375" style="1385" customWidth="1"/>
    <col min="15876" max="15876" width="13.08984375" style="1385" customWidth="1"/>
    <col min="15877" max="15877" width="13.90625" style="1385" customWidth="1"/>
    <col min="15878" max="15878" width="12.453125" style="1385" customWidth="1"/>
    <col min="15879" max="15879" width="13" style="1385" customWidth="1"/>
    <col min="15880" max="15880" width="11" style="1385" customWidth="1"/>
    <col min="15881" max="15881" width="9.90625" style="1385" customWidth="1"/>
    <col min="15882" max="15882" width="11.08984375" style="1385" customWidth="1"/>
    <col min="15883" max="15883" width="9.453125" style="1385" customWidth="1"/>
    <col min="15884" max="15884" width="9.54296875" style="1385" customWidth="1"/>
    <col min="15885" max="15885" width="10.81640625" style="1385" customWidth="1"/>
    <col min="15886" max="15886" width="6.54296875" style="1385" customWidth="1"/>
    <col min="15887" max="15887" width="7.54296875" style="1385" customWidth="1"/>
    <col min="15888" max="15888" width="10.08984375" style="1385" customWidth="1"/>
    <col min="15889" max="15889" width="9.453125" style="1385" customWidth="1"/>
    <col min="15890" max="15890" width="11" style="1385" customWidth="1"/>
    <col min="15891" max="15891" width="14" style="1385" customWidth="1"/>
    <col min="15892" max="15892" width="9.90625" style="1385" customWidth="1"/>
    <col min="15893" max="15896" width="8.90625" style="1385"/>
    <col min="15897" max="15897" width="15" style="1385" customWidth="1"/>
    <col min="15898" max="15898" width="6.453125" style="1385" customWidth="1"/>
    <col min="15899" max="15899" width="5.6328125" style="1385" customWidth="1"/>
    <col min="15900" max="15900" width="9.08984375" style="1385" customWidth="1"/>
    <col min="15901" max="15903" width="8.90625" style="1385"/>
    <col min="15904" max="15904" width="11.6328125" style="1385" customWidth="1"/>
    <col min="15905" max="16128" width="8.90625" style="1385"/>
    <col min="16129" max="16129" width="6.453125" style="1385" customWidth="1"/>
    <col min="16130" max="16130" width="43.36328125" style="1385" customWidth="1"/>
    <col min="16131" max="16131" width="11.08984375" style="1385" customWidth="1"/>
    <col min="16132" max="16132" width="13.08984375" style="1385" customWidth="1"/>
    <col min="16133" max="16133" width="13.90625" style="1385" customWidth="1"/>
    <col min="16134" max="16134" width="12.453125" style="1385" customWidth="1"/>
    <col min="16135" max="16135" width="13" style="1385" customWidth="1"/>
    <col min="16136" max="16136" width="11" style="1385" customWidth="1"/>
    <col min="16137" max="16137" width="9.90625" style="1385" customWidth="1"/>
    <col min="16138" max="16138" width="11.08984375" style="1385" customWidth="1"/>
    <col min="16139" max="16139" width="9.453125" style="1385" customWidth="1"/>
    <col min="16140" max="16140" width="9.54296875" style="1385" customWidth="1"/>
    <col min="16141" max="16141" width="10.81640625" style="1385" customWidth="1"/>
    <col min="16142" max="16142" width="6.54296875" style="1385" customWidth="1"/>
    <col min="16143" max="16143" width="7.54296875" style="1385" customWidth="1"/>
    <col min="16144" max="16144" width="10.08984375" style="1385" customWidth="1"/>
    <col min="16145" max="16145" width="9.453125" style="1385" customWidth="1"/>
    <col min="16146" max="16146" width="11" style="1385" customWidth="1"/>
    <col min="16147" max="16147" width="14" style="1385" customWidth="1"/>
    <col min="16148" max="16148" width="9.90625" style="1385" customWidth="1"/>
    <col min="16149" max="16152" width="8.90625" style="1385"/>
    <col min="16153" max="16153" width="15" style="1385" customWidth="1"/>
    <col min="16154" max="16154" width="6.453125" style="1385" customWidth="1"/>
    <col min="16155" max="16155" width="5.6328125" style="1385" customWidth="1"/>
    <col min="16156" max="16156" width="9.08984375" style="1385" customWidth="1"/>
    <col min="16157" max="16159" width="8.90625" style="1385"/>
    <col min="16160" max="16160" width="11.6328125" style="1385" customWidth="1"/>
    <col min="16161" max="16384" width="8.90625" style="1385"/>
  </cols>
  <sheetData>
    <row r="1" spans="1:36" ht="15.6">
      <c r="A1" s="358"/>
      <c r="B1" s="358"/>
      <c r="C1" s="358"/>
      <c r="D1" s="358"/>
      <c r="E1" s="359" t="s">
        <v>459</v>
      </c>
      <c r="F1" s="358"/>
      <c r="G1" s="358"/>
      <c r="H1" s="358"/>
      <c r="I1" s="358"/>
      <c r="J1" s="358"/>
      <c r="K1" s="358"/>
      <c r="L1" s="358"/>
      <c r="M1" s="358"/>
      <c r="N1" s="358"/>
      <c r="O1" s="358"/>
      <c r="P1" s="358"/>
      <c r="Q1" s="358"/>
    </row>
    <row r="2" spans="1:36" ht="15.6">
      <c r="A2" s="358"/>
      <c r="B2" s="358"/>
      <c r="D2" s="358"/>
      <c r="F2" s="359"/>
      <c r="G2" s="359"/>
      <c r="H2" s="359"/>
      <c r="I2" s="358"/>
      <c r="J2" s="358"/>
      <c r="K2" s="358"/>
      <c r="L2" s="358"/>
      <c r="M2" s="358"/>
      <c r="N2" s="358"/>
      <c r="O2" s="358"/>
      <c r="P2" s="361"/>
      <c r="Q2" s="358"/>
    </row>
    <row r="3" spans="1:36" ht="15.6">
      <c r="A3" s="358"/>
      <c r="B3" s="358"/>
      <c r="D3" s="358"/>
      <c r="E3" s="1596" t="s">
        <v>1158</v>
      </c>
      <c r="F3" s="363"/>
      <c r="G3" s="363"/>
      <c r="H3" s="364"/>
      <c r="I3" s="358"/>
      <c r="J3" s="358"/>
      <c r="L3" s="358"/>
      <c r="M3" s="358"/>
      <c r="N3" s="358"/>
      <c r="O3" s="358"/>
      <c r="P3" s="358"/>
      <c r="Q3" s="358"/>
    </row>
    <row r="4" spans="1:36" ht="15.6">
      <c r="A4" s="358"/>
      <c r="B4" s="358"/>
      <c r="D4" s="358"/>
      <c r="E4" s="362" t="s">
        <v>1159</v>
      </c>
      <c r="F4" s="363"/>
      <c r="G4" s="363"/>
      <c r="H4" s="365"/>
      <c r="I4" s="358"/>
      <c r="J4" s="358"/>
      <c r="K4" s="358"/>
      <c r="L4" s="358"/>
      <c r="M4" s="358"/>
      <c r="N4" s="358"/>
      <c r="O4" s="358"/>
      <c r="P4" s="358"/>
      <c r="Q4" s="358"/>
    </row>
    <row r="5" spans="1:36" ht="15.6">
      <c r="A5" s="358"/>
      <c r="B5" s="358"/>
      <c r="C5" s="358"/>
      <c r="D5" s="358"/>
      <c r="E5" s="358"/>
      <c r="F5" s="358"/>
      <c r="G5" s="358"/>
      <c r="H5" s="358"/>
      <c r="I5" s="358"/>
      <c r="J5" s="358"/>
      <c r="K5" s="358"/>
      <c r="L5" s="358"/>
      <c r="M5" s="358"/>
      <c r="N5" s="358"/>
      <c r="O5" s="358"/>
      <c r="P5" s="171"/>
      <c r="Q5" s="358"/>
    </row>
    <row r="6" spans="1:36" ht="17.399999999999999">
      <c r="A6" s="2469" t="s">
        <v>462</v>
      </c>
      <c r="B6" s="2469"/>
      <c r="C6" s="2469"/>
      <c r="D6" s="2469"/>
      <c r="E6" s="2469"/>
      <c r="F6" s="366"/>
      <c r="G6" s="366"/>
      <c r="H6" s="366"/>
      <c r="I6" s="358"/>
      <c r="J6" s="358"/>
      <c r="K6" s="358"/>
      <c r="L6" s="358"/>
      <c r="M6" s="358"/>
      <c r="N6" s="358"/>
      <c r="O6" s="358"/>
      <c r="P6" s="140"/>
      <c r="Q6" s="358"/>
    </row>
    <row r="7" spans="1:36" ht="17.399999999999999">
      <c r="A7" s="2469" t="str">
        <f>CC!E2</f>
        <v>BHILAI STEEL PLANT</v>
      </c>
      <c r="B7" s="2469"/>
      <c r="C7" s="2469"/>
      <c r="D7" s="2469"/>
      <c r="E7" s="2469"/>
      <c r="F7" s="366"/>
      <c r="G7" s="366"/>
      <c r="H7" s="366"/>
      <c r="I7" s="358"/>
      <c r="J7" s="358"/>
      <c r="K7" s="358"/>
      <c r="L7" s="358"/>
      <c r="M7" s="358"/>
      <c r="N7" s="358"/>
      <c r="O7" s="358"/>
      <c r="P7" s="358"/>
      <c r="Q7" s="358"/>
    </row>
    <row r="8" spans="1:36" ht="29.25" customHeight="1">
      <c r="A8" s="2548" t="str">
        <f>CC!C3</f>
        <v>Extension of mixer bay and replacement of 02 nos mixer cranes 125+30t, span 28 m in SMS-2</v>
      </c>
      <c r="B8" s="2548"/>
      <c r="C8" s="2548"/>
      <c r="D8" s="2548"/>
      <c r="E8" s="2548"/>
      <c r="F8" s="366"/>
      <c r="G8" s="366"/>
      <c r="H8" s="366"/>
      <c r="I8" s="358"/>
      <c r="J8" s="358"/>
      <c r="K8" s="358"/>
      <c r="L8" s="358"/>
      <c r="M8" s="358"/>
      <c r="N8" s="358"/>
      <c r="O8" s="358"/>
      <c r="P8" s="358"/>
      <c r="Q8" s="358"/>
    </row>
    <row r="9" spans="1:36" ht="15.6">
      <c r="A9" s="2473" t="s">
        <v>1177</v>
      </c>
      <c r="B9" s="2473"/>
      <c r="C9" s="2473"/>
      <c r="D9" s="2473"/>
      <c r="E9" s="2473"/>
      <c r="F9" s="367"/>
      <c r="G9" s="367"/>
      <c r="H9" s="367"/>
      <c r="I9" s="358"/>
      <c r="J9" s="358"/>
      <c r="K9" s="358"/>
      <c r="L9" s="358"/>
      <c r="M9" s="358"/>
      <c r="N9" s="358"/>
      <c r="O9" s="358"/>
      <c r="P9" s="358"/>
      <c r="Q9" s="358"/>
    </row>
    <row r="10" spans="1:36" ht="15.6">
      <c r="A10" s="2473" t="s">
        <v>1160</v>
      </c>
      <c r="B10" s="2473"/>
      <c r="C10" s="2473"/>
      <c r="D10" s="2473"/>
      <c r="E10" s="2473"/>
      <c r="F10" s="367"/>
      <c r="G10" s="367"/>
      <c r="H10" s="367"/>
      <c r="I10" s="358"/>
      <c r="J10" s="358"/>
      <c r="K10" s="358"/>
      <c r="L10" s="358"/>
      <c r="M10" s="358"/>
      <c r="N10" s="358"/>
      <c r="O10" s="358"/>
      <c r="P10" s="358"/>
      <c r="Q10" s="358"/>
    </row>
    <row r="11" spans="1:36" ht="15.6">
      <c r="A11" s="1386"/>
      <c r="B11" s="1387"/>
      <c r="C11" s="1388"/>
      <c r="D11" s="358"/>
      <c r="E11" s="1389"/>
      <c r="F11" s="374"/>
      <c r="G11" s="374"/>
      <c r="H11" s="374"/>
      <c r="I11" s="358"/>
      <c r="J11" s="358"/>
      <c r="K11" s="374"/>
      <c r="L11" s="358"/>
      <c r="M11" s="358"/>
      <c r="N11" s="358"/>
      <c r="O11" s="358"/>
      <c r="P11" s="358"/>
      <c r="Q11" s="358"/>
      <c r="S11" s="1390"/>
      <c r="T11" s="1391"/>
      <c r="U11" s="1391"/>
      <c r="V11" s="1392"/>
      <c r="W11" s="1391"/>
      <c r="AE11" s="1391"/>
      <c r="AF11" s="1391"/>
      <c r="AG11" s="1391"/>
      <c r="AH11" s="1391"/>
      <c r="AI11" s="1391"/>
      <c r="AJ11" s="1391"/>
    </row>
    <row r="12" spans="1:36" ht="16.2" thickBot="1">
      <c r="A12" s="1393"/>
      <c r="B12" s="1394"/>
      <c r="C12" s="1395"/>
      <c r="D12" s="372"/>
      <c r="E12" s="1396" t="s">
        <v>467</v>
      </c>
      <c r="F12" s="374"/>
      <c r="G12" s="374"/>
      <c r="H12" s="374"/>
      <c r="I12" s="358"/>
      <c r="J12" s="358"/>
      <c r="K12" s="374"/>
      <c r="L12" s="358"/>
      <c r="M12" s="358"/>
      <c r="N12" s="358"/>
      <c r="O12" s="358"/>
      <c r="P12" s="358"/>
      <c r="Q12" s="358"/>
      <c r="S12" s="1390"/>
      <c r="T12" s="1391"/>
      <c r="U12" s="1391"/>
      <c r="V12" s="1392"/>
      <c r="W12" s="1391"/>
      <c r="AE12" s="1391"/>
      <c r="AF12" s="1391"/>
      <c r="AG12" s="1391"/>
      <c r="AH12" s="1391"/>
      <c r="AI12" s="1391"/>
      <c r="AJ12" s="1391"/>
    </row>
    <row r="13" spans="1:36" s="1407" customFormat="1" ht="24.75" customHeight="1" thickBot="1">
      <c r="A13" s="1397" t="s">
        <v>469</v>
      </c>
      <c r="B13" s="1398" t="s">
        <v>470</v>
      </c>
      <c r="C13" s="1399" t="s">
        <v>37</v>
      </c>
      <c r="D13" s="1400" t="s">
        <v>32</v>
      </c>
      <c r="E13" s="1401" t="s">
        <v>9</v>
      </c>
      <c r="F13" s="393"/>
      <c r="G13" s="393"/>
      <c r="H13" s="1402"/>
      <c r="I13" s="1402"/>
      <c r="J13" s="1402"/>
      <c r="K13" s="1402"/>
      <c r="L13" s="383"/>
      <c r="M13" s="383"/>
      <c r="N13" s="383"/>
      <c r="O13" s="383"/>
      <c r="P13" s="383"/>
      <c r="Q13" s="1403"/>
      <c r="R13" s="383"/>
      <c r="S13" s="1404"/>
      <c r="T13" s="1405"/>
      <c r="U13" s="1405"/>
      <c r="V13" s="1405"/>
      <c r="W13" s="1405"/>
      <c r="X13" s="383"/>
      <c r="Y13" s="383"/>
      <c r="Z13" s="383"/>
      <c r="AA13" s="383"/>
      <c r="AB13" s="1406"/>
      <c r="AE13" s="1408"/>
      <c r="AF13" s="1405"/>
      <c r="AG13" s="1405"/>
      <c r="AH13" s="1405"/>
      <c r="AI13" s="1405"/>
      <c r="AJ13" s="1405"/>
    </row>
    <row r="14" spans="1:36" ht="20.25" customHeight="1">
      <c r="A14" s="1409">
        <v>1</v>
      </c>
      <c r="B14" s="1410" t="s">
        <v>1161</v>
      </c>
      <c r="C14" s="1411">
        <f>C55</f>
        <v>0</v>
      </c>
      <c r="D14" s="1412">
        <f>SUM(D55:G55)</f>
        <v>0.22841077568544654</v>
      </c>
      <c r="E14" s="1413">
        <f>C14+D14</f>
        <v>0.22841077568544654</v>
      </c>
      <c r="F14" s="368"/>
      <c r="G14" s="368"/>
      <c r="H14" s="1414"/>
      <c r="I14" s="393"/>
      <c r="J14" s="1414"/>
      <c r="K14" s="393"/>
      <c r="L14" s="358"/>
      <c r="M14" s="358"/>
      <c r="N14" s="358"/>
      <c r="O14" s="358"/>
      <c r="P14" s="394"/>
      <c r="Q14" s="395"/>
      <c r="R14" s="396"/>
      <c r="S14" s="1415"/>
      <c r="T14" s="1391"/>
      <c r="U14" s="1391"/>
      <c r="V14" s="1391"/>
      <c r="W14" s="1391"/>
      <c r="X14" s="396"/>
      <c r="Y14" s="396"/>
      <c r="Z14" s="396"/>
      <c r="AA14" s="396"/>
      <c r="AB14" s="396"/>
      <c r="AE14" s="1416"/>
      <c r="AF14" s="1417"/>
      <c r="AG14" s="1391"/>
      <c r="AH14" s="1391"/>
      <c r="AI14" s="1391"/>
      <c r="AJ14" s="1391"/>
    </row>
    <row r="15" spans="1:36" ht="30">
      <c r="A15" s="1409">
        <v>2</v>
      </c>
      <c r="B15" s="1418" t="s">
        <v>472</v>
      </c>
      <c r="C15" s="1411">
        <f>C56+C57+C58</f>
        <v>0</v>
      </c>
      <c r="D15" s="1412">
        <f>SUM(D56:G58)</f>
        <v>0.226830679643925</v>
      </c>
      <c r="E15" s="1413">
        <f t="shared" ref="E15:E34" si="0">C15+D15</f>
        <v>0.226830679643925</v>
      </c>
      <c r="F15" s="358"/>
      <c r="G15" s="358"/>
      <c r="H15" s="395"/>
      <c r="I15" s="361"/>
      <c r="J15" s="395"/>
      <c r="K15" s="1419"/>
      <c r="L15" s="403"/>
      <c r="M15" s="403"/>
      <c r="N15" s="403"/>
      <c r="O15" s="403"/>
      <c r="P15" s="394"/>
      <c r="Q15" s="395"/>
      <c r="R15" s="396"/>
      <c r="S15" s="1420"/>
      <c r="T15" s="1421"/>
      <c r="U15" s="1422"/>
      <c r="V15" s="1422"/>
      <c r="W15" s="1423"/>
      <c r="X15" s="396"/>
      <c r="Y15" s="396"/>
      <c r="Z15" s="396"/>
      <c r="AA15" s="396"/>
      <c r="AB15" s="396"/>
      <c r="AE15" s="1416"/>
      <c r="AF15" s="1417"/>
      <c r="AG15" s="1391"/>
      <c r="AH15" s="1424"/>
      <c r="AI15" s="1391"/>
      <c r="AJ15" s="1391"/>
    </row>
    <row r="16" spans="1:36" ht="32.25" customHeight="1">
      <c r="A16" s="1409">
        <v>3</v>
      </c>
      <c r="B16" s="1418" t="s">
        <v>473</v>
      </c>
      <c r="C16" s="1411"/>
      <c r="D16" s="1412">
        <f>SUM(D59:G59)</f>
        <v>3.1614796000000003</v>
      </c>
      <c r="E16" s="1413">
        <f t="shared" si="0"/>
        <v>3.1614796000000003</v>
      </c>
      <c r="F16" s="410"/>
      <c r="G16" s="410"/>
      <c r="H16" s="411"/>
      <c r="I16" s="412"/>
      <c r="J16" s="411"/>
      <c r="K16" s="412"/>
      <c r="L16" s="358"/>
      <c r="M16" s="358"/>
      <c r="N16" s="358"/>
      <c r="O16" s="358"/>
      <c r="P16" s="394"/>
      <c r="Q16" s="395"/>
      <c r="R16" s="396"/>
      <c r="S16" s="1420"/>
      <c r="T16" s="1425"/>
      <c r="U16" s="1422"/>
      <c r="V16" s="1422"/>
      <c r="W16" s="1423"/>
      <c r="X16" s="396"/>
      <c r="Y16" s="396"/>
      <c r="Z16" s="396"/>
      <c r="AA16" s="396"/>
      <c r="AB16" s="396"/>
      <c r="AE16" s="1391"/>
      <c r="AF16" s="1391"/>
      <c r="AG16" s="1391"/>
      <c r="AH16" s="1391"/>
      <c r="AI16" s="1391"/>
      <c r="AJ16" s="1391"/>
    </row>
    <row r="17" spans="1:36" ht="18.75" customHeight="1">
      <c r="A17" s="1409">
        <v>4</v>
      </c>
      <c r="B17" s="1426" t="s">
        <v>474</v>
      </c>
      <c r="C17" s="1411">
        <f>C60</f>
        <v>0</v>
      </c>
      <c r="D17" s="409">
        <f>SUM(D60:G60)</f>
        <v>0</v>
      </c>
      <c r="E17" s="391">
        <f t="shared" si="0"/>
        <v>0</v>
      </c>
      <c r="F17" s="410"/>
      <c r="G17" s="410"/>
      <c r="H17" s="396"/>
      <c r="I17" s="394"/>
      <c r="J17" s="396"/>
      <c r="K17" s="1427"/>
      <c r="L17" s="361"/>
      <c r="M17" s="361"/>
      <c r="N17" s="361"/>
      <c r="O17" s="361"/>
      <c r="P17" s="394"/>
      <c r="Q17" s="395"/>
      <c r="R17" s="396"/>
      <c r="S17" s="1428"/>
      <c r="T17" s="1429"/>
      <c r="U17" s="1428"/>
      <c r="V17" s="1428"/>
      <c r="W17" s="1428"/>
      <c r="X17" s="396"/>
      <c r="Y17" s="396"/>
      <c r="Z17" s="396"/>
      <c r="AA17" s="396"/>
      <c r="AB17" s="396"/>
      <c r="AE17" s="1428"/>
      <c r="AF17" s="1428"/>
      <c r="AG17" s="1430"/>
      <c r="AH17" s="1430"/>
      <c r="AI17" s="1422"/>
      <c r="AJ17" s="1391"/>
    </row>
    <row r="18" spans="1:36" ht="36" customHeight="1">
      <c r="A18" s="1409">
        <v>5</v>
      </c>
      <c r="B18" s="1418" t="s">
        <v>475</v>
      </c>
      <c r="C18" s="1411"/>
      <c r="D18" s="1412">
        <f>SUM(D62:G62)</f>
        <v>0.63800717335652191</v>
      </c>
      <c r="E18" s="1413">
        <f t="shared" si="0"/>
        <v>0.63800717335652191</v>
      </c>
      <c r="F18" s="358"/>
      <c r="G18" s="410"/>
      <c r="H18" s="411"/>
      <c r="I18" s="412"/>
      <c r="J18" s="411"/>
      <c r="K18" s="412"/>
      <c r="L18" s="358"/>
      <c r="M18" s="358"/>
      <c r="N18" s="358"/>
      <c r="O18" s="358"/>
      <c r="P18" s="394"/>
      <c r="Q18" s="395"/>
      <c r="R18" s="396"/>
      <c r="S18" s="1391"/>
      <c r="T18" s="1391"/>
      <c r="U18" s="1391"/>
      <c r="V18" s="1391"/>
      <c r="W18" s="1428"/>
      <c r="X18" s="396"/>
      <c r="Y18" s="396"/>
      <c r="Z18" s="396"/>
      <c r="AA18" s="396"/>
      <c r="AB18" s="396"/>
      <c r="AE18" s="1428"/>
      <c r="AF18" s="1428"/>
      <c r="AI18" s="1431"/>
      <c r="AJ18" s="1391"/>
    </row>
    <row r="19" spans="1:36" ht="35.25" customHeight="1">
      <c r="A19" s="1409">
        <v>6</v>
      </c>
      <c r="B19" s="1418" t="s">
        <v>1162</v>
      </c>
      <c r="C19" s="1427"/>
      <c r="D19" s="1412">
        <f>SUM(D61:G61)</f>
        <v>3.8361358782608705E-2</v>
      </c>
      <c r="E19" s="1413">
        <f t="shared" si="0"/>
        <v>3.8361358782608705E-2</v>
      </c>
      <c r="F19" s="358"/>
      <c r="G19" s="410"/>
      <c r="H19" s="411"/>
      <c r="I19" s="412"/>
      <c r="J19" s="411"/>
      <c r="K19" s="412"/>
      <c r="L19" s="358"/>
      <c r="M19" s="358"/>
      <c r="N19" s="358"/>
      <c r="O19" s="358"/>
      <c r="P19" s="394"/>
      <c r="Q19" s="395"/>
      <c r="R19" s="396"/>
      <c r="S19" s="1391"/>
      <c r="T19" s="1391"/>
      <c r="U19" s="1391"/>
      <c r="V19" s="1391"/>
      <c r="W19" s="1428"/>
      <c r="X19" s="396"/>
      <c r="Y19" s="396"/>
      <c r="Z19" s="396"/>
      <c r="AA19" s="396"/>
      <c r="AB19" s="396"/>
      <c r="AE19" s="1428"/>
      <c r="AF19" s="1428"/>
      <c r="AI19" s="1431"/>
      <c r="AJ19" s="1391"/>
    </row>
    <row r="20" spans="1:36" ht="48.75" customHeight="1">
      <c r="A20" s="1409">
        <v>7</v>
      </c>
      <c r="B20" s="1418" t="s">
        <v>1163</v>
      </c>
      <c r="C20" s="1432"/>
      <c r="D20" s="1412">
        <f>SUM(D63:G66)</f>
        <v>0.18893596231105</v>
      </c>
      <c r="E20" s="1413">
        <f t="shared" si="0"/>
        <v>0.18893596231105</v>
      </c>
      <c r="H20" s="411"/>
      <c r="I20" s="412"/>
      <c r="J20" s="411"/>
      <c r="K20" s="412"/>
    </row>
    <row r="21" spans="1:36" ht="35.25" customHeight="1">
      <c r="A21" s="1409">
        <v>8</v>
      </c>
      <c r="B21" s="400" t="s">
        <v>1164</v>
      </c>
      <c r="C21" s="1432"/>
      <c r="D21" s="1412">
        <f>SUM(D67:G67)</f>
        <v>0.58008800000000005</v>
      </c>
      <c r="E21" s="1413">
        <f t="shared" si="0"/>
        <v>0.58008800000000005</v>
      </c>
      <c r="H21" s="411"/>
      <c r="I21" s="412"/>
      <c r="J21" s="411"/>
      <c r="K21" s="412"/>
    </row>
    <row r="22" spans="1:36" ht="39.75" customHeight="1">
      <c r="A22" s="1409">
        <v>9</v>
      </c>
      <c r="B22" s="1433" t="s">
        <v>1165</v>
      </c>
      <c r="C22" s="1434">
        <f>C68</f>
        <v>0</v>
      </c>
      <c r="D22" s="423"/>
      <c r="E22" s="391">
        <f t="shared" si="0"/>
        <v>0</v>
      </c>
      <c r="F22" s="358"/>
      <c r="G22" s="411"/>
      <c r="H22" s="411"/>
      <c r="I22" s="424"/>
      <c r="J22" s="411"/>
      <c r="K22" s="1419"/>
      <c r="L22" s="361"/>
      <c r="M22" s="361"/>
      <c r="N22" s="361"/>
      <c r="O22" s="361"/>
      <c r="P22" s="394"/>
      <c r="Q22" s="395"/>
      <c r="R22" s="396"/>
      <c r="S22" s="1435"/>
      <c r="T22" s="1436"/>
      <c r="U22" s="1437"/>
      <c r="V22" s="1438"/>
      <c r="W22" s="1439"/>
      <c r="X22" s="396"/>
      <c r="Y22" s="396"/>
      <c r="Z22" s="396"/>
      <c r="AA22" s="396"/>
      <c r="AB22" s="396"/>
      <c r="AE22" s="1436"/>
      <c r="AF22" s="1440"/>
      <c r="AG22" s="1441"/>
      <c r="AH22" s="1432"/>
      <c r="AI22" s="1417"/>
      <c r="AJ22" s="1391"/>
    </row>
    <row r="23" spans="1:36" ht="54" customHeight="1">
      <c r="A23" s="1409">
        <v>10</v>
      </c>
      <c r="B23" s="1442" t="s">
        <v>1166</v>
      </c>
      <c r="C23" s="1443">
        <f>C69</f>
        <v>0</v>
      </c>
      <c r="D23" s="409"/>
      <c r="E23" s="391">
        <f t="shared" si="0"/>
        <v>0</v>
      </c>
      <c r="F23" s="358"/>
      <c r="G23" s="410"/>
      <c r="H23" s="396"/>
      <c r="I23" s="394"/>
      <c r="J23" s="396"/>
      <c r="K23" s="1427"/>
      <c r="L23" s="361"/>
      <c r="M23" s="361"/>
      <c r="N23" s="361"/>
      <c r="O23" s="361"/>
      <c r="P23" s="367"/>
      <c r="Q23" s="433"/>
      <c r="R23" s="410"/>
      <c r="S23" s="1444"/>
      <c r="T23" s="1436"/>
      <c r="U23" s="1437"/>
      <c r="V23" s="1438"/>
      <c r="W23" s="1439"/>
      <c r="X23" s="410"/>
      <c r="Y23" s="410"/>
      <c r="Z23" s="410"/>
      <c r="AA23" s="396"/>
      <c r="AB23" s="396"/>
      <c r="AE23" s="1436"/>
      <c r="AF23" s="1440"/>
      <c r="AG23" s="1445"/>
      <c r="AI23" s="1391"/>
      <c r="AJ23" s="1391"/>
    </row>
    <row r="24" spans="1:36" ht="47.25" customHeight="1">
      <c r="A24" s="1409">
        <v>11</v>
      </c>
      <c r="B24" s="1433" t="s">
        <v>1167</v>
      </c>
      <c r="C24" s="1443">
        <f>C70</f>
        <v>0</v>
      </c>
      <c r="D24" s="409">
        <f>G71</f>
        <v>0</v>
      </c>
      <c r="E24" s="391">
        <f t="shared" si="0"/>
        <v>0</v>
      </c>
      <c r="F24" s="358"/>
      <c r="G24" s="410"/>
      <c r="H24" s="411"/>
      <c r="I24" s="1446"/>
      <c r="J24" s="411"/>
      <c r="K24" s="411"/>
      <c r="L24" s="361"/>
      <c r="M24" s="361"/>
      <c r="N24" s="361"/>
      <c r="O24" s="361"/>
      <c r="P24" s="367"/>
      <c r="Q24" s="433"/>
      <c r="R24" s="410"/>
      <c r="S24" s="1444"/>
      <c r="T24" s="1436"/>
      <c r="U24" s="1437"/>
      <c r="V24" s="1438"/>
      <c r="W24" s="1439"/>
      <c r="X24" s="410"/>
      <c r="Y24" s="410"/>
      <c r="Z24" s="410"/>
      <c r="AA24" s="396"/>
      <c r="AB24" s="396"/>
      <c r="AE24" s="1447"/>
      <c r="AF24" s="1440"/>
      <c r="AG24" s="1445"/>
      <c r="AI24" s="1391"/>
      <c r="AJ24" s="1391"/>
    </row>
    <row r="25" spans="1:36" ht="34.5" customHeight="1">
      <c r="A25" s="1409">
        <v>12</v>
      </c>
      <c r="B25" s="1433" t="s">
        <v>481</v>
      </c>
      <c r="D25" s="1448" t="s">
        <v>482</v>
      </c>
      <c r="E25" s="1449"/>
      <c r="F25" s="358"/>
      <c r="G25" s="410"/>
      <c r="H25" s="411"/>
      <c r="I25" s="440"/>
      <c r="J25" s="411"/>
      <c r="K25" s="441"/>
      <c r="L25" s="361"/>
      <c r="M25" s="361"/>
      <c r="N25" s="361"/>
      <c r="O25" s="361"/>
      <c r="P25" s="394"/>
      <c r="Q25" s="395"/>
      <c r="R25" s="396"/>
      <c r="S25" s="1435"/>
      <c r="T25" s="1450"/>
      <c r="U25" s="1422"/>
      <c r="V25" s="1451"/>
      <c r="W25" s="1423"/>
      <c r="X25" s="396"/>
      <c r="Y25" s="396"/>
      <c r="Z25" s="396"/>
      <c r="AB25" s="396"/>
      <c r="AE25" s="1452"/>
      <c r="AF25" s="1440"/>
      <c r="AG25" s="1445"/>
      <c r="AI25" s="1391"/>
      <c r="AJ25" s="1391"/>
    </row>
    <row r="26" spans="1:36" s="1462" customFormat="1" ht="15.6">
      <c r="A26" s="1453">
        <v>13</v>
      </c>
      <c r="B26" s="1454" t="s">
        <v>1168</v>
      </c>
      <c r="C26" s="1455">
        <f>C71</f>
        <v>0</v>
      </c>
      <c r="D26" s="1456">
        <f>SUM(D72:G72)</f>
        <v>0</v>
      </c>
      <c r="E26" s="1455">
        <f>C26+D26</f>
        <v>0</v>
      </c>
      <c r="F26" s="358"/>
      <c r="G26" s="410"/>
      <c r="H26" s="411">
        <v>0</v>
      </c>
      <c r="I26" s="440"/>
      <c r="J26" s="411"/>
      <c r="K26" s="441"/>
      <c r="L26" s="361"/>
      <c r="M26" s="361"/>
      <c r="N26" s="361"/>
      <c r="O26" s="361"/>
      <c r="P26" s="394"/>
      <c r="Q26" s="395"/>
      <c r="R26" s="396"/>
      <c r="S26" s="1457"/>
      <c r="T26" s="1458"/>
      <c r="U26" s="1459"/>
      <c r="V26" s="1460"/>
      <c r="W26" s="1461"/>
      <c r="X26" s="396"/>
      <c r="Y26" s="396"/>
      <c r="Z26" s="396"/>
      <c r="AB26" s="396"/>
      <c r="AE26" s="1463"/>
      <c r="AF26" s="1464"/>
      <c r="AG26" s="1465"/>
      <c r="AI26" s="1466"/>
      <c r="AJ26" s="1466"/>
    </row>
    <row r="27" spans="1:36" ht="15.6" hidden="1">
      <c r="A27" s="1467">
        <v>14</v>
      </c>
      <c r="B27" s="1468" t="s">
        <v>483</v>
      </c>
      <c r="C27" s="1469">
        <f>SUM(C14:C24)</f>
        <v>0</v>
      </c>
      <c r="D27" s="1469">
        <f>SUM(D14:D26)</f>
        <v>5.0621135497795526</v>
      </c>
      <c r="E27" s="447">
        <f t="shared" si="0"/>
        <v>5.0621135497795526</v>
      </c>
      <c r="F27" s="358"/>
      <c r="G27" s="410"/>
      <c r="H27" s="448"/>
      <c r="I27" s="449"/>
      <c r="J27" s="450"/>
      <c r="K27" s="451"/>
      <c r="L27" s="358"/>
      <c r="M27" s="358"/>
      <c r="N27" s="358"/>
      <c r="O27" s="358"/>
      <c r="P27" s="394"/>
      <c r="Q27" s="395"/>
      <c r="R27" s="396"/>
      <c r="S27" s="1435"/>
      <c r="T27" s="1450"/>
      <c r="U27" s="1422"/>
      <c r="V27" s="1451"/>
      <c r="W27" s="1423"/>
      <c r="X27" s="396"/>
      <c r="Y27" s="396"/>
      <c r="Z27" s="396"/>
      <c r="AB27" s="396"/>
      <c r="AE27" s="1452"/>
      <c r="AF27" s="1440"/>
      <c r="AG27" s="1445"/>
      <c r="AI27" s="1391"/>
      <c r="AJ27" s="1391"/>
    </row>
    <row r="28" spans="1:36" ht="15.6" hidden="1">
      <c r="A28" s="1409">
        <v>15</v>
      </c>
      <c r="B28" s="1470" t="s">
        <v>484</v>
      </c>
      <c r="C28" s="1471">
        <v>0</v>
      </c>
      <c r="D28" s="1472"/>
      <c r="E28" s="1472"/>
      <c r="F28" s="455"/>
      <c r="G28" s="358"/>
      <c r="H28" s="358"/>
      <c r="L28" s="358"/>
      <c r="M28" s="358"/>
      <c r="N28" s="358"/>
      <c r="O28" s="358"/>
      <c r="P28" s="358"/>
      <c r="Q28" s="358"/>
      <c r="S28" s="1473"/>
      <c r="T28" s="1474"/>
      <c r="U28" s="1428"/>
      <c r="V28" s="1475"/>
      <c r="W28" s="1429"/>
      <c r="AE28" s="1429"/>
      <c r="AF28" s="1429"/>
      <c r="AI28" s="1429"/>
      <c r="AJ28" s="1391">
        <f>AE28-AI28</f>
        <v>0</v>
      </c>
    </row>
    <row r="29" spans="1:36" ht="15.6" hidden="1">
      <c r="A29" s="1476" t="s">
        <v>298</v>
      </c>
      <c r="B29" s="1477" t="s">
        <v>1169</v>
      </c>
      <c r="C29" s="1411"/>
      <c r="D29" s="1478">
        <f>+(C15+C16+C17+C24)*0.075</f>
        <v>0</v>
      </c>
      <c r="E29" s="391">
        <f t="shared" si="0"/>
        <v>0</v>
      </c>
      <c r="F29" s="358"/>
      <c r="G29" s="358"/>
      <c r="H29" s="358"/>
      <c r="L29" s="358"/>
      <c r="M29" s="358"/>
      <c r="N29" s="358"/>
      <c r="O29" s="358"/>
      <c r="P29" s="358"/>
      <c r="Q29" s="358"/>
      <c r="S29" s="1391"/>
      <c r="T29" s="1479"/>
      <c r="U29" s="1430"/>
      <c r="V29" s="1447"/>
      <c r="W29" s="1447"/>
      <c r="AE29" s="1391"/>
      <c r="AF29" s="1391"/>
      <c r="AI29" s="1391"/>
      <c r="AJ29" s="1391"/>
    </row>
    <row r="30" spans="1:36" ht="15.6" hidden="1">
      <c r="A30" s="1476" t="s">
        <v>346</v>
      </c>
      <c r="B30" s="1426" t="s">
        <v>486</v>
      </c>
      <c r="C30" s="1411"/>
      <c r="D30" s="1478">
        <f>+(D29)*0.1</f>
        <v>0</v>
      </c>
      <c r="E30" s="391">
        <f t="shared" si="0"/>
        <v>0</v>
      </c>
      <c r="F30" s="358"/>
      <c r="G30" s="358"/>
      <c r="H30" s="358"/>
      <c r="I30" s="358"/>
      <c r="J30" s="358"/>
      <c r="K30" s="358"/>
      <c r="L30" s="358"/>
      <c r="M30" s="358"/>
      <c r="N30" s="358"/>
      <c r="O30" s="358"/>
      <c r="P30" s="358"/>
      <c r="Q30" s="358"/>
      <c r="S30" s="1440"/>
      <c r="T30" s="1480"/>
      <c r="U30" s="1430"/>
      <c r="V30" s="1447"/>
      <c r="W30" s="1447"/>
      <c r="AE30" s="1391"/>
      <c r="AF30" s="1391"/>
      <c r="AI30" s="1391"/>
      <c r="AJ30" s="1391"/>
    </row>
    <row r="31" spans="1:36" ht="15.6" hidden="1">
      <c r="A31" s="1476" t="s">
        <v>347</v>
      </c>
      <c r="B31" s="1426" t="s">
        <v>487</v>
      </c>
      <c r="C31" s="1411"/>
      <c r="D31" s="1478">
        <f>((C15+C16+C17+C24)+D29+D30)*0.18</f>
        <v>0</v>
      </c>
      <c r="E31" s="391">
        <f t="shared" si="0"/>
        <v>0</v>
      </c>
      <c r="F31" s="358"/>
      <c r="G31" s="358"/>
      <c r="H31" s="358"/>
      <c r="I31" s="358"/>
      <c r="J31" s="358"/>
      <c r="K31" s="358"/>
      <c r="L31" s="358"/>
      <c r="M31" s="358"/>
      <c r="N31" s="358"/>
      <c r="O31" s="358"/>
      <c r="P31" s="358"/>
      <c r="Q31" s="358"/>
      <c r="S31" s="1440"/>
      <c r="T31" s="1480"/>
      <c r="U31" s="1430"/>
      <c r="V31" s="1447"/>
      <c r="W31" s="1447"/>
      <c r="AE31" s="1391"/>
      <c r="AF31" s="1391"/>
      <c r="AI31" s="1391"/>
      <c r="AJ31" s="1391"/>
    </row>
    <row r="32" spans="1:36" ht="15.6" hidden="1">
      <c r="A32" s="1481" t="s">
        <v>348</v>
      </c>
      <c r="B32" s="1433" t="s">
        <v>488</v>
      </c>
      <c r="C32" s="1411"/>
      <c r="D32" s="1478">
        <f>+(C14+C22+C23)*0.1/(1-0.1)</f>
        <v>0</v>
      </c>
      <c r="E32" s="391">
        <f t="shared" si="0"/>
        <v>0</v>
      </c>
      <c r="F32" s="358"/>
      <c r="G32" s="358"/>
      <c r="H32" s="358"/>
      <c r="I32" s="358"/>
      <c r="J32" s="358"/>
      <c r="K32" s="358"/>
      <c r="L32" s="358"/>
      <c r="M32" s="358"/>
      <c r="N32" s="358"/>
      <c r="O32" s="358"/>
      <c r="P32" s="358"/>
      <c r="Q32" s="358"/>
      <c r="S32" s="1391"/>
      <c r="T32" s="1482"/>
      <c r="U32" s="1430"/>
      <c r="V32" s="1447"/>
      <c r="W32" s="1447"/>
      <c r="AE32" s="1483"/>
      <c r="AF32" s="1391"/>
      <c r="AI32" s="1483"/>
      <c r="AJ32" s="1391"/>
    </row>
    <row r="33" spans="1:36" ht="15.6" hidden="1">
      <c r="A33" s="1481" t="s">
        <v>78</v>
      </c>
      <c r="B33" s="1433" t="s">
        <v>489</v>
      </c>
      <c r="C33" s="1484"/>
      <c r="D33" s="1485">
        <f>+(C14+C22+C23+D32)*0.18</f>
        <v>0</v>
      </c>
      <c r="E33" s="468">
        <f t="shared" si="0"/>
        <v>0</v>
      </c>
      <c r="F33" s="358"/>
      <c r="G33" s="358"/>
      <c r="H33" s="358"/>
      <c r="I33" s="358"/>
      <c r="J33" s="410"/>
      <c r="K33" s="358"/>
      <c r="L33" s="358"/>
      <c r="M33" s="358"/>
      <c r="N33" s="358"/>
      <c r="O33" s="358"/>
      <c r="P33" s="358"/>
      <c r="Q33" s="358"/>
      <c r="S33" s="1429"/>
      <c r="T33" s="1486"/>
      <c r="U33" s="1430"/>
      <c r="V33" s="1430"/>
      <c r="W33" s="1430"/>
      <c r="AE33" s="1447"/>
      <c r="AF33" s="1429"/>
      <c r="AI33" s="1391"/>
      <c r="AJ33" s="1391"/>
    </row>
    <row r="34" spans="1:36" ht="15.6" hidden="1">
      <c r="A34" s="1487"/>
      <c r="B34" s="1488" t="s">
        <v>1170</v>
      </c>
      <c r="C34" s="1489">
        <f>SUM(C29:C33)</f>
        <v>0</v>
      </c>
      <c r="D34" s="1478">
        <f>SUM(D29:D33)</f>
        <v>0</v>
      </c>
      <c r="E34" s="391">
        <f t="shared" si="0"/>
        <v>0</v>
      </c>
      <c r="F34" s="358"/>
      <c r="G34" s="358"/>
      <c r="H34" s="358"/>
      <c r="I34" s="358"/>
      <c r="J34" s="473"/>
      <c r="K34" s="410"/>
      <c r="L34" s="358"/>
      <c r="M34" s="358"/>
      <c r="N34" s="358"/>
      <c r="O34" s="358"/>
      <c r="P34" s="358"/>
      <c r="Q34" s="358"/>
      <c r="S34" s="1429"/>
      <c r="T34" s="1490"/>
      <c r="U34" s="1491"/>
      <c r="V34" s="1491"/>
      <c r="W34" s="1491"/>
      <c r="AE34" s="1452"/>
      <c r="AF34" s="1429"/>
      <c r="AI34" s="1391"/>
      <c r="AJ34" s="1391"/>
    </row>
    <row r="35" spans="1:36" ht="15.6">
      <c r="A35" s="1492">
        <v>14</v>
      </c>
      <c r="B35" s="1493" t="s">
        <v>491</v>
      </c>
      <c r="C35" s="1494">
        <f>C34+C27</f>
        <v>0</v>
      </c>
      <c r="D35" s="1495">
        <f>D34+D27</f>
        <v>5.0621135497795526</v>
      </c>
      <c r="E35" s="1495">
        <f>E34+E27</f>
        <v>5.0621135497795526</v>
      </c>
      <c r="F35" s="358"/>
      <c r="G35" s="358"/>
      <c r="H35" s="358"/>
      <c r="I35" s="358"/>
      <c r="J35" s="473"/>
      <c r="K35" s="410"/>
      <c r="L35" s="358"/>
      <c r="M35" s="358"/>
      <c r="N35" s="358"/>
      <c r="O35" s="358"/>
      <c r="P35" s="358"/>
      <c r="Q35" s="358"/>
      <c r="S35" s="1429"/>
      <c r="T35" s="1490"/>
      <c r="U35" s="1430"/>
      <c r="V35" s="1496"/>
      <c r="W35" s="1447"/>
      <c r="AE35" s="1452"/>
      <c r="AF35" s="1429"/>
      <c r="AI35" s="1391"/>
      <c r="AJ35" s="1391"/>
    </row>
    <row r="36" spans="1:36" ht="15.6">
      <c r="A36" s="1497">
        <v>15</v>
      </c>
      <c r="B36" s="1498" t="s">
        <v>1171</v>
      </c>
      <c r="C36" s="1499"/>
      <c r="D36" s="1412">
        <f>I75</f>
        <v>0.21065707998258457</v>
      </c>
      <c r="E36" s="1413">
        <f>C36+D36</f>
        <v>0.21065707998258457</v>
      </c>
      <c r="F36" s="358"/>
      <c r="G36" s="358"/>
      <c r="H36" s="358"/>
      <c r="I36" s="358"/>
      <c r="J36" s="473"/>
      <c r="K36" s="410"/>
      <c r="L36" s="358"/>
      <c r="M36" s="358"/>
      <c r="N36" s="358"/>
      <c r="O36" s="358"/>
      <c r="P36" s="358"/>
      <c r="Q36" s="358"/>
      <c r="S36" s="1429"/>
      <c r="T36" s="1490"/>
      <c r="U36" s="1430"/>
      <c r="V36" s="1496"/>
      <c r="W36" s="1447"/>
      <c r="AE36" s="1452"/>
      <c r="AF36" s="1429"/>
      <c r="AI36" s="1391"/>
      <c r="AJ36" s="1391"/>
    </row>
    <row r="37" spans="1:36" ht="15.6">
      <c r="A37" s="1492">
        <v>16</v>
      </c>
      <c r="B37" s="1493" t="s">
        <v>1172</v>
      </c>
      <c r="C37" s="1500">
        <f>C35-C36</f>
        <v>0</v>
      </c>
      <c r="D37" s="1495">
        <f>D35-D36</f>
        <v>4.8514564697969682</v>
      </c>
      <c r="E37" s="1495">
        <f>E35-E36</f>
        <v>4.8514564697969682</v>
      </c>
      <c r="F37" s="1403">
        <v>62.66</v>
      </c>
      <c r="G37" s="358"/>
      <c r="H37" s="171"/>
      <c r="I37" s="485"/>
      <c r="J37" s="486"/>
      <c r="K37" s="358"/>
      <c r="L37" s="358"/>
      <c r="M37" s="358"/>
      <c r="N37" s="358"/>
      <c r="O37" s="358"/>
      <c r="P37" s="358"/>
      <c r="Q37" s="358"/>
    </row>
    <row r="38" spans="1:36" ht="15.6">
      <c r="A38" s="365"/>
      <c r="B38" s="487"/>
      <c r="C38" s="367"/>
      <c r="D38" s="358"/>
      <c r="E38" s="358"/>
      <c r="F38" s="358"/>
      <c r="G38" s="358"/>
      <c r="H38" s="358"/>
      <c r="I38" s="485"/>
      <c r="J38" s="488"/>
      <c r="K38" s="358"/>
      <c r="L38" s="358"/>
      <c r="M38" s="358"/>
      <c r="N38" s="358"/>
      <c r="O38" s="358"/>
      <c r="P38" s="358"/>
      <c r="Q38" s="358"/>
    </row>
    <row r="39" spans="1:36" ht="15.6">
      <c r="A39" s="2549" t="s">
        <v>1173</v>
      </c>
      <c r="B39" s="2549"/>
      <c r="C39" s="2549"/>
      <c r="D39" s="2549"/>
      <c r="E39" s="2549"/>
      <c r="F39" s="358"/>
      <c r="G39" s="358"/>
      <c r="H39" s="358"/>
      <c r="I39" s="486"/>
      <c r="J39" s="488"/>
      <c r="K39" s="358"/>
      <c r="L39" s="358"/>
      <c r="M39" s="358"/>
      <c r="N39" s="358"/>
      <c r="O39" s="358"/>
      <c r="P39" s="358"/>
      <c r="Q39" s="358"/>
    </row>
    <row r="40" spans="1:36" ht="15.6">
      <c r="A40" s="365"/>
      <c r="B40" s="487"/>
      <c r="C40" s="367"/>
      <c r="D40" s="358"/>
      <c r="E40" s="358"/>
      <c r="F40" s="358"/>
      <c r="G40" s="171"/>
      <c r="H40" s="358"/>
      <c r="I40" s="358"/>
      <c r="J40" s="488"/>
      <c r="K40" s="358"/>
      <c r="L40" s="358"/>
      <c r="M40" s="358"/>
      <c r="N40" s="358"/>
      <c r="O40" s="358"/>
      <c r="P40" s="358"/>
      <c r="Q40" s="358"/>
    </row>
    <row r="41" spans="1:36" ht="15.6">
      <c r="A41" s="365"/>
      <c r="B41" s="487"/>
      <c r="C41" s="367"/>
      <c r="D41" s="358"/>
      <c r="E41" s="1501"/>
      <c r="F41" s="358"/>
      <c r="G41" s="358"/>
      <c r="H41" s="358"/>
      <c r="I41" s="486"/>
      <c r="J41" s="488"/>
      <c r="K41" s="358"/>
      <c r="L41" s="358"/>
      <c r="M41" s="358"/>
      <c r="N41" s="358"/>
      <c r="O41" s="358"/>
      <c r="P41" s="358"/>
      <c r="Q41" s="358"/>
    </row>
    <row r="42" spans="1:36" ht="15.6">
      <c r="A42" s="365"/>
      <c r="B42" s="487"/>
      <c r="C42" s="367"/>
      <c r="D42" s="358"/>
      <c r="E42" s="1501"/>
      <c r="F42" s="358"/>
      <c r="G42" s="358"/>
      <c r="H42" s="358"/>
      <c r="I42" s="358"/>
      <c r="J42" s="488"/>
      <c r="K42" s="358"/>
      <c r="L42" s="358"/>
      <c r="M42" s="358"/>
      <c r="N42" s="358"/>
      <c r="O42" s="358"/>
      <c r="P42" s="358"/>
      <c r="Q42" s="358"/>
    </row>
    <row r="43" spans="1:36" ht="15.6">
      <c r="A43" s="365"/>
      <c r="B43" s="487"/>
      <c r="C43" s="367"/>
      <c r="D43" s="358"/>
      <c r="E43" s="1501"/>
      <c r="F43" s="358"/>
      <c r="G43" s="358"/>
      <c r="H43" s="358"/>
      <c r="I43" s="358"/>
      <c r="J43" s="488"/>
      <c r="K43" s="358"/>
      <c r="L43" s="358"/>
      <c r="M43" s="358"/>
      <c r="N43" s="358"/>
      <c r="O43" s="358"/>
      <c r="P43" s="358"/>
      <c r="Q43" s="358"/>
    </row>
    <row r="44" spans="1:36" ht="15.6">
      <c r="A44" s="365"/>
      <c r="B44" s="487"/>
      <c r="C44" s="367"/>
      <c r="D44" s="358"/>
      <c r="E44" s="1501"/>
      <c r="F44" s="358"/>
      <c r="G44" s="358"/>
      <c r="H44" s="358"/>
      <c r="I44" s="358"/>
      <c r="J44" s="488"/>
      <c r="K44" s="358"/>
      <c r="L44" s="358"/>
      <c r="M44" s="358"/>
      <c r="N44" s="358"/>
      <c r="O44" s="358"/>
      <c r="P44" s="358"/>
      <c r="Q44" s="358"/>
    </row>
    <row r="45" spans="1:36" ht="15.6">
      <c r="A45" s="365"/>
      <c r="B45" s="1502" t="s">
        <v>466</v>
      </c>
      <c r="C45" s="1503">
        <v>75</v>
      </c>
      <c r="D45" s="1504" t="s">
        <v>495</v>
      </c>
      <c r="F45" s="358"/>
      <c r="I45" s="488"/>
      <c r="L45" s="358"/>
      <c r="M45" s="358"/>
      <c r="N45" s="358"/>
      <c r="O45" s="358"/>
      <c r="P45" s="358"/>
      <c r="Q45" s="358"/>
      <c r="S45" s="1505"/>
      <c r="T45" s="1432"/>
      <c r="U45" s="1432"/>
      <c r="V45" s="1432"/>
      <c r="W45" s="1432"/>
      <c r="AF45" s="1432"/>
      <c r="AG45" s="1432"/>
      <c r="AH45" s="1432"/>
      <c r="AI45" s="1432"/>
      <c r="AJ45" s="1506"/>
    </row>
    <row r="46" spans="1:36" ht="15.6">
      <c r="A46" s="365"/>
      <c r="B46" s="1502" t="s">
        <v>468</v>
      </c>
      <c r="C46" s="1503">
        <v>68</v>
      </c>
      <c r="D46" s="1507" t="s">
        <v>496</v>
      </c>
      <c r="F46" s="358"/>
      <c r="G46" s="358"/>
      <c r="H46" s="358"/>
      <c r="I46" s="358"/>
      <c r="J46" s="488"/>
      <c r="L46" s="358"/>
      <c r="M46" s="358"/>
      <c r="N46" s="358"/>
      <c r="O46" s="358"/>
      <c r="P46" s="358"/>
      <c r="Q46" s="358"/>
      <c r="Y46" s="1508"/>
      <c r="Z46" s="1509"/>
      <c r="AA46" s="1509"/>
      <c r="AB46" s="1510"/>
      <c r="AC46" s="1509"/>
    </row>
    <row r="47" spans="1:36" ht="15.6">
      <c r="A47" s="365"/>
      <c r="B47" s="1511" t="s">
        <v>497</v>
      </c>
      <c r="C47" s="1512">
        <v>0.06</v>
      </c>
      <c r="D47" s="1513"/>
      <c r="F47" s="358"/>
      <c r="G47" s="358"/>
      <c r="H47" s="358"/>
      <c r="I47" s="358"/>
      <c r="J47" s="488"/>
      <c r="K47" s="358"/>
      <c r="L47" s="358"/>
      <c r="M47" s="358"/>
      <c r="N47" s="358"/>
      <c r="O47" s="358"/>
      <c r="P47" s="358"/>
      <c r="Q47" s="358"/>
      <c r="Y47" s="1508"/>
      <c r="Z47" s="1509"/>
      <c r="AA47" s="1509"/>
      <c r="AB47" s="1510"/>
      <c r="AC47" s="1509"/>
    </row>
    <row r="48" spans="1:36" ht="15.6">
      <c r="A48" s="365"/>
      <c r="B48" s="1511" t="s">
        <v>498</v>
      </c>
      <c r="C48" s="1512">
        <v>0.12</v>
      </c>
      <c r="D48" s="1514"/>
      <c r="E48" s="1515"/>
      <c r="F48" s="358"/>
      <c r="G48" s="361"/>
      <c r="H48" s="358"/>
      <c r="I48" s="358"/>
      <c r="J48" s="488"/>
      <c r="K48" s="358"/>
      <c r="L48" s="358"/>
      <c r="M48" s="358"/>
      <c r="N48" s="358"/>
      <c r="O48" s="358"/>
      <c r="P48" s="358"/>
      <c r="Q48" s="358"/>
      <c r="Y48" s="1508"/>
      <c r="Z48" s="1509"/>
      <c r="AA48" s="1509"/>
      <c r="AB48" s="1510"/>
      <c r="AC48" s="1509"/>
    </row>
    <row r="49" spans="1:256" ht="15.6">
      <c r="A49" s="365"/>
      <c r="B49" s="1511" t="s">
        <v>499</v>
      </c>
      <c r="C49" s="1512">
        <v>0.2</v>
      </c>
      <c r="D49" s="1514"/>
      <c r="E49" s="1515"/>
      <c r="F49" s="358"/>
      <c r="G49" s="358"/>
      <c r="H49" s="358"/>
      <c r="K49" s="358"/>
      <c r="L49" s="358"/>
      <c r="M49" s="358"/>
      <c r="N49" s="358"/>
      <c r="O49" s="358"/>
      <c r="P49" s="358"/>
      <c r="Q49" s="358"/>
      <c r="Y49" s="1508"/>
      <c r="Z49" s="1509"/>
      <c r="AA49" s="1509"/>
      <c r="AB49" s="1510"/>
      <c r="AC49" s="1509"/>
    </row>
    <row r="50" spans="1:256" ht="15.6" hidden="1">
      <c r="A50" s="365"/>
      <c r="B50" s="1511" t="s">
        <v>500</v>
      </c>
      <c r="C50" s="1512">
        <v>0.12</v>
      </c>
      <c r="D50" s="1513"/>
      <c r="F50" s="358"/>
      <c r="G50" s="358"/>
      <c r="H50" s="358"/>
      <c r="I50" s="358"/>
      <c r="J50" s="488"/>
      <c r="K50" s="358"/>
      <c r="L50" s="358"/>
      <c r="M50" s="358"/>
      <c r="N50" s="358"/>
      <c r="O50" s="358"/>
      <c r="P50" s="358"/>
      <c r="Q50" s="358"/>
      <c r="Y50" s="1508"/>
      <c r="Z50" s="1509"/>
      <c r="AA50" s="1509"/>
      <c r="AB50" s="1510"/>
      <c r="AC50" s="1509"/>
    </row>
    <row r="51" spans="1:256" ht="15.6" hidden="1">
      <c r="A51" s="365"/>
      <c r="B51" s="1516" t="s">
        <v>210</v>
      </c>
      <c r="C51" s="1512">
        <v>7.4999999999999997E-2</v>
      </c>
      <c r="D51" s="1513"/>
      <c r="F51" s="358"/>
      <c r="G51" s="358"/>
      <c r="H51" s="358"/>
      <c r="I51" s="363" t="s">
        <v>335</v>
      </c>
      <c r="J51" s="488"/>
      <c r="K51" s="358"/>
      <c r="L51" s="358"/>
      <c r="M51" s="358"/>
      <c r="N51" s="358"/>
      <c r="O51" s="358"/>
      <c r="P51" s="358"/>
      <c r="Q51" s="358"/>
      <c r="Y51" s="1508"/>
      <c r="Z51" s="1509"/>
      <c r="AA51" s="1509"/>
      <c r="AB51" s="1510"/>
      <c r="AC51" s="1509"/>
    </row>
    <row r="52" spans="1:256" ht="15.6">
      <c r="A52" s="1517" t="s">
        <v>92</v>
      </c>
      <c r="B52" s="1518" t="s">
        <v>8</v>
      </c>
      <c r="C52" s="2546" t="s">
        <v>501</v>
      </c>
      <c r="D52" s="2546"/>
      <c r="E52" s="2547" t="s">
        <v>502</v>
      </c>
      <c r="F52" s="2547"/>
      <c r="G52" s="2547"/>
      <c r="H52" s="1519"/>
      <c r="I52" s="1519"/>
      <c r="J52" s="1486"/>
      <c r="K52" s="1486"/>
      <c r="L52" s="358"/>
      <c r="M52" s="358"/>
      <c r="N52" s="358"/>
      <c r="O52" s="358"/>
      <c r="P52" s="358"/>
      <c r="Q52" s="358"/>
      <c r="S52" s="1520"/>
      <c r="T52" s="1520"/>
      <c r="U52" s="1520"/>
      <c r="V52" s="1520"/>
      <c r="W52" s="1520"/>
      <c r="Y52" s="1508"/>
      <c r="Z52" s="1432"/>
      <c r="AA52" s="1432"/>
      <c r="AB52" s="1432"/>
      <c r="AC52" s="1509"/>
    </row>
    <row r="53" spans="1:256" ht="30">
      <c r="A53" s="1521"/>
      <c r="B53" s="1522"/>
      <c r="C53" s="1523" t="s">
        <v>503</v>
      </c>
      <c r="D53" s="1524" t="s">
        <v>504</v>
      </c>
      <c r="E53" s="1525" t="s">
        <v>505</v>
      </c>
      <c r="F53" s="1525" t="s">
        <v>506</v>
      </c>
      <c r="G53" s="1523" t="s">
        <v>507</v>
      </c>
      <c r="H53" s="1526" t="s">
        <v>508</v>
      </c>
      <c r="I53" s="1527" t="s">
        <v>9</v>
      </c>
      <c r="L53" s="358"/>
      <c r="M53" s="358"/>
      <c r="N53" s="358"/>
      <c r="O53" s="358"/>
      <c r="P53" s="358"/>
      <c r="Q53" s="358"/>
      <c r="S53" s="1520"/>
      <c r="T53" s="1520"/>
      <c r="U53" s="1520"/>
      <c r="V53" s="1520"/>
      <c r="W53" s="1520"/>
      <c r="Y53" s="1528"/>
      <c r="AC53" s="1432"/>
    </row>
    <row r="54" spans="1:256" ht="15.6">
      <c r="A54" s="1521"/>
      <c r="B54" s="1529">
        <v>0.05</v>
      </c>
      <c r="C54" s="1530"/>
      <c r="D54" s="1531">
        <f>(B54-C54)</f>
        <v>0.05</v>
      </c>
      <c r="E54" s="1532">
        <v>0.18</v>
      </c>
      <c r="F54" s="1532">
        <v>0.18</v>
      </c>
      <c r="G54" s="1532">
        <v>0</v>
      </c>
      <c r="H54" s="1533"/>
      <c r="I54" s="1527"/>
      <c r="L54" s="358"/>
      <c r="M54" s="358"/>
      <c r="N54" s="358"/>
      <c r="O54" s="358"/>
      <c r="P54" s="358"/>
      <c r="Q54" s="358"/>
      <c r="S54" s="1520"/>
      <c r="T54" s="1520"/>
      <c r="U54" s="1520"/>
      <c r="V54" s="1520"/>
      <c r="W54" s="1520"/>
      <c r="Y54" s="1528"/>
      <c r="AC54" s="1432"/>
    </row>
    <row r="55" spans="1:256" ht="15.6">
      <c r="A55" s="1492">
        <v>1</v>
      </c>
      <c r="B55" s="1534" t="s">
        <v>509</v>
      </c>
      <c r="C55" s="1535">
        <f>(SUM(D56:D65)+SUM(C56:C60)*1.07-C57*1.07-D57)*C54</f>
        <v>0</v>
      </c>
      <c r="D55" s="1536">
        <f>(SUM(D56:D67)+SUM(C56:C60)*1.07-C57*1.07-D57)*D54</f>
        <v>0.19356845397071742</v>
      </c>
      <c r="E55" s="1537"/>
      <c r="F55" s="1535">
        <f>D55*F54</f>
        <v>3.4842321714729133E-2</v>
      </c>
      <c r="G55" s="1537"/>
      <c r="H55" s="1537"/>
      <c r="I55" s="1538">
        <f>SUM(C55:H55)</f>
        <v>0.22841077568544654</v>
      </c>
      <c r="L55" s="358"/>
      <c r="M55" s="358"/>
      <c r="N55" s="358"/>
      <c r="O55" s="358"/>
      <c r="P55" s="358"/>
      <c r="Q55" s="358"/>
      <c r="S55" s="1520"/>
      <c r="T55" s="1520"/>
      <c r="U55" s="1520"/>
      <c r="V55" s="1520"/>
      <c r="W55" s="1520"/>
    </row>
    <row r="56" spans="1:256" ht="15.6">
      <c r="A56" s="1539">
        <v>2</v>
      </c>
      <c r="B56" s="1540" t="s">
        <v>510</v>
      </c>
      <c r="C56" s="1504"/>
      <c r="D56" s="1504">
        <f>Basic_CostCmt!F91/100</f>
        <v>0.18846018581250001</v>
      </c>
      <c r="E56" s="1541">
        <f>D56*E54</f>
        <v>3.3922833446250002E-2</v>
      </c>
      <c r="F56" s="1541">
        <f>G56*$F$54</f>
        <v>6.7845666892500005E-4</v>
      </c>
      <c r="G56" s="1542">
        <f>(D56*0.02)</f>
        <v>3.7692037162500003E-3</v>
      </c>
      <c r="H56" s="1542"/>
      <c r="I56" s="1538">
        <f t="shared" ref="I56:I73" si="1">SUM(C56:H56)</f>
        <v>0.226830679643925</v>
      </c>
      <c r="J56" s="1385">
        <f>D56*0.02</f>
        <v>3.7692037162500003E-3</v>
      </c>
      <c r="L56" s="358"/>
      <c r="M56" s="358"/>
      <c r="N56" s="358"/>
      <c r="O56" s="358"/>
      <c r="P56" s="358"/>
      <c r="Q56" s="358"/>
      <c r="S56" s="1520"/>
      <c r="T56" s="1520"/>
      <c r="U56" s="1520"/>
      <c r="V56" s="1520"/>
      <c r="W56" s="1520"/>
    </row>
    <row r="57" spans="1:256" ht="15.6">
      <c r="A57" s="1539">
        <v>3</v>
      </c>
      <c r="B57" s="1540" t="s">
        <v>511</v>
      </c>
      <c r="C57" s="1504"/>
      <c r="D57" s="1543"/>
      <c r="E57" s="1541">
        <f>D57*E54</f>
        <v>0</v>
      </c>
      <c r="F57" s="1541">
        <f>G57*$F$54</f>
        <v>0</v>
      </c>
      <c r="G57" s="1544">
        <f>(D57*0.02)*(1+$G$54)*0</f>
        <v>0</v>
      </c>
      <c r="H57" s="1542"/>
      <c r="I57" s="1538">
        <f t="shared" si="1"/>
        <v>0</v>
      </c>
      <c r="L57" s="358"/>
      <c r="M57" s="358"/>
      <c r="N57" s="358"/>
      <c r="O57" s="358"/>
      <c r="P57" s="358"/>
      <c r="Q57" s="358"/>
      <c r="S57" s="1520"/>
      <c r="T57" s="1520"/>
      <c r="U57" s="1520"/>
      <c r="V57" s="1520"/>
      <c r="W57" s="1520"/>
    </row>
    <row r="58" spans="1:256" ht="15.6">
      <c r="A58" s="1539">
        <v>4</v>
      </c>
      <c r="B58" s="1540" t="s">
        <v>512</v>
      </c>
      <c r="C58" s="1504"/>
      <c r="D58" s="1504"/>
      <c r="E58" s="1541">
        <f>D58*E54</f>
        <v>0</v>
      </c>
      <c r="F58" s="1541">
        <f>G58*$F$54</f>
        <v>0</v>
      </c>
      <c r="G58" s="1542">
        <f>(D58*0.09)</f>
        <v>0</v>
      </c>
      <c r="H58" s="1542"/>
      <c r="I58" s="1538">
        <f t="shared" si="1"/>
        <v>0</v>
      </c>
      <c r="L58" s="358"/>
      <c r="M58" s="358"/>
      <c r="N58" s="358"/>
      <c r="O58" s="358"/>
      <c r="P58" s="358"/>
      <c r="Q58" s="358"/>
    </row>
    <row r="59" spans="1:256" ht="15.6">
      <c r="A59" s="1492">
        <v>5</v>
      </c>
      <c r="B59" s="1534" t="s">
        <v>513</v>
      </c>
      <c r="C59" s="1535"/>
      <c r="D59" s="1504">
        <f>Basic_CostCmt!F58/100</f>
        <v>2.4580000000000002</v>
      </c>
      <c r="E59" s="1535">
        <f>D59*E54</f>
        <v>0.44244</v>
      </c>
      <c r="F59" s="1541">
        <f>G59*$F$54</f>
        <v>3.9819599999999997E-2</v>
      </c>
      <c r="G59" s="1542">
        <f>(D59*0.09)</f>
        <v>0.22122</v>
      </c>
      <c r="H59" s="1538"/>
      <c r="I59" s="1538">
        <f t="shared" si="1"/>
        <v>3.1614796000000003</v>
      </c>
      <c r="J59" s="1432"/>
      <c r="K59" s="1432"/>
      <c r="L59" s="361"/>
      <c r="M59" s="361"/>
      <c r="N59" s="361"/>
      <c r="O59" s="361"/>
      <c r="P59" s="361"/>
      <c r="Q59" s="361"/>
      <c r="R59" s="1432"/>
      <c r="S59" s="1432"/>
      <c r="T59" s="1432"/>
      <c r="U59" s="1528"/>
      <c r="V59" s="1432"/>
      <c r="W59" s="1528"/>
      <c r="X59" s="1432"/>
      <c r="Y59" s="1432"/>
      <c r="Z59" s="1432"/>
      <c r="AA59" s="1432"/>
      <c r="AB59" s="1432"/>
      <c r="AC59" s="1432"/>
      <c r="AD59" s="1432"/>
      <c r="AE59" s="1432"/>
      <c r="AF59" s="1432"/>
      <c r="AG59" s="1432"/>
      <c r="AH59" s="1432"/>
      <c r="AI59" s="1432"/>
      <c r="AJ59" s="1432"/>
      <c r="AK59" s="1432"/>
      <c r="AL59" s="1432"/>
      <c r="AM59" s="1432"/>
      <c r="AN59" s="1432"/>
      <c r="AO59" s="1432"/>
      <c r="AP59" s="1432"/>
      <c r="AQ59" s="1432"/>
      <c r="AR59" s="1432"/>
      <c r="AS59" s="1432"/>
      <c r="AT59" s="1432"/>
      <c r="AU59" s="1432"/>
      <c r="AV59" s="1432"/>
      <c r="AW59" s="1432"/>
      <c r="AX59" s="1432"/>
      <c r="AY59" s="1432"/>
      <c r="AZ59" s="1432"/>
      <c r="BA59" s="1432"/>
      <c r="BB59" s="1432"/>
      <c r="BC59" s="1432"/>
      <c r="BD59" s="1432"/>
      <c r="BE59" s="1432"/>
      <c r="BF59" s="1432"/>
      <c r="BG59" s="1432"/>
      <c r="BH59" s="1432"/>
      <c r="BI59" s="1432"/>
      <c r="BJ59" s="1432"/>
      <c r="BK59" s="1432"/>
      <c r="BL59" s="1432"/>
      <c r="BM59" s="1432"/>
      <c r="BN59" s="1432"/>
      <c r="BO59" s="1432"/>
      <c r="BP59" s="1432"/>
      <c r="BQ59" s="1432"/>
      <c r="BR59" s="1432"/>
      <c r="BS59" s="1432"/>
      <c r="BT59" s="1432"/>
      <c r="BU59" s="1432"/>
      <c r="BV59" s="1432"/>
      <c r="BW59" s="1432"/>
      <c r="BX59" s="1432"/>
      <c r="BY59" s="1432"/>
      <c r="BZ59" s="1432"/>
      <c r="CA59" s="1432"/>
      <c r="CB59" s="1432"/>
      <c r="CC59" s="1432"/>
      <c r="CD59" s="1432"/>
      <c r="CE59" s="1432"/>
      <c r="CF59" s="1432"/>
      <c r="CG59" s="1432"/>
      <c r="CH59" s="1432"/>
      <c r="CI59" s="1432"/>
      <c r="CJ59" s="1432"/>
      <c r="CK59" s="1432"/>
      <c r="CL59" s="1432"/>
      <c r="CM59" s="1432"/>
      <c r="CN59" s="1432"/>
      <c r="CO59" s="1432"/>
      <c r="CP59" s="1432"/>
      <c r="CQ59" s="1432"/>
      <c r="CR59" s="1432"/>
      <c r="CS59" s="1432"/>
      <c r="CT59" s="1432"/>
      <c r="CU59" s="1432"/>
      <c r="CV59" s="1432"/>
      <c r="CW59" s="1432"/>
      <c r="CX59" s="1432"/>
      <c r="CY59" s="1432"/>
      <c r="CZ59" s="1432"/>
      <c r="DA59" s="1432"/>
      <c r="DB59" s="1432"/>
      <c r="DC59" s="1432"/>
      <c r="DD59" s="1432"/>
      <c r="DE59" s="1432"/>
      <c r="DF59" s="1432"/>
      <c r="DG59" s="1432"/>
      <c r="DH59" s="1432"/>
      <c r="DI59" s="1432"/>
      <c r="DJ59" s="1432"/>
      <c r="DK59" s="1432"/>
      <c r="DL59" s="1432"/>
      <c r="DM59" s="1432"/>
      <c r="DN59" s="1432"/>
      <c r="DO59" s="1432"/>
      <c r="DP59" s="1432"/>
      <c r="DQ59" s="1432"/>
      <c r="DR59" s="1432"/>
      <c r="DS59" s="1432"/>
      <c r="DT59" s="1432"/>
      <c r="DU59" s="1432"/>
      <c r="DV59" s="1432"/>
      <c r="DW59" s="1432"/>
      <c r="DX59" s="1432"/>
      <c r="DY59" s="1432"/>
      <c r="DZ59" s="1432"/>
      <c r="EA59" s="1432"/>
      <c r="EB59" s="1432"/>
      <c r="EC59" s="1432"/>
      <c r="ED59" s="1432"/>
      <c r="EE59" s="1432"/>
      <c r="EF59" s="1432"/>
      <c r="EG59" s="1432"/>
      <c r="EH59" s="1432"/>
      <c r="EI59" s="1432"/>
      <c r="EJ59" s="1432"/>
      <c r="EK59" s="1432"/>
      <c r="EL59" s="1432"/>
      <c r="EM59" s="1432"/>
      <c r="EN59" s="1432"/>
      <c r="EO59" s="1432"/>
      <c r="EP59" s="1432"/>
      <c r="EQ59" s="1432"/>
      <c r="ER59" s="1432"/>
      <c r="ES59" s="1432"/>
      <c r="ET59" s="1432"/>
      <c r="EU59" s="1432"/>
      <c r="EV59" s="1432"/>
      <c r="EW59" s="1432"/>
      <c r="EX59" s="1432"/>
      <c r="EY59" s="1432"/>
      <c r="EZ59" s="1432"/>
      <c r="FA59" s="1432"/>
      <c r="FB59" s="1432"/>
      <c r="FC59" s="1432"/>
      <c r="FD59" s="1432"/>
      <c r="FE59" s="1432"/>
      <c r="FF59" s="1432"/>
      <c r="FG59" s="1432"/>
      <c r="FH59" s="1432"/>
      <c r="FI59" s="1432"/>
      <c r="FJ59" s="1432"/>
      <c r="FK59" s="1432"/>
      <c r="FL59" s="1432"/>
      <c r="FM59" s="1432"/>
      <c r="FN59" s="1432"/>
      <c r="FO59" s="1432"/>
      <c r="FP59" s="1432"/>
      <c r="FQ59" s="1432"/>
      <c r="FR59" s="1432"/>
      <c r="FS59" s="1432"/>
      <c r="FT59" s="1432"/>
      <c r="FU59" s="1432"/>
      <c r="FV59" s="1432"/>
      <c r="FW59" s="1432"/>
      <c r="FX59" s="1432"/>
      <c r="FY59" s="1432"/>
      <c r="FZ59" s="1432"/>
      <c r="GA59" s="1432"/>
      <c r="GB59" s="1432"/>
      <c r="GC59" s="1432"/>
      <c r="GD59" s="1432"/>
      <c r="GE59" s="1432"/>
      <c r="GF59" s="1432"/>
      <c r="GG59" s="1432"/>
      <c r="GH59" s="1432"/>
      <c r="GI59" s="1432"/>
      <c r="GJ59" s="1432"/>
      <c r="GK59" s="1432"/>
      <c r="GL59" s="1432"/>
      <c r="GM59" s="1432"/>
      <c r="GN59" s="1432"/>
      <c r="GO59" s="1432"/>
      <c r="GP59" s="1432"/>
      <c r="GQ59" s="1432"/>
      <c r="GR59" s="1432"/>
      <c r="GS59" s="1432"/>
      <c r="GT59" s="1432"/>
      <c r="GU59" s="1432"/>
      <c r="GV59" s="1432"/>
      <c r="GW59" s="1432"/>
      <c r="GX59" s="1432"/>
      <c r="GY59" s="1432"/>
      <c r="GZ59" s="1432"/>
      <c r="HA59" s="1432"/>
      <c r="HB59" s="1432"/>
      <c r="HC59" s="1432"/>
      <c r="HD59" s="1432"/>
      <c r="HE59" s="1432"/>
      <c r="HF59" s="1432"/>
      <c r="HG59" s="1432"/>
      <c r="HH59" s="1432"/>
      <c r="HI59" s="1432"/>
      <c r="HJ59" s="1432"/>
      <c r="HK59" s="1432"/>
      <c r="HL59" s="1432"/>
      <c r="HM59" s="1432"/>
      <c r="HN59" s="1432"/>
      <c r="HO59" s="1432"/>
      <c r="HP59" s="1432"/>
      <c r="HQ59" s="1432"/>
      <c r="HR59" s="1432"/>
      <c r="HS59" s="1432"/>
      <c r="HT59" s="1432"/>
      <c r="HU59" s="1432"/>
      <c r="HV59" s="1432"/>
      <c r="HW59" s="1432"/>
      <c r="HX59" s="1432"/>
      <c r="HY59" s="1432"/>
      <c r="HZ59" s="1432"/>
      <c r="IA59" s="1432"/>
      <c r="IB59" s="1432"/>
      <c r="IC59" s="1432"/>
      <c r="ID59" s="1432"/>
      <c r="IE59" s="1432"/>
      <c r="IF59" s="1432"/>
      <c r="IG59" s="1432"/>
      <c r="IH59" s="1432"/>
      <c r="II59" s="1432"/>
      <c r="IJ59" s="1432"/>
      <c r="IK59" s="1432"/>
      <c r="IL59" s="1432"/>
      <c r="IM59" s="1432"/>
      <c r="IN59" s="1432"/>
      <c r="IO59" s="1432"/>
      <c r="IP59" s="1432"/>
      <c r="IQ59" s="1432"/>
      <c r="IR59" s="1432"/>
      <c r="IS59" s="1432"/>
      <c r="IT59" s="1432"/>
      <c r="IU59" s="1432"/>
      <c r="IV59" s="1432"/>
    </row>
    <row r="60" spans="1:256" ht="15.6">
      <c r="A60" s="1492">
        <v>6</v>
      </c>
      <c r="B60" s="1534" t="s">
        <v>86</v>
      </c>
      <c r="C60" s="1504"/>
      <c r="D60" s="1504"/>
      <c r="E60" s="1535">
        <f>D60*E54</f>
        <v>0</v>
      </c>
      <c r="F60" s="1541">
        <f>G60*$F$54</f>
        <v>0</v>
      </c>
      <c r="G60" s="1542">
        <f>(D60*0.09)</f>
        <v>0</v>
      </c>
      <c r="H60" s="1538"/>
      <c r="I60" s="1538">
        <f t="shared" si="1"/>
        <v>0</v>
      </c>
      <c r="J60" s="1432"/>
      <c r="K60" s="1432"/>
      <c r="L60" s="361"/>
      <c r="M60" s="361"/>
      <c r="N60" s="361"/>
      <c r="O60" s="361"/>
      <c r="P60" s="361"/>
      <c r="Q60" s="361"/>
      <c r="R60" s="1432"/>
      <c r="S60" s="1545"/>
      <c r="T60" s="1432"/>
      <c r="U60" s="1546"/>
      <c r="V60" s="1432"/>
      <c r="W60" s="1432"/>
      <c r="X60" s="1432"/>
      <c r="Y60" s="1432"/>
      <c r="Z60" s="1432"/>
      <c r="AA60" s="1432"/>
      <c r="AB60" s="1432"/>
      <c r="AC60" s="1432"/>
      <c r="AD60" s="1432"/>
      <c r="AE60" s="1432"/>
      <c r="AF60" s="1432"/>
      <c r="AG60" s="1432"/>
      <c r="AH60" s="1432"/>
      <c r="AI60" s="1432"/>
      <c r="AJ60" s="1432"/>
      <c r="AK60" s="1432"/>
      <c r="AL60" s="1432"/>
      <c r="AM60" s="1432"/>
      <c r="AN60" s="1432"/>
      <c r="AO60" s="1432"/>
      <c r="AP60" s="1432"/>
      <c r="AQ60" s="1432"/>
      <c r="AR60" s="1432"/>
      <c r="AS60" s="1432"/>
      <c r="AT60" s="1432"/>
      <c r="AU60" s="1432"/>
      <c r="AV60" s="1432"/>
      <c r="AW60" s="1432"/>
      <c r="AX60" s="1432"/>
      <c r="AY60" s="1432"/>
      <c r="AZ60" s="1432"/>
      <c r="BA60" s="1432"/>
      <c r="BB60" s="1432"/>
      <c r="BC60" s="1432"/>
      <c r="BD60" s="1432"/>
      <c r="BE60" s="1432"/>
      <c r="BF60" s="1432"/>
      <c r="BG60" s="1432"/>
      <c r="BH60" s="1432"/>
      <c r="BI60" s="1432"/>
      <c r="BJ60" s="1432"/>
      <c r="BK60" s="1432"/>
      <c r="BL60" s="1432"/>
      <c r="BM60" s="1432"/>
      <c r="BN60" s="1432"/>
      <c r="BO60" s="1432"/>
      <c r="BP60" s="1432"/>
      <c r="BQ60" s="1432"/>
      <c r="BR60" s="1432"/>
      <c r="BS60" s="1432"/>
      <c r="BT60" s="1432"/>
      <c r="BU60" s="1432"/>
      <c r="BV60" s="1432"/>
      <c r="BW60" s="1432"/>
      <c r="BX60" s="1432"/>
      <c r="BY60" s="1432"/>
      <c r="BZ60" s="1432"/>
      <c r="CA60" s="1432"/>
      <c r="CB60" s="1432"/>
      <c r="CC60" s="1432"/>
      <c r="CD60" s="1432"/>
      <c r="CE60" s="1432"/>
      <c r="CF60" s="1432"/>
      <c r="CG60" s="1432"/>
      <c r="CH60" s="1432"/>
      <c r="CI60" s="1432"/>
      <c r="CJ60" s="1432"/>
      <c r="CK60" s="1432"/>
      <c r="CL60" s="1432"/>
      <c r="CM60" s="1432"/>
      <c r="CN60" s="1432"/>
      <c r="CO60" s="1432"/>
      <c r="CP60" s="1432"/>
      <c r="CQ60" s="1432"/>
      <c r="CR60" s="1432"/>
      <c r="CS60" s="1432"/>
      <c r="CT60" s="1432"/>
      <c r="CU60" s="1432"/>
      <c r="CV60" s="1432"/>
      <c r="CW60" s="1432"/>
      <c r="CX60" s="1432"/>
      <c r="CY60" s="1432"/>
      <c r="CZ60" s="1432"/>
      <c r="DA60" s="1432"/>
      <c r="DB60" s="1432"/>
      <c r="DC60" s="1432"/>
      <c r="DD60" s="1432"/>
      <c r="DE60" s="1432"/>
      <c r="DF60" s="1432"/>
      <c r="DG60" s="1432"/>
      <c r="DH60" s="1432"/>
      <c r="DI60" s="1432"/>
      <c r="DJ60" s="1432"/>
      <c r="DK60" s="1432"/>
      <c r="DL60" s="1432"/>
      <c r="DM60" s="1432"/>
      <c r="DN60" s="1432"/>
      <c r="DO60" s="1432"/>
      <c r="DP60" s="1432"/>
      <c r="DQ60" s="1432"/>
      <c r="DR60" s="1432"/>
      <c r="DS60" s="1432"/>
      <c r="DT60" s="1432"/>
      <c r="DU60" s="1432"/>
      <c r="DV60" s="1432"/>
      <c r="DW60" s="1432"/>
      <c r="DX60" s="1432"/>
      <c r="DY60" s="1432"/>
      <c r="DZ60" s="1432"/>
      <c r="EA60" s="1432"/>
      <c r="EB60" s="1432"/>
      <c r="EC60" s="1432"/>
      <c r="ED60" s="1432"/>
      <c r="EE60" s="1432"/>
      <c r="EF60" s="1432"/>
      <c r="EG60" s="1432"/>
      <c r="EH60" s="1432"/>
      <c r="EI60" s="1432"/>
      <c r="EJ60" s="1432"/>
      <c r="EK60" s="1432"/>
      <c r="EL60" s="1432"/>
      <c r="EM60" s="1432"/>
      <c r="EN60" s="1432"/>
      <c r="EO60" s="1432"/>
      <c r="EP60" s="1432"/>
      <c r="EQ60" s="1432"/>
      <c r="ER60" s="1432"/>
      <c r="ES60" s="1432"/>
      <c r="ET60" s="1432"/>
      <c r="EU60" s="1432"/>
      <c r="EV60" s="1432"/>
      <c r="EW60" s="1432"/>
      <c r="EX60" s="1432"/>
      <c r="EY60" s="1432"/>
      <c r="EZ60" s="1432"/>
      <c r="FA60" s="1432"/>
      <c r="FB60" s="1432"/>
      <c r="FC60" s="1432"/>
      <c r="FD60" s="1432"/>
      <c r="FE60" s="1432"/>
      <c r="FF60" s="1432"/>
      <c r="FG60" s="1432"/>
      <c r="FH60" s="1432"/>
      <c r="FI60" s="1432"/>
      <c r="FJ60" s="1432"/>
      <c r="FK60" s="1432"/>
      <c r="FL60" s="1432"/>
      <c r="FM60" s="1432"/>
      <c r="FN60" s="1432"/>
      <c r="FO60" s="1432"/>
      <c r="FP60" s="1432"/>
      <c r="FQ60" s="1432"/>
      <c r="FR60" s="1432"/>
      <c r="FS60" s="1432"/>
      <c r="FT60" s="1432"/>
      <c r="FU60" s="1432"/>
      <c r="FV60" s="1432"/>
      <c r="FW60" s="1432"/>
      <c r="FX60" s="1432"/>
      <c r="FY60" s="1432"/>
      <c r="FZ60" s="1432"/>
      <c r="GA60" s="1432"/>
      <c r="GB60" s="1432"/>
      <c r="GC60" s="1432"/>
      <c r="GD60" s="1432"/>
      <c r="GE60" s="1432"/>
      <c r="GF60" s="1432"/>
      <c r="GG60" s="1432"/>
      <c r="GH60" s="1432"/>
      <c r="GI60" s="1432"/>
      <c r="GJ60" s="1432"/>
      <c r="GK60" s="1432"/>
      <c r="GL60" s="1432"/>
      <c r="GM60" s="1432"/>
      <c r="GN60" s="1432"/>
      <c r="GO60" s="1432"/>
      <c r="GP60" s="1432"/>
      <c r="GQ60" s="1432"/>
      <c r="GR60" s="1432"/>
      <c r="GS60" s="1432"/>
      <c r="GT60" s="1432"/>
      <c r="GU60" s="1432"/>
      <c r="GV60" s="1432"/>
      <c r="GW60" s="1432"/>
      <c r="GX60" s="1432"/>
      <c r="GY60" s="1432"/>
      <c r="GZ60" s="1432"/>
      <c r="HA60" s="1432"/>
      <c r="HB60" s="1432"/>
      <c r="HC60" s="1432"/>
      <c r="HD60" s="1432"/>
      <c r="HE60" s="1432"/>
      <c r="HF60" s="1432"/>
      <c r="HG60" s="1432"/>
      <c r="HH60" s="1432"/>
      <c r="HI60" s="1432"/>
      <c r="HJ60" s="1432"/>
      <c r="HK60" s="1432"/>
      <c r="HL60" s="1432"/>
      <c r="HM60" s="1432"/>
      <c r="HN60" s="1432"/>
      <c r="HO60" s="1432"/>
      <c r="HP60" s="1432"/>
      <c r="HQ60" s="1432"/>
      <c r="HR60" s="1432"/>
      <c r="HS60" s="1432"/>
      <c r="HT60" s="1432"/>
      <c r="HU60" s="1432"/>
      <c r="HV60" s="1432"/>
      <c r="HW60" s="1432"/>
      <c r="HX60" s="1432"/>
      <c r="HY60" s="1432"/>
      <c r="HZ60" s="1432"/>
      <c r="IA60" s="1432"/>
      <c r="IB60" s="1432"/>
      <c r="IC60" s="1432"/>
      <c r="ID60" s="1432"/>
      <c r="IE60" s="1432"/>
      <c r="IF60" s="1432"/>
      <c r="IG60" s="1432"/>
      <c r="IH60" s="1432"/>
      <c r="II60" s="1432"/>
      <c r="IJ60" s="1432"/>
      <c r="IK60" s="1432"/>
      <c r="IL60" s="1432"/>
      <c r="IM60" s="1432"/>
      <c r="IN60" s="1432"/>
      <c r="IO60" s="1432"/>
      <c r="IP60" s="1432"/>
      <c r="IQ60" s="1432"/>
      <c r="IR60" s="1432"/>
      <c r="IS60" s="1432"/>
      <c r="IT60" s="1432"/>
      <c r="IU60" s="1432"/>
      <c r="IV60" s="1432"/>
    </row>
    <row r="61" spans="1:256" ht="15">
      <c r="A61" s="1492">
        <v>7</v>
      </c>
      <c r="B61" s="1547" t="s">
        <v>514</v>
      </c>
      <c r="C61" s="1535"/>
      <c r="D61" s="1543">
        <f>Basic_CostCmt!F81/100</f>
        <v>3.2509626086956532E-2</v>
      </c>
      <c r="E61" s="1535"/>
      <c r="F61" s="1538">
        <f>D61*$F$54</f>
        <v>5.8517326956521757E-3</v>
      </c>
      <c r="G61" s="1535"/>
      <c r="H61" s="1535"/>
      <c r="I61" s="1538">
        <f t="shared" si="1"/>
        <v>3.8361358782608705E-2</v>
      </c>
      <c r="J61" s="1432"/>
      <c r="K61" s="1432"/>
      <c r="L61" s="361"/>
      <c r="M61" s="361"/>
      <c r="N61" s="361"/>
      <c r="O61" s="361"/>
      <c r="P61" s="361"/>
      <c r="Q61" s="361"/>
      <c r="R61" s="1432"/>
      <c r="S61" s="1545"/>
      <c r="T61" s="1432"/>
      <c r="U61" s="1546"/>
      <c r="V61" s="1432"/>
      <c r="W61" s="1432"/>
      <c r="X61" s="1432"/>
      <c r="Y61" s="1432"/>
      <c r="Z61" s="1432"/>
      <c r="AA61" s="1432"/>
      <c r="AB61" s="1432"/>
      <c r="AC61" s="1432"/>
      <c r="AD61" s="1432"/>
      <c r="AE61" s="1432"/>
      <c r="AF61" s="1432"/>
      <c r="AG61" s="1432"/>
      <c r="AH61" s="1432"/>
      <c r="AI61" s="1432"/>
      <c r="AJ61" s="1432"/>
      <c r="AK61" s="1432"/>
      <c r="AL61" s="1432"/>
      <c r="AM61" s="1432"/>
      <c r="AN61" s="1432"/>
      <c r="AO61" s="1432"/>
      <c r="AP61" s="1432"/>
      <c r="AQ61" s="1432"/>
      <c r="AR61" s="1432"/>
      <c r="AS61" s="1432"/>
      <c r="AT61" s="1432"/>
      <c r="AU61" s="1432"/>
      <c r="AV61" s="1432"/>
      <c r="AW61" s="1432"/>
      <c r="AX61" s="1432"/>
      <c r="AY61" s="1432"/>
      <c r="AZ61" s="1432"/>
      <c r="BA61" s="1432"/>
      <c r="BB61" s="1432"/>
      <c r="BC61" s="1432"/>
      <c r="BD61" s="1432"/>
      <c r="BE61" s="1432"/>
      <c r="BF61" s="1432"/>
      <c r="BG61" s="1432"/>
      <c r="BH61" s="1432"/>
      <c r="BI61" s="1432"/>
      <c r="BJ61" s="1432"/>
      <c r="BK61" s="1432"/>
      <c r="BL61" s="1432"/>
      <c r="BM61" s="1432"/>
      <c r="BN61" s="1432"/>
      <c r="BO61" s="1432"/>
      <c r="BP61" s="1432"/>
      <c r="BQ61" s="1432"/>
      <c r="BR61" s="1432"/>
      <c r="BS61" s="1432"/>
      <c r="BT61" s="1432"/>
      <c r="BU61" s="1432"/>
      <c r="BV61" s="1432"/>
      <c r="BW61" s="1432"/>
      <c r="BX61" s="1432"/>
      <c r="BY61" s="1432"/>
      <c r="BZ61" s="1432"/>
      <c r="CA61" s="1432"/>
      <c r="CB61" s="1432"/>
      <c r="CC61" s="1432"/>
      <c r="CD61" s="1432"/>
      <c r="CE61" s="1432"/>
      <c r="CF61" s="1432"/>
      <c r="CG61" s="1432"/>
      <c r="CH61" s="1432"/>
      <c r="CI61" s="1432"/>
      <c r="CJ61" s="1432"/>
      <c r="CK61" s="1432"/>
      <c r="CL61" s="1432"/>
      <c r="CM61" s="1432"/>
      <c r="CN61" s="1432"/>
      <c r="CO61" s="1432"/>
      <c r="CP61" s="1432"/>
      <c r="CQ61" s="1432"/>
      <c r="CR61" s="1432"/>
      <c r="CS61" s="1432"/>
      <c r="CT61" s="1432"/>
      <c r="CU61" s="1432"/>
      <c r="CV61" s="1432"/>
      <c r="CW61" s="1432"/>
      <c r="CX61" s="1432"/>
      <c r="CY61" s="1432"/>
      <c r="CZ61" s="1432"/>
      <c r="DA61" s="1432"/>
      <c r="DB61" s="1432"/>
      <c r="DC61" s="1432"/>
      <c r="DD61" s="1432"/>
      <c r="DE61" s="1432"/>
      <c r="DF61" s="1432"/>
      <c r="DG61" s="1432"/>
      <c r="DH61" s="1432"/>
      <c r="DI61" s="1432"/>
      <c r="DJ61" s="1432"/>
      <c r="DK61" s="1432"/>
      <c r="DL61" s="1432"/>
      <c r="DM61" s="1432"/>
      <c r="DN61" s="1432"/>
      <c r="DO61" s="1432"/>
      <c r="DP61" s="1432"/>
      <c r="DQ61" s="1432"/>
      <c r="DR61" s="1432"/>
      <c r="DS61" s="1432"/>
      <c r="DT61" s="1432"/>
      <c r="DU61" s="1432"/>
      <c r="DV61" s="1432"/>
      <c r="DW61" s="1432"/>
      <c r="DX61" s="1432"/>
      <c r="DY61" s="1432"/>
      <c r="DZ61" s="1432"/>
      <c r="EA61" s="1432"/>
      <c r="EB61" s="1432"/>
      <c r="EC61" s="1432"/>
      <c r="ED61" s="1432"/>
      <c r="EE61" s="1432"/>
      <c r="EF61" s="1432"/>
      <c r="EG61" s="1432"/>
      <c r="EH61" s="1432"/>
      <c r="EI61" s="1432"/>
      <c r="EJ61" s="1432"/>
      <c r="EK61" s="1432"/>
      <c r="EL61" s="1432"/>
      <c r="EM61" s="1432"/>
      <c r="EN61" s="1432"/>
      <c r="EO61" s="1432"/>
      <c r="EP61" s="1432"/>
      <c r="EQ61" s="1432"/>
      <c r="ER61" s="1432"/>
      <c r="ES61" s="1432"/>
      <c r="ET61" s="1432"/>
      <c r="EU61" s="1432"/>
      <c r="EV61" s="1432"/>
      <c r="EW61" s="1432"/>
      <c r="EX61" s="1432"/>
      <c r="EY61" s="1432"/>
      <c r="EZ61" s="1432"/>
      <c r="FA61" s="1432"/>
      <c r="FB61" s="1432"/>
      <c r="FC61" s="1432"/>
      <c r="FD61" s="1432"/>
      <c r="FE61" s="1432"/>
      <c r="FF61" s="1432"/>
      <c r="FG61" s="1432"/>
      <c r="FH61" s="1432"/>
      <c r="FI61" s="1432"/>
      <c r="FJ61" s="1432"/>
      <c r="FK61" s="1432"/>
      <c r="FL61" s="1432"/>
      <c r="FM61" s="1432"/>
      <c r="FN61" s="1432"/>
      <c r="FO61" s="1432"/>
      <c r="FP61" s="1432"/>
      <c r="FQ61" s="1432"/>
      <c r="FR61" s="1432"/>
      <c r="FS61" s="1432"/>
      <c r="FT61" s="1432"/>
      <c r="FU61" s="1432"/>
      <c r="FV61" s="1432"/>
      <c r="FW61" s="1432"/>
      <c r="FX61" s="1432"/>
      <c r="FY61" s="1432"/>
      <c r="FZ61" s="1432"/>
      <c r="GA61" s="1432"/>
      <c r="GB61" s="1432"/>
      <c r="GC61" s="1432"/>
      <c r="GD61" s="1432"/>
      <c r="GE61" s="1432"/>
      <c r="GF61" s="1432"/>
      <c r="GG61" s="1432"/>
      <c r="GH61" s="1432"/>
      <c r="GI61" s="1432"/>
      <c r="GJ61" s="1432"/>
      <c r="GK61" s="1432"/>
      <c r="GL61" s="1432"/>
      <c r="GM61" s="1432"/>
      <c r="GN61" s="1432"/>
      <c r="GO61" s="1432"/>
      <c r="GP61" s="1432"/>
      <c r="GQ61" s="1432"/>
      <c r="GR61" s="1432"/>
      <c r="GS61" s="1432"/>
      <c r="GT61" s="1432"/>
      <c r="GU61" s="1432"/>
      <c r="GV61" s="1432"/>
      <c r="GW61" s="1432"/>
      <c r="GX61" s="1432"/>
      <c r="GY61" s="1432"/>
      <c r="GZ61" s="1432"/>
      <c r="HA61" s="1432"/>
      <c r="HB61" s="1432"/>
      <c r="HC61" s="1432"/>
      <c r="HD61" s="1432"/>
      <c r="HE61" s="1432"/>
      <c r="HF61" s="1432"/>
      <c r="HG61" s="1432"/>
      <c r="HH61" s="1432"/>
      <c r="HI61" s="1432"/>
      <c r="HJ61" s="1432"/>
      <c r="HK61" s="1432"/>
      <c r="HL61" s="1432"/>
      <c r="HM61" s="1432"/>
      <c r="HN61" s="1432"/>
      <c r="HO61" s="1432"/>
      <c r="HP61" s="1432"/>
      <c r="HQ61" s="1432"/>
      <c r="HR61" s="1432"/>
      <c r="HS61" s="1432"/>
      <c r="HT61" s="1432"/>
      <c r="HU61" s="1432"/>
      <c r="HV61" s="1432"/>
      <c r="HW61" s="1432"/>
      <c r="HX61" s="1432"/>
      <c r="HY61" s="1432"/>
      <c r="HZ61" s="1432"/>
      <c r="IA61" s="1432"/>
      <c r="IB61" s="1432"/>
      <c r="IC61" s="1432"/>
      <c r="ID61" s="1432"/>
      <c r="IE61" s="1432"/>
      <c r="IF61" s="1432"/>
      <c r="IG61" s="1432"/>
      <c r="IH61" s="1432"/>
      <c r="II61" s="1432"/>
      <c r="IJ61" s="1432"/>
      <c r="IK61" s="1432"/>
      <c r="IL61" s="1432"/>
      <c r="IM61" s="1432"/>
      <c r="IN61" s="1432"/>
      <c r="IO61" s="1432"/>
      <c r="IP61" s="1432"/>
      <c r="IQ61" s="1432"/>
      <c r="IR61" s="1432"/>
      <c r="IS61" s="1432"/>
      <c r="IT61" s="1432"/>
      <c r="IU61" s="1432"/>
      <c r="IV61" s="1432"/>
    </row>
    <row r="62" spans="1:256" ht="15">
      <c r="A62" s="1492"/>
      <c r="B62" s="1548" t="s">
        <v>515</v>
      </c>
      <c r="C62" s="1535"/>
      <c r="D62" s="1504">
        <f>Basic_CostCmt!F70/100</f>
        <v>0.54068404521739144</v>
      </c>
      <c r="E62" s="1535"/>
      <c r="F62" s="1538">
        <f t="shared" ref="F62:F67" si="2">D62*$F$54</f>
        <v>9.7323128139130452E-2</v>
      </c>
      <c r="G62" s="1535"/>
      <c r="H62" s="1535"/>
      <c r="I62" s="1538">
        <f t="shared" si="1"/>
        <v>0.63800717335652191</v>
      </c>
      <c r="J62" s="1432"/>
      <c r="K62" s="1432"/>
      <c r="L62" s="361"/>
      <c r="M62" s="361"/>
      <c r="N62" s="361"/>
      <c r="O62" s="361"/>
      <c r="P62" s="361"/>
      <c r="Q62" s="361"/>
      <c r="R62" s="1432"/>
      <c r="S62" s="1545"/>
      <c r="T62" s="1432"/>
      <c r="U62" s="1546"/>
      <c r="V62" s="1432"/>
      <c r="W62" s="1432"/>
      <c r="X62" s="1432"/>
      <c r="Y62" s="1432"/>
      <c r="Z62" s="1432"/>
      <c r="AA62" s="1432"/>
      <c r="AB62" s="1432"/>
      <c r="AC62" s="1432"/>
      <c r="AD62" s="1432"/>
      <c r="AE62" s="1432"/>
      <c r="AF62" s="1432"/>
      <c r="AG62" s="1432"/>
      <c r="AH62" s="1432"/>
      <c r="AI62" s="1432"/>
      <c r="AJ62" s="1432"/>
      <c r="AK62" s="1432"/>
      <c r="AL62" s="1432"/>
      <c r="AM62" s="1432"/>
      <c r="AN62" s="1432"/>
      <c r="AO62" s="1432"/>
      <c r="AP62" s="1432"/>
      <c r="AQ62" s="1432"/>
      <c r="AR62" s="1432"/>
      <c r="AS62" s="1432"/>
      <c r="AT62" s="1432"/>
      <c r="AU62" s="1432"/>
      <c r="AV62" s="1432"/>
      <c r="AW62" s="1432"/>
      <c r="AX62" s="1432"/>
      <c r="AY62" s="1432"/>
      <c r="AZ62" s="1432"/>
      <c r="BA62" s="1432"/>
      <c r="BB62" s="1432"/>
      <c r="BC62" s="1432"/>
      <c r="BD62" s="1432"/>
      <c r="BE62" s="1432"/>
      <c r="BF62" s="1432"/>
      <c r="BG62" s="1432"/>
      <c r="BH62" s="1432"/>
      <c r="BI62" s="1432"/>
      <c r="BJ62" s="1432"/>
      <c r="BK62" s="1432"/>
      <c r="BL62" s="1432"/>
      <c r="BM62" s="1432"/>
      <c r="BN62" s="1432"/>
      <c r="BO62" s="1432"/>
      <c r="BP62" s="1432"/>
      <c r="BQ62" s="1432"/>
      <c r="BR62" s="1432"/>
      <c r="BS62" s="1432"/>
      <c r="BT62" s="1432"/>
      <c r="BU62" s="1432"/>
      <c r="BV62" s="1432"/>
      <c r="BW62" s="1432"/>
      <c r="BX62" s="1432"/>
      <c r="BY62" s="1432"/>
      <c r="BZ62" s="1432"/>
      <c r="CA62" s="1432"/>
      <c r="CB62" s="1432"/>
      <c r="CC62" s="1432"/>
      <c r="CD62" s="1432"/>
      <c r="CE62" s="1432"/>
      <c r="CF62" s="1432"/>
      <c r="CG62" s="1432"/>
      <c r="CH62" s="1432"/>
      <c r="CI62" s="1432"/>
      <c r="CJ62" s="1432"/>
      <c r="CK62" s="1432"/>
      <c r="CL62" s="1432"/>
      <c r="CM62" s="1432"/>
      <c r="CN62" s="1432"/>
      <c r="CO62" s="1432"/>
      <c r="CP62" s="1432"/>
      <c r="CQ62" s="1432"/>
      <c r="CR62" s="1432"/>
      <c r="CS62" s="1432"/>
      <c r="CT62" s="1432"/>
      <c r="CU62" s="1432"/>
      <c r="CV62" s="1432"/>
      <c r="CW62" s="1432"/>
      <c r="CX62" s="1432"/>
      <c r="CY62" s="1432"/>
      <c r="CZ62" s="1432"/>
      <c r="DA62" s="1432"/>
      <c r="DB62" s="1432"/>
      <c r="DC62" s="1432"/>
      <c r="DD62" s="1432"/>
      <c r="DE62" s="1432"/>
      <c r="DF62" s="1432"/>
      <c r="DG62" s="1432"/>
      <c r="DH62" s="1432"/>
      <c r="DI62" s="1432"/>
      <c r="DJ62" s="1432"/>
      <c r="DK62" s="1432"/>
      <c r="DL62" s="1432"/>
      <c r="DM62" s="1432"/>
      <c r="DN62" s="1432"/>
      <c r="DO62" s="1432"/>
      <c r="DP62" s="1432"/>
      <c r="DQ62" s="1432"/>
      <c r="DR62" s="1432"/>
      <c r="DS62" s="1432"/>
      <c r="DT62" s="1432"/>
      <c r="DU62" s="1432"/>
      <c r="DV62" s="1432"/>
      <c r="DW62" s="1432"/>
      <c r="DX62" s="1432"/>
      <c r="DY62" s="1432"/>
      <c r="DZ62" s="1432"/>
      <c r="EA62" s="1432"/>
      <c r="EB62" s="1432"/>
      <c r="EC62" s="1432"/>
      <c r="ED62" s="1432"/>
      <c r="EE62" s="1432"/>
      <c r="EF62" s="1432"/>
      <c r="EG62" s="1432"/>
      <c r="EH62" s="1432"/>
      <c r="EI62" s="1432"/>
      <c r="EJ62" s="1432"/>
      <c r="EK62" s="1432"/>
      <c r="EL62" s="1432"/>
      <c r="EM62" s="1432"/>
      <c r="EN62" s="1432"/>
      <c r="EO62" s="1432"/>
      <c r="EP62" s="1432"/>
      <c r="EQ62" s="1432"/>
      <c r="ER62" s="1432"/>
      <c r="ES62" s="1432"/>
      <c r="ET62" s="1432"/>
      <c r="EU62" s="1432"/>
      <c r="EV62" s="1432"/>
      <c r="EW62" s="1432"/>
      <c r="EX62" s="1432"/>
      <c r="EY62" s="1432"/>
      <c r="EZ62" s="1432"/>
      <c r="FA62" s="1432"/>
      <c r="FB62" s="1432"/>
      <c r="FC62" s="1432"/>
      <c r="FD62" s="1432"/>
      <c r="FE62" s="1432"/>
      <c r="FF62" s="1432"/>
      <c r="FG62" s="1432"/>
      <c r="FH62" s="1432"/>
      <c r="FI62" s="1432"/>
      <c r="FJ62" s="1432"/>
      <c r="FK62" s="1432"/>
      <c r="FL62" s="1432"/>
      <c r="FM62" s="1432"/>
      <c r="FN62" s="1432"/>
      <c r="FO62" s="1432"/>
      <c r="FP62" s="1432"/>
      <c r="FQ62" s="1432"/>
      <c r="FR62" s="1432"/>
      <c r="FS62" s="1432"/>
      <c r="FT62" s="1432"/>
      <c r="FU62" s="1432"/>
      <c r="FV62" s="1432"/>
      <c r="FW62" s="1432"/>
      <c r="FX62" s="1432"/>
      <c r="FY62" s="1432"/>
      <c r="FZ62" s="1432"/>
      <c r="GA62" s="1432"/>
      <c r="GB62" s="1432"/>
      <c r="GC62" s="1432"/>
      <c r="GD62" s="1432"/>
      <c r="GE62" s="1432"/>
      <c r="GF62" s="1432"/>
      <c r="GG62" s="1432"/>
      <c r="GH62" s="1432"/>
      <c r="GI62" s="1432"/>
      <c r="GJ62" s="1432"/>
      <c r="GK62" s="1432"/>
      <c r="GL62" s="1432"/>
      <c r="GM62" s="1432"/>
      <c r="GN62" s="1432"/>
      <c r="GO62" s="1432"/>
      <c r="GP62" s="1432"/>
      <c r="GQ62" s="1432"/>
      <c r="GR62" s="1432"/>
      <c r="GS62" s="1432"/>
      <c r="GT62" s="1432"/>
      <c r="GU62" s="1432"/>
      <c r="GV62" s="1432"/>
      <c r="GW62" s="1432"/>
      <c r="GX62" s="1432"/>
      <c r="GY62" s="1432"/>
      <c r="GZ62" s="1432"/>
      <c r="HA62" s="1432"/>
      <c r="HB62" s="1432"/>
      <c r="HC62" s="1432"/>
      <c r="HD62" s="1432"/>
      <c r="HE62" s="1432"/>
      <c r="HF62" s="1432"/>
      <c r="HG62" s="1432"/>
      <c r="HH62" s="1432"/>
      <c r="HI62" s="1432"/>
      <c r="HJ62" s="1432"/>
      <c r="HK62" s="1432"/>
      <c r="HL62" s="1432"/>
      <c r="HM62" s="1432"/>
      <c r="HN62" s="1432"/>
      <c r="HO62" s="1432"/>
      <c r="HP62" s="1432"/>
      <c r="HQ62" s="1432"/>
      <c r="HR62" s="1432"/>
      <c r="HS62" s="1432"/>
      <c r="HT62" s="1432"/>
      <c r="HU62" s="1432"/>
      <c r="HV62" s="1432"/>
      <c r="HW62" s="1432"/>
      <c r="HX62" s="1432"/>
      <c r="HY62" s="1432"/>
      <c r="HZ62" s="1432"/>
      <c r="IA62" s="1432"/>
      <c r="IB62" s="1432"/>
      <c r="IC62" s="1432"/>
      <c r="ID62" s="1432"/>
      <c r="IE62" s="1432"/>
      <c r="IF62" s="1432"/>
      <c r="IG62" s="1432"/>
      <c r="IH62" s="1432"/>
      <c r="II62" s="1432"/>
      <c r="IJ62" s="1432"/>
      <c r="IK62" s="1432"/>
      <c r="IL62" s="1432"/>
      <c r="IM62" s="1432"/>
      <c r="IN62" s="1432"/>
      <c r="IO62" s="1432"/>
      <c r="IP62" s="1432"/>
      <c r="IQ62" s="1432"/>
      <c r="IR62" s="1432"/>
      <c r="IS62" s="1432"/>
      <c r="IT62" s="1432"/>
      <c r="IU62" s="1432"/>
      <c r="IV62" s="1432"/>
    </row>
    <row r="63" spans="1:256" ht="15.6">
      <c r="A63" s="1492">
        <v>8</v>
      </c>
      <c r="B63" s="1549" t="s">
        <v>516</v>
      </c>
      <c r="C63" s="1535"/>
      <c r="D63" s="1536">
        <f>C56*1.07*C47+D56*C48</f>
        <v>2.2615222297500001E-2</v>
      </c>
      <c r="E63" s="1550"/>
      <c r="F63" s="1538">
        <f t="shared" si="2"/>
        <v>4.0707400135500003E-3</v>
      </c>
      <c r="G63" s="1550"/>
      <c r="H63" s="1550"/>
      <c r="I63" s="1538">
        <f t="shared" si="1"/>
        <v>2.6685962311050002E-2</v>
      </c>
      <c r="J63" s="1432"/>
      <c r="K63" s="1432"/>
      <c r="L63" s="361"/>
      <c r="M63" s="361"/>
      <c r="N63" s="361"/>
      <c r="O63" s="361"/>
      <c r="P63" s="361"/>
      <c r="Q63" s="361"/>
      <c r="R63" s="1432"/>
      <c r="S63" s="1551"/>
      <c r="T63" s="1432"/>
      <c r="U63" s="1432"/>
      <c r="V63" s="1432"/>
      <c r="W63" s="1432"/>
      <c r="X63" s="1432"/>
      <c r="Y63" s="1432"/>
      <c r="Z63" s="1432"/>
      <c r="AA63" s="1432"/>
      <c r="AB63" s="1432"/>
      <c r="AC63" s="1432"/>
      <c r="AD63" s="1432"/>
      <c r="AE63" s="1432"/>
      <c r="AF63" s="1432"/>
      <c r="AG63" s="1432"/>
      <c r="AH63" s="1432"/>
      <c r="AI63" s="1432"/>
      <c r="AJ63" s="1432"/>
      <c r="AK63" s="1432"/>
      <c r="AL63" s="1432"/>
      <c r="AM63" s="1432"/>
      <c r="AN63" s="1432"/>
      <c r="AO63" s="1432"/>
      <c r="AP63" s="1432"/>
      <c r="AQ63" s="1432"/>
      <c r="AR63" s="1432"/>
      <c r="AS63" s="1432"/>
      <c r="AT63" s="1432"/>
      <c r="AU63" s="1432"/>
      <c r="AV63" s="1432"/>
      <c r="AW63" s="1432"/>
      <c r="AX63" s="1432"/>
      <c r="AY63" s="1432"/>
      <c r="AZ63" s="1432"/>
      <c r="BA63" s="1432"/>
      <c r="BB63" s="1432"/>
      <c r="BC63" s="1432"/>
      <c r="BD63" s="1432"/>
      <c r="BE63" s="1432"/>
      <c r="BF63" s="1432"/>
      <c r="BG63" s="1432"/>
      <c r="BH63" s="1432"/>
      <c r="BI63" s="1432"/>
      <c r="BJ63" s="1432"/>
      <c r="BK63" s="1432"/>
      <c r="BL63" s="1432"/>
      <c r="BM63" s="1432"/>
      <c r="BN63" s="1432"/>
      <c r="BO63" s="1432"/>
      <c r="BP63" s="1432"/>
      <c r="BQ63" s="1432"/>
      <c r="BR63" s="1432"/>
      <c r="BS63" s="1432"/>
      <c r="BT63" s="1432"/>
      <c r="BU63" s="1432"/>
      <c r="BV63" s="1432"/>
      <c r="BW63" s="1432"/>
      <c r="BX63" s="1432"/>
      <c r="BY63" s="1432"/>
      <c r="BZ63" s="1432"/>
      <c r="CA63" s="1432"/>
      <c r="CB63" s="1432"/>
      <c r="CC63" s="1432"/>
      <c r="CD63" s="1432"/>
      <c r="CE63" s="1432"/>
      <c r="CF63" s="1432"/>
      <c r="CG63" s="1432"/>
      <c r="CH63" s="1432"/>
      <c r="CI63" s="1432"/>
      <c r="CJ63" s="1432"/>
      <c r="CK63" s="1432"/>
      <c r="CL63" s="1432"/>
      <c r="CM63" s="1432"/>
      <c r="CN63" s="1432"/>
      <c r="CO63" s="1432"/>
      <c r="CP63" s="1432"/>
      <c r="CQ63" s="1432"/>
      <c r="CR63" s="1432"/>
      <c r="CS63" s="1432"/>
      <c r="CT63" s="1432"/>
      <c r="CU63" s="1432"/>
      <c r="CV63" s="1432"/>
      <c r="CW63" s="1432"/>
      <c r="CX63" s="1432"/>
      <c r="CY63" s="1432"/>
      <c r="CZ63" s="1432"/>
      <c r="DA63" s="1432"/>
      <c r="DB63" s="1432"/>
      <c r="DC63" s="1432"/>
      <c r="DD63" s="1432"/>
      <c r="DE63" s="1432"/>
      <c r="DF63" s="1432"/>
      <c r="DG63" s="1432"/>
      <c r="DH63" s="1432"/>
      <c r="DI63" s="1432"/>
      <c r="DJ63" s="1432"/>
      <c r="DK63" s="1432"/>
      <c r="DL63" s="1432"/>
      <c r="DM63" s="1432"/>
      <c r="DN63" s="1432"/>
      <c r="DO63" s="1432"/>
      <c r="DP63" s="1432"/>
      <c r="DQ63" s="1432"/>
      <c r="DR63" s="1432"/>
      <c r="DS63" s="1432"/>
      <c r="DT63" s="1432"/>
      <c r="DU63" s="1432"/>
      <c r="DV63" s="1432"/>
      <c r="DW63" s="1432"/>
      <c r="DX63" s="1432"/>
      <c r="DY63" s="1432"/>
      <c r="DZ63" s="1432"/>
      <c r="EA63" s="1432"/>
      <c r="EB63" s="1432"/>
      <c r="EC63" s="1432"/>
      <c r="ED63" s="1432"/>
      <c r="EE63" s="1432"/>
      <c r="EF63" s="1432"/>
      <c r="EG63" s="1432"/>
      <c r="EH63" s="1432"/>
      <c r="EI63" s="1432"/>
      <c r="EJ63" s="1432"/>
      <c r="EK63" s="1432"/>
      <c r="EL63" s="1432"/>
      <c r="EM63" s="1432"/>
      <c r="EN63" s="1432"/>
      <c r="EO63" s="1432"/>
      <c r="EP63" s="1432"/>
      <c r="EQ63" s="1432"/>
      <c r="ER63" s="1432"/>
      <c r="ES63" s="1432"/>
      <c r="ET63" s="1432"/>
      <c r="EU63" s="1432"/>
      <c r="EV63" s="1432"/>
      <c r="EW63" s="1432"/>
      <c r="EX63" s="1432"/>
      <c r="EY63" s="1432"/>
      <c r="EZ63" s="1432"/>
      <c r="FA63" s="1432"/>
      <c r="FB63" s="1432"/>
      <c r="FC63" s="1432"/>
      <c r="FD63" s="1432"/>
      <c r="FE63" s="1432"/>
      <c r="FF63" s="1432"/>
      <c r="FG63" s="1432"/>
      <c r="FH63" s="1432"/>
      <c r="FI63" s="1432"/>
      <c r="FJ63" s="1432"/>
      <c r="FK63" s="1432"/>
      <c r="FL63" s="1432"/>
      <c r="FM63" s="1432"/>
      <c r="FN63" s="1432"/>
      <c r="FO63" s="1432"/>
      <c r="FP63" s="1432"/>
      <c r="FQ63" s="1432"/>
      <c r="FR63" s="1432"/>
      <c r="FS63" s="1432"/>
      <c r="FT63" s="1432"/>
      <c r="FU63" s="1432"/>
      <c r="FV63" s="1432"/>
      <c r="FW63" s="1432"/>
      <c r="FX63" s="1432"/>
      <c r="FY63" s="1432"/>
      <c r="FZ63" s="1432"/>
      <c r="GA63" s="1432"/>
      <c r="GB63" s="1432"/>
      <c r="GC63" s="1432"/>
      <c r="GD63" s="1432"/>
      <c r="GE63" s="1432"/>
      <c r="GF63" s="1432"/>
      <c r="GG63" s="1432"/>
      <c r="GH63" s="1432"/>
      <c r="GI63" s="1432"/>
      <c r="GJ63" s="1432"/>
      <c r="GK63" s="1432"/>
      <c r="GL63" s="1432"/>
      <c r="GM63" s="1432"/>
      <c r="GN63" s="1432"/>
      <c r="GO63" s="1432"/>
      <c r="GP63" s="1432"/>
      <c r="GQ63" s="1432"/>
      <c r="GR63" s="1432"/>
      <c r="GS63" s="1432"/>
      <c r="GT63" s="1432"/>
      <c r="GU63" s="1432"/>
      <c r="GV63" s="1432"/>
      <c r="GW63" s="1432"/>
      <c r="GX63" s="1432"/>
      <c r="GY63" s="1432"/>
      <c r="GZ63" s="1432"/>
      <c r="HA63" s="1432"/>
      <c r="HB63" s="1432"/>
      <c r="HC63" s="1432"/>
      <c r="HD63" s="1432"/>
      <c r="HE63" s="1432"/>
      <c r="HF63" s="1432"/>
      <c r="HG63" s="1432"/>
      <c r="HH63" s="1432"/>
      <c r="HI63" s="1432"/>
      <c r="HJ63" s="1432"/>
      <c r="HK63" s="1432"/>
      <c r="HL63" s="1432"/>
      <c r="HM63" s="1432"/>
      <c r="HN63" s="1432"/>
      <c r="HO63" s="1432"/>
      <c r="HP63" s="1432"/>
      <c r="HQ63" s="1432"/>
      <c r="HR63" s="1432"/>
      <c r="HS63" s="1432"/>
      <c r="HT63" s="1432"/>
      <c r="HU63" s="1432"/>
      <c r="HV63" s="1432"/>
      <c r="HW63" s="1432"/>
      <c r="HX63" s="1432"/>
      <c r="HY63" s="1432"/>
      <c r="HZ63" s="1432"/>
      <c r="IA63" s="1432"/>
      <c r="IB63" s="1432"/>
      <c r="IC63" s="1432"/>
      <c r="ID63" s="1432"/>
      <c r="IE63" s="1432"/>
      <c r="IF63" s="1432"/>
      <c r="IG63" s="1432"/>
      <c r="IH63" s="1432"/>
      <c r="II63" s="1432"/>
      <c r="IJ63" s="1432"/>
      <c r="IK63" s="1432"/>
      <c r="IL63" s="1432"/>
      <c r="IM63" s="1432"/>
      <c r="IN63" s="1432"/>
      <c r="IO63" s="1432"/>
      <c r="IP63" s="1432"/>
      <c r="IQ63" s="1432"/>
      <c r="IR63" s="1432"/>
      <c r="IS63" s="1432"/>
      <c r="IT63" s="1432"/>
      <c r="IU63" s="1432"/>
      <c r="IV63" s="1432"/>
    </row>
    <row r="64" spans="1:256" ht="15.6">
      <c r="A64" s="1492"/>
      <c r="B64" s="1549" t="s">
        <v>517</v>
      </c>
      <c r="C64" s="1535"/>
      <c r="D64" s="1536">
        <f>C58*1.07*C49+D58*C49</f>
        <v>0</v>
      </c>
      <c r="E64" s="1550"/>
      <c r="F64" s="1538">
        <f t="shared" si="2"/>
        <v>0</v>
      </c>
      <c r="G64" s="1550"/>
      <c r="H64" s="1550"/>
      <c r="I64" s="1538">
        <f t="shared" si="1"/>
        <v>0</v>
      </c>
      <c r="J64" s="1432"/>
      <c r="K64" s="1432"/>
      <c r="L64" s="361"/>
      <c r="M64" s="361"/>
      <c r="N64" s="361"/>
      <c r="O64" s="361"/>
      <c r="P64" s="361"/>
      <c r="Q64" s="361"/>
      <c r="R64" s="1432"/>
      <c r="S64" s="1551"/>
      <c r="T64" s="1432"/>
      <c r="U64" s="1432"/>
      <c r="V64" s="1432"/>
      <c r="W64" s="1432"/>
      <c r="X64" s="1432"/>
      <c r="Y64" s="1432"/>
      <c r="Z64" s="1432"/>
      <c r="AA64" s="1432"/>
      <c r="AB64" s="1432"/>
      <c r="AC64" s="1432"/>
      <c r="AD64" s="1432"/>
      <c r="AE64" s="1432"/>
      <c r="AF64" s="1432"/>
      <c r="AG64" s="1432"/>
      <c r="AH64" s="1432"/>
      <c r="AI64" s="1432"/>
      <c r="AJ64" s="1432"/>
      <c r="AK64" s="1432"/>
      <c r="AL64" s="1432"/>
      <c r="AM64" s="1432"/>
      <c r="AN64" s="1432"/>
      <c r="AO64" s="1432"/>
      <c r="AP64" s="1432"/>
      <c r="AQ64" s="1432"/>
      <c r="AR64" s="1432"/>
      <c r="AS64" s="1432"/>
      <c r="AT64" s="1432"/>
      <c r="AU64" s="1432"/>
      <c r="AV64" s="1432"/>
      <c r="AW64" s="1432"/>
      <c r="AX64" s="1432"/>
      <c r="AY64" s="1432"/>
      <c r="AZ64" s="1432"/>
      <c r="BA64" s="1432"/>
      <c r="BB64" s="1432"/>
      <c r="BC64" s="1432"/>
      <c r="BD64" s="1432"/>
      <c r="BE64" s="1432"/>
      <c r="BF64" s="1432"/>
      <c r="BG64" s="1432"/>
      <c r="BH64" s="1432"/>
      <c r="BI64" s="1432"/>
      <c r="BJ64" s="1432"/>
      <c r="BK64" s="1432"/>
      <c r="BL64" s="1432"/>
      <c r="BM64" s="1432"/>
      <c r="BN64" s="1432"/>
      <c r="BO64" s="1432"/>
      <c r="BP64" s="1432"/>
      <c r="BQ64" s="1432"/>
      <c r="BR64" s="1432"/>
      <c r="BS64" s="1432"/>
      <c r="BT64" s="1432"/>
      <c r="BU64" s="1432"/>
      <c r="BV64" s="1432"/>
      <c r="BW64" s="1432"/>
      <c r="BX64" s="1432"/>
      <c r="BY64" s="1432"/>
      <c r="BZ64" s="1432"/>
      <c r="CA64" s="1432"/>
      <c r="CB64" s="1432"/>
      <c r="CC64" s="1432"/>
      <c r="CD64" s="1432"/>
      <c r="CE64" s="1432"/>
      <c r="CF64" s="1432"/>
      <c r="CG64" s="1432"/>
      <c r="CH64" s="1432"/>
      <c r="CI64" s="1432"/>
      <c r="CJ64" s="1432"/>
      <c r="CK64" s="1432"/>
      <c r="CL64" s="1432"/>
      <c r="CM64" s="1432"/>
      <c r="CN64" s="1432"/>
      <c r="CO64" s="1432"/>
      <c r="CP64" s="1432"/>
      <c r="CQ64" s="1432"/>
      <c r="CR64" s="1432"/>
      <c r="CS64" s="1432"/>
      <c r="CT64" s="1432"/>
      <c r="CU64" s="1432"/>
      <c r="CV64" s="1432"/>
      <c r="CW64" s="1432"/>
      <c r="CX64" s="1432"/>
      <c r="CY64" s="1432"/>
      <c r="CZ64" s="1432"/>
      <c r="DA64" s="1432"/>
      <c r="DB64" s="1432"/>
      <c r="DC64" s="1432"/>
      <c r="DD64" s="1432"/>
      <c r="DE64" s="1432"/>
      <c r="DF64" s="1432"/>
      <c r="DG64" s="1432"/>
      <c r="DH64" s="1432"/>
      <c r="DI64" s="1432"/>
      <c r="DJ64" s="1432"/>
      <c r="DK64" s="1432"/>
      <c r="DL64" s="1432"/>
      <c r="DM64" s="1432"/>
      <c r="DN64" s="1432"/>
      <c r="DO64" s="1432"/>
      <c r="DP64" s="1432"/>
      <c r="DQ64" s="1432"/>
      <c r="DR64" s="1432"/>
      <c r="DS64" s="1432"/>
      <c r="DT64" s="1432"/>
      <c r="DU64" s="1432"/>
      <c r="DV64" s="1432"/>
      <c r="DW64" s="1432"/>
      <c r="DX64" s="1432"/>
      <c r="DY64" s="1432"/>
      <c r="DZ64" s="1432"/>
      <c r="EA64" s="1432"/>
      <c r="EB64" s="1432"/>
      <c r="EC64" s="1432"/>
      <c r="ED64" s="1432"/>
      <c r="EE64" s="1432"/>
      <c r="EF64" s="1432"/>
      <c r="EG64" s="1432"/>
      <c r="EH64" s="1432"/>
      <c r="EI64" s="1432"/>
      <c r="EJ64" s="1432"/>
      <c r="EK64" s="1432"/>
      <c r="EL64" s="1432"/>
      <c r="EM64" s="1432"/>
      <c r="EN64" s="1432"/>
      <c r="EO64" s="1432"/>
      <c r="EP64" s="1432"/>
      <c r="EQ64" s="1432"/>
      <c r="ER64" s="1432"/>
      <c r="ES64" s="1432"/>
      <c r="ET64" s="1432"/>
      <c r="EU64" s="1432"/>
      <c r="EV64" s="1432"/>
      <c r="EW64" s="1432"/>
      <c r="EX64" s="1432"/>
      <c r="EY64" s="1432"/>
      <c r="EZ64" s="1432"/>
      <c r="FA64" s="1432"/>
      <c r="FB64" s="1432"/>
      <c r="FC64" s="1432"/>
      <c r="FD64" s="1432"/>
      <c r="FE64" s="1432"/>
      <c r="FF64" s="1432"/>
      <c r="FG64" s="1432"/>
      <c r="FH64" s="1432"/>
      <c r="FI64" s="1432"/>
      <c r="FJ64" s="1432"/>
      <c r="FK64" s="1432"/>
      <c r="FL64" s="1432"/>
      <c r="FM64" s="1432"/>
      <c r="FN64" s="1432"/>
      <c r="FO64" s="1432"/>
      <c r="FP64" s="1432"/>
      <c r="FQ64" s="1432"/>
      <c r="FR64" s="1432"/>
      <c r="FS64" s="1432"/>
      <c r="FT64" s="1432"/>
      <c r="FU64" s="1432"/>
      <c r="FV64" s="1432"/>
      <c r="FW64" s="1432"/>
      <c r="FX64" s="1432"/>
      <c r="FY64" s="1432"/>
      <c r="FZ64" s="1432"/>
      <c r="GA64" s="1432"/>
      <c r="GB64" s="1432"/>
      <c r="GC64" s="1432"/>
      <c r="GD64" s="1432"/>
      <c r="GE64" s="1432"/>
      <c r="GF64" s="1432"/>
      <c r="GG64" s="1432"/>
      <c r="GH64" s="1432"/>
      <c r="GI64" s="1432"/>
      <c r="GJ64" s="1432"/>
      <c r="GK64" s="1432"/>
      <c r="GL64" s="1432"/>
      <c r="GM64" s="1432"/>
      <c r="GN64" s="1432"/>
      <c r="GO64" s="1432"/>
      <c r="GP64" s="1432"/>
      <c r="GQ64" s="1432"/>
      <c r="GR64" s="1432"/>
      <c r="GS64" s="1432"/>
      <c r="GT64" s="1432"/>
      <c r="GU64" s="1432"/>
      <c r="GV64" s="1432"/>
      <c r="GW64" s="1432"/>
      <c r="GX64" s="1432"/>
      <c r="GY64" s="1432"/>
      <c r="GZ64" s="1432"/>
      <c r="HA64" s="1432"/>
      <c r="HB64" s="1432"/>
      <c r="HC64" s="1432"/>
      <c r="HD64" s="1432"/>
      <c r="HE64" s="1432"/>
      <c r="HF64" s="1432"/>
      <c r="HG64" s="1432"/>
      <c r="HH64" s="1432"/>
      <c r="HI64" s="1432"/>
      <c r="HJ64" s="1432"/>
      <c r="HK64" s="1432"/>
      <c r="HL64" s="1432"/>
      <c r="HM64" s="1432"/>
      <c r="HN64" s="1432"/>
      <c r="HO64" s="1432"/>
      <c r="HP64" s="1432"/>
      <c r="HQ64" s="1432"/>
      <c r="HR64" s="1432"/>
      <c r="HS64" s="1432"/>
      <c r="HT64" s="1432"/>
      <c r="HU64" s="1432"/>
      <c r="HV64" s="1432"/>
      <c r="HW64" s="1432"/>
      <c r="HX64" s="1432"/>
      <c r="HY64" s="1432"/>
      <c r="HZ64" s="1432"/>
      <c r="IA64" s="1432"/>
      <c r="IB64" s="1432"/>
      <c r="IC64" s="1432"/>
      <c r="ID64" s="1432"/>
      <c r="IE64" s="1432"/>
      <c r="IF64" s="1432"/>
      <c r="IG64" s="1432"/>
      <c r="IH64" s="1432"/>
      <c r="II64" s="1432"/>
      <c r="IJ64" s="1432"/>
      <c r="IK64" s="1432"/>
      <c r="IL64" s="1432"/>
      <c r="IM64" s="1432"/>
      <c r="IN64" s="1432"/>
      <c r="IO64" s="1432"/>
      <c r="IP64" s="1432"/>
      <c r="IQ64" s="1432"/>
      <c r="IR64" s="1432"/>
      <c r="IS64" s="1432"/>
      <c r="IT64" s="1432"/>
      <c r="IU64" s="1432"/>
      <c r="IV64" s="1432"/>
    </row>
    <row r="65" spans="1:256" ht="15.6">
      <c r="A65" s="1492"/>
      <c r="B65" s="1549" t="s">
        <v>1174</v>
      </c>
      <c r="C65" s="1535"/>
      <c r="D65" s="1552"/>
      <c r="E65" s="1550"/>
      <c r="F65" s="1538">
        <f t="shared" si="2"/>
        <v>0</v>
      </c>
      <c r="G65" s="1550"/>
      <c r="H65" s="1550"/>
      <c r="I65" s="1538">
        <f t="shared" si="1"/>
        <v>0</v>
      </c>
      <c r="J65" s="1432"/>
      <c r="K65" s="1432"/>
      <c r="L65" s="361"/>
      <c r="M65" s="361"/>
      <c r="N65" s="361"/>
      <c r="O65" s="361"/>
      <c r="P65" s="361"/>
      <c r="Q65" s="361"/>
      <c r="R65" s="1432"/>
      <c r="S65" s="1551"/>
      <c r="T65" s="1432"/>
      <c r="U65" s="1432"/>
      <c r="V65" s="1432"/>
      <c r="W65" s="1432"/>
      <c r="X65" s="1432"/>
      <c r="Y65" s="1432"/>
      <c r="Z65" s="1432"/>
      <c r="AA65" s="1432"/>
      <c r="AB65" s="1432"/>
      <c r="AC65" s="1432"/>
      <c r="AD65" s="1432"/>
      <c r="AE65" s="1432"/>
      <c r="AF65" s="1432"/>
      <c r="AG65" s="1432"/>
      <c r="AH65" s="1432"/>
      <c r="AI65" s="1432"/>
      <c r="AJ65" s="1432"/>
      <c r="AK65" s="1432"/>
      <c r="AL65" s="1432"/>
      <c r="AM65" s="1432"/>
      <c r="AN65" s="1432"/>
      <c r="AO65" s="1432"/>
      <c r="AP65" s="1432"/>
      <c r="AQ65" s="1432"/>
      <c r="AR65" s="1432"/>
      <c r="AS65" s="1432"/>
      <c r="AT65" s="1432"/>
      <c r="AU65" s="1432"/>
      <c r="AV65" s="1432"/>
      <c r="AW65" s="1432"/>
      <c r="AX65" s="1432"/>
      <c r="AY65" s="1432"/>
      <c r="AZ65" s="1432"/>
      <c r="BA65" s="1432"/>
      <c r="BB65" s="1432"/>
      <c r="BC65" s="1432"/>
      <c r="BD65" s="1432"/>
      <c r="BE65" s="1432"/>
      <c r="BF65" s="1432"/>
      <c r="BG65" s="1432"/>
      <c r="BH65" s="1432"/>
      <c r="BI65" s="1432"/>
      <c r="BJ65" s="1432"/>
      <c r="BK65" s="1432"/>
      <c r="BL65" s="1432"/>
      <c r="BM65" s="1432"/>
      <c r="BN65" s="1432"/>
      <c r="BO65" s="1432"/>
      <c r="BP65" s="1432"/>
      <c r="BQ65" s="1432"/>
      <c r="BR65" s="1432"/>
      <c r="BS65" s="1432"/>
      <c r="BT65" s="1432"/>
      <c r="BU65" s="1432"/>
      <c r="BV65" s="1432"/>
      <c r="BW65" s="1432"/>
      <c r="BX65" s="1432"/>
      <c r="BY65" s="1432"/>
      <c r="BZ65" s="1432"/>
      <c r="CA65" s="1432"/>
      <c r="CB65" s="1432"/>
      <c r="CC65" s="1432"/>
      <c r="CD65" s="1432"/>
      <c r="CE65" s="1432"/>
      <c r="CF65" s="1432"/>
      <c r="CG65" s="1432"/>
      <c r="CH65" s="1432"/>
      <c r="CI65" s="1432"/>
      <c r="CJ65" s="1432"/>
      <c r="CK65" s="1432"/>
      <c r="CL65" s="1432"/>
      <c r="CM65" s="1432"/>
      <c r="CN65" s="1432"/>
      <c r="CO65" s="1432"/>
      <c r="CP65" s="1432"/>
      <c r="CQ65" s="1432"/>
      <c r="CR65" s="1432"/>
      <c r="CS65" s="1432"/>
      <c r="CT65" s="1432"/>
      <c r="CU65" s="1432"/>
      <c r="CV65" s="1432"/>
      <c r="CW65" s="1432"/>
      <c r="CX65" s="1432"/>
      <c r="CY65" s="1432"/>
      <c r="CZ65" s="1432"/>
      <c r="DA65" s="1432"/>
      <c r="DB65" s="1432"/>
      <c r="DC65" s="1432"/>
      <c r="DD65" s="1432"/>
      <c r="DE65" s="1432"/>
      <c r="DF65" s="1432"/>
      <c r="DG65" s="1432"/>
      <c r="DH65" s="1432"/>
      <c r="DI65" s="1432"/>
      <c r="DJ65" s="1432"/>
      <c r="DK65" s="1432"/>
      <c r="DL65" s="1432"/>
      <c r="DM65" s="1432"/>
      <c r="DN65" s="1432"/>
      <c r="DO65" s="1432"/>
      <c r="DP65" s="1432"/>
      <c r="DQ65" s="1432"/>
      <c r="DR65" s="1432"/>
      <c r="DS65" s="1432"/>
      <c r="DT65" s="1432"/>
      <c r="DU65" s="1432"/>
      <c r="DV65" s="1432"/>
      <c r="DW65" s="1432"/>
      <c r="DX65" s="1432"/>
      <c r="DY65" s="1432"/>
      <c r="DZ65" s="1432"/>
      <c r="EA65" s="1432"/>
      <c r="EB65" s="1432"/>
      <c r="EC65" s="1432"/>
      <c r="ED65" s="1432"/>
      <c r="EE65" s="1432"/>
      <c r="EF65" s="1432"/>
      <c r="EG65" s="1432"/>
      <c r="EH65" s="1432"/>
      <c r="EI65" s="1432"/>
      <c r="EJ65" s="1432"/>
      <c r="EK65" s="1432"/>
      <c r="EL65" s="1432"/>
      <c r="EM65" s="1432"/>
      <c r="EN65" s="1432"/>
      <c r="EO65" s="1432"/>
      <c r="EP65" s="1432"/>
      <c r="EQ65" s="1432"/>
      <c r="ER65" s="1432"/>
      <c r="ES65" s="1432"/>
      <c r="ET65" s="1432"/>
      <c r="EU65" s="1432"/>
      <c r="EV65" s="1432"/>
      <c r="EW65" s="1432"/>
      <c r="EX65" s="1432"/>
      <c r="EY65" s="1432"/>
      <c r="EZ65" s="1432"/>
      <c r="FA65" s="1432"/>
      <c r="FB65" s="1432"/>
      <c r="FC65" s="1432"/>
      <c r="FD65" s="1432"/>
      <c r="FE65" s="1432"/>
      <c r="FF65" s="1432"/>
      <c r="FG65" s="1432"/>
      <c r="FH65" s="1432"/>
      <c r="FI65" s="1432"/>
      <c r="FJ65" s="1432"/>
      <c r="FK65" s="1432"/>
      <c r="FL65" s="1432"/>
      <c r="FM65" s="1432"/>
      <c r="FN65" s="1432"/>
      <c r="FO65" s="1432"/>
      <c r="FP65" s="1432"/>
      <c r="FQ65" s="1432"/>
      <c r="FR65" s="1432"/>
      <c r="FS65" s="1432"/>
      <c r="FT65" s="1432"/>
      <c r="FU65" s="1432"/>
      <c r="FV65" s="1432"/>
      <c r="FW65" s="1432"/>
      <c r="FX65" s="1432"/>
      <c r="FY65" s="1432"/>
      <c r="FZ65" s="1432"/>
      <c r="GA65" s="1432"/>
      <c r="GB65" s="1432"/>
      <c r="GC65" s="1432"/>
      <c r="GD65" s="1432"/>
      <c r="GE65" s="1432"/>
      <c r="GF65" s="1432"/>
      <c r="GG65" s="1432"/>
      <c r="GH65" s="1432"/>
      <c r="GI65" s="1432"/>
      <c r="GJ65" s="1432"/>
      <c r="GK65" s="1432"/>
      <c r="GL65" s="1432"/>
      <c r="GM65" s="1432"/>
      <c r="GN65" s="1432"/>
      <c r="GO65" s="1432"/>
      <c r="GP65" s="1432"/>
      <c r="GQ65" s="1432"/>
      <c r="GR65" s="1432"/>
      <c r="GS65" s="1432"/>
      <c r="GT65" s="1432"/>
      <c r="GU65" s="1432"/>
      <c r="GV65" s="1432"/>
      <c r="GW65" s="1432"/>
      <c r="GX65" s="1432"/>
      <c r="GY65" s="1432"/>
      <c r="GZ65" s="1432"/>
      <c r="HA65" s="1432"/>
      <c r="HB65" s="1432"/>
      <c r="HC65" s="1432"/>
      <c r="HD65" s="1432"/>
      <c r="HE65" s="1432"/>
      <c r="HF65" s="1432"/>
      <c r="HG65" s="1432"/>
      <c r="HH65" s="1432"/>
      <c r="HI65" s="1432"/>
      <c r="HJ65" s="1432"/>
      <c r="HK65" s="1432"/>
      <c r="HL65" s="1432"/>
      <c r="HM65" s="1432"/>
      <c r="HN65" s="1432"/>
      <c r="HO65" s="1432"/>
      <c r="HP65" s="1432"/>
      <c r="HQ65" s="1432"/>
      <c r="HR65" s="1432"/>
      <c r="HS65" s="1432"/>
      <c r="HT65" s="1432"/>
      <c r="HU65" s="1432"/>
      <c r="HV65" s="1432"/>
      <c r="HW65" s="1432"/>
      <c r="HX65" s="1432"/>
      <c r="HY65" s="1432"/>
      <c r="HZ65" s="1432"/>
      <c r="IA65" s="1432"/>
      <c r="IB65" s="1432"/>
      <c r="IC65" s="1432"/>
      <c r="ID65" s="1432"/>
      <c r="IE65" s="1432"/>
      <c r="IF65" s="1432"/>
      <c r="IG65" s="1432"/>
      <c r="IH65" s="1432"/>
      <c r="II65" s="1432"/>
      <c r="IJ65" s="1432"/>
      <c r="IK65" s="1432"/>
      <c r="IL65" s="1432"/>
      <c r="IM65" s="1432"/>
      <c r="IN65" s="1432"/>
      <c r="IO65" s="1432"/>
      <c r="IP65" s="1432"/>
      <c r="IQ65" s="1432"/>
      <c r="IR65" s="1432"/>
      <c r="IS65" s="1432"/>
      <c r="IT65" s="1432"/>
      <c r="IU65" s="1432"/>
      <c r="IV65" s="1432"/>
    </row>
    <row r="66" spans="1:256" ht="15.6">
      <c r="A66" s="1492"/>
      <c r="B66" s="1549" t="s">
        <v>116</v>
      </c>
      <c r="C66" s="1535"/>
      <c r="D66" s="1553">
        <f>Basic_CostCmt!F85/100</f>
        <v>0.13750000000000001</v>
      </c>
      <c r="E66" s="1550"/>
      <c r="F66" s="1538">
        <f t="shared" si="2"/>
        <v>2.4750000000000001E-2</v>
      </c>
      <c r="G66" s="1550"/>
      <c r="H66" s="1550"/>
      <c r="I66" s="1538">
        <f t="shared" si="1"/>
        <v>0.16225000000000001</v>
      </c>
      <c r="J66" s="1432"/>
      <c r="K66" s="1432"/>
      <c r="L66" s="361"/>
      <c r="M66" s="361"/>
      <c r="N66" s="361"/>
      <c r="O66" s="361"/>
      <c r="P66" s="361"/>
      <c r="Q66" s="361"/>
      <c r="R66" s="1432"/>
      <c r="S66" s="1551"/>
      <c r="T66" s="1432"/>
      <c r="U66" s="1432"/>
      <c r="V66" s="1432"/>
      <c r="W66" s="1432"/>
      <c r="X66" s="1432"/>
      <c r="Y66" s="1432"/>
      <c r="Z66" s="1432"/>
      <c r="AA66" s="1432"/>
      <c r="AB66" s="1432"/>
      <c r="AC66" s="1432"/>
      <c r="AD66" s="1432"/>
      <c r="AE66" s="1432"/>
      <c r="AF66" s="1432"/>
      <c r="AG66" s="1432"/>
      <c r="AH66" s="1432"/>
      <c r="AI66" s="1432"/>
      <c r="AJ66" s="1432"/>
      <c r="AK66" s="1432"/>
      <c r="AL66" s="1432"/>
      <c r="AM66" s="1432"/>
      <c r="AN66" s="1432"/>
      <c r="AO66" s="1432"/>
      <c r="AP66" s="1432"/>
      <c r="AQ66" s="1432"/>
      <c r="AR66" s="1432"/>
      <c r="AS66" s="1432"/>
      <c r="AT66" s="1432"/>
      <c r="AU66" s="1432"/>
      <c r="AV66" s="1432"/>
      <c r="AW66" s="1432"/>
      <c r="AX66" s="1432"/>
      <c r="AY66" s="1432"/>
      <c r="AZ66" s="1432"/>
      <c r="BA66" s="1432"/>
      <c r="BB66" s="1432"/>
      <c r="BC66" s="1432"/>
      <c r="BD66" s="1432"/>
      <c r="BE66" s="1432"/>
      <c r="BF66" s="1432"/>
      <c r="BG66" s="1432"/>
      <c r="BH66" s="1432"/>
      <c r="BI66" s="1432"/>
      <c r="BJ66" s="1432"/>
      <c r="BK66" s="1432"/>
      <c r="BL66" s="1432"/>
      <c r="BM66" s="1432"/>
      <c r="BN66" s="1432"/>
      <c r="BO66" s="1432"/>
      <c r="BP66" s="1432"/>
      <c r="BQ66" s="1432"/>
      <c r="BR66" s="1432"/>
      <c r="BS66" s="1432"/>
      <c r="BT66" s="1432"/>
      <c r="BU66" s="1432"/>
      <c r="BV66" s="1432"/>
      <c r="BW66" s="1432"/>
      <c r="BX66" s="1432"/>
      <c r="BY66" s="1432"/>
      <c r="BZ66" s="1432"/>
      <c r="CA66" s="1432"/>
      <c r="CB66" s="1432"/>
      <c r="CC66" s="1432"/>
      <c r="CD66" s="1432"/>
      <c r="CE66" s="1432"/>
      <c r="CF66" s="1432"/>
      <c r="CG66" s="1432"/>
      <c r="CH66" s="1432"/>
      <c r="CI66" s="1432"/>
      <c r="CJ66" s="1432"/>
      <c r="CK66" s="1432"/>
      <c r="CL66" s="1432"/>
      <c r="CM66" s="1432"/>
      <c r="CN66" s="1432"/>
      <c r="CO66" s="1432"/>
      <c r="CP66" s="1432"/>
      <c r="CQ66" s="1432"/>
      <c r="CR66" s="1432"/>
      <c r="CS66" s="1432"/>
      <c r="CT66" s="1432"/>
      <c r="CU66" s="1432"/>
      <c r="CV66" s="1432"/>
      <c r="CW66" s="1432"/>
      <c r="CX66" s="1432"/>
      <c r="CY66" s="1432"/>
      <c r="CZ66" s="1432"/>
      <c r="DA66" s="1432"/>
      <c r="DB66" s="1432"/>
      <c r="DC66" s="1432"/>
      <c r="DD66" s="1432"/>
      <c r="DE66" s="1432"/>
      <c r="DF66" s="1432"/>
      <c r="DG66" s="1432"/>
      <c r="DH66" s="1432"/>
      <c r="DI66" s="1432"/>
      <c r="DJ66" s="1432"/>
      <c r="DK66" s="1432"/>
      <c r="DL66" s="1432"/>
      <c r="DM66" s="1432"/>
      <c r="DN66" s="1432"/>
      <c r="DO66" s="1432"/>
      <c r="DP66" s="1432"/>
      <c r="DQ66" s="1432"/>
      <c r="DR66" s="1432"/>
      <c r="DS66" s="1432"/>
      <c r="DT66" s="1432"/>
      <c r="DU66" s="1432"/>
      <c r="DV66" s="1432"/>
      <c r="DW66" s="1432"/>
      <c r="DX66" s="1432"/>
      <c r="DY66" s="1432"/>
      <c r="DZ66" s="1432"/>
      <c r="EA66" s="1432"/>
      <c r="EB66" s="1432"/>
      <c r="EC66" s="1432"/>
      <c r="ED66" s="1432"/>
      <c r="EE66" s="1432"/>
      <c r="EF66" s="1432"/>
      <c r="EG66" s="1432"/>
      <c r="EH66" s="1432"/>
      <c r="EI66" s="1432"/>
      <c r="EJ66" s="1432"/>
      <c r="EK66" s="1432"/>
      <c r="EL66" s="1432"/>
      <c r="EM66" s="1432"/>
      <c r="EN66" s="1432"/>
      <c r="EO66" s="1432"/>
      <c r="EP66" s="1432"/>
      <c r="EQ66" s="1432"/>
      <c r="ER66" s="1432"/>
      <c r="ES66" s="1432"/>
      <c r="ET66" s="1432"/>
      <c r="EU66" s="1432"/>
      <c r="EV66" s="1432"/>
      <c r="EW66" s="1432"/>
      <c r="EX66" s="1432"/>
      <c r="EY66" s="1432"/>
      <c r="EZ66" s="1432"/>
      <c r="FA66" s="1432"/>
      <c r="FB66" s="1432"/>
      <c r="FC66" s="1432"/>
      <c r="FD66" s="1432"/>
      <c r="FE66" s="1432"/>
      <c r="FF66" s="1432"/>
      <c r="FG66" s="1432"/>
      <c r="FH66" s="1432"/>
      <c r="FI66" s="1432"/>
      <c r="FJ66" s="1432"/>
      <c r="FK66" s="1432"/>
      <c r="FL66" s="1432"/>
      <c r="FM66" s="1432"/>
      <c r="FN66" s="1432"/>
      <c r="FO66" s="1432"/>
      <c r="FP66" s="1432"/>
      <c r="FQ66" s="1432"/>
      <c r="FR66" s="1432"/>
      <c r="FS66" s="1432"/>
      <c r="FT66" s="1432"/>
      <c r="FU66" s="1432"/>
      <c r="FV66" s="1432"/>
      <c r="FW66" s="1432"/>
      <c r="FX66" s="1432"/>
      <c r="FY66" s="1432"/>
      <c r="FZ66" s="1432"/>
      <c r="GA66" s="1432"/>
      <c r="GB66" s="1432"/>
      <c r="GC66" s="1432"/>
      <c r="GD66" s="1432"/>
      <c r="GE66" s="1432"/>
      <c r="GF66" s="1432"/>
      <c r="GG66" s="1432"/>
      <c r="GH66" s="1432"/>
      <c r="GI66" s="1432"/>
      <c r="GJ66" s="1432"/>
      <c r="GK66" s="1432"/>
      <c r="GL66" s="1432"/>
      <c r="GM66" s="1432"/>
      <c r="GN66" s="1432"/>
      <c r="GO66" s="1432"/>
      <c r="GP66" s="1432"/>
      <c r="GQ66" s="1432"/>
      <c r="GR66" s="1432"/>
      <c r="GS66" s="1432"/>
      <c r="GT66" s="1432"/>
      <c r="GU66" s="1432"/>
      <c r="GV66" s="1432"/>
      <c r="GW66" s="1432"/>
      <c r="GX66" s="1432"/>
      <c r="GY66" s="1432"/>
      <c r="GZ66" s="1432"/>
      <c r="HA66" s="1432"/>
      <c r="HB66" s="1432"/>
      <c r="HC66" s="1432"/>
      <c r="HD66" s="1432"/>
      <c r="HE66" s="1432"/>
      <c r="HF66" s="1432"/>
      <c r="HG66" s="1432"/>
      <c r="HH66" s="1432"/>
      <c r="HI66" s="1432"/>
      <c r="HJ66" s="1432"/>
      <c r="HK66" s="1432"/>
      <c r="HL66" s="1432"/>
      <c r="HM66" s="1432"/>
      <c r="HN66" s="1432"/>
      <c r="HO66" s="1432"/>
      <c r="HP66" s="1432"/>
      <c r="HQ66" s="1432"/>
      <c r="HR66" s="1432"/>
      <c r="HS66" s="1432"/>
      <c r="HT66" s="1432"/>
      <c r="HU66" s="1432"/>
      <c r="HV66" s="1432"/>
      <c r="HW66" s="1432"/>
      <c r="HX66" s="1432"/>
      <c r="HY66" s="1432"/>
      <c r="HZ66" s="1432"/>
      <c r="IA66" s="1432"/>
      <c r="IB66" s="1432"/>
      <c r="IC66" s="1432"/>
      <c r="ID66" s="1432"/>
      <c r="IE66" s="1432"/>
      <c r="IF66" s="1432"/>
      <c r="IG66" s="1432"/>
      <c r="IH66" s="1432"/>
      <c r="II66" s="1432"/>
      <c r="IJ66" s="1432"/>
      <c r="IK66" s="1432"/>
      <c r="IL66" s="1432"/>
      <c r="IM66" s="1432"/>
      <c r="IN66" s="1432"/>
      <c r="IO66" s="1432"/>
      <c r="IP66" s="1432"/>
      <c r="IQ66" s="1432"/>
      <c r="IR66" s="1432"/>
      <c r="IS66" s="1432"/>
      <c r="IT66" s="1432"/>
      <c r="IU66" s="1432"/>
      <c r="IV66" s="1432"/>
    </row>
    <row r="67" spans="1:256" ht="15.6">
      <c r="A67" s="1492"/>
      <c r="B67" s="1549" t="s">
        <v>518</v>
      </c>
      <c r="C67" s="1535"/>
      <c r="D67" s="1553">
        <f>D59*C49</f>
        <v>0.49160000000000004</v>
      </c>
      <c r="E67" s="1550"/>
      <c r="F67" s="1538">
        <f t="shared" si="2"/>
        <v>8.8487999999999997E-2</v>
      </c>
      <c r="G67" s="1550"/>
      <c r="H67" s="1550"/>
      <c r="I67" s="1538">
        <f t="shared" si="1"/>
        <v>0.58008800000000005</v>
      </c>
      <c r="J67" s="1432"/>
      <c r="K67" s="1432"/>
      <c r="L67" s="361"/>
      <c r="M67" s="361"/>
      <c r="N67" s="361"/>
      <c r="O67" s="361"/>
      <c r="P67" s="361"/>
      <c r="Q67" s="361"/>
      <c r="R67" s="1432"/>
      <c r="S67" s="1551"/>
      <c r="T67" s="1432"/>
      <c r="U67" s="1432"/>
      <c r="V67" s="1432"/>
      <c r="W67" s="1432"/>
      <c r="X67" s="1432"/>
      <c r="Y67" s="1432"/>
      <c r="Z67" s="1432"/>
      <c r="AA67" s="1432"/>
      <c r="AB67" s="1432"/>
      <c r="AC67" s="1432"/>
      <c r="AD67" s="1432"/>
      <c r="AE67" s="1432"/>
      <c r="AF67" s="1432"/>
      <c r="AG67" s="1432"/>
      <c r="AH67" s="1432"/>
      <c r="AI67" s="1432"/>
      <c r="AJ67" s="1432"/>
      <c r="AK67" s="1432"/>
      <c r="AL67" s="1432"/>
      <c r="AM67" s="1432"/>
      <c r="AN67" s="1432"/>
      <c r="AO67" s="1432"/>
      <c r="AP67" s="1432"/>
      <c r="AQ67" s="1432"/>
      <c r="AR67" s="1432"/>
      <c r="AS67" s="1432"/>
      <c r="AT67" s="1432"/>
      <c r="AU67" s="1432"/>
      <c r="AV67" s="1432"/>
      <c r="AW67" s="1432"/>
      <c r="AX67" s="1432"/>
      <c r="AY67" s="1432"/>
      <c r="AZ67" s="1432"/>
      <c r="BA67" s="1432"/>
      <c r="BB67" s="1432"/>
      <c r="BC67" s="1432"/>
      <c r="BD67" s="1432"/>
      <c r="BE67" s="1432"/>
      <c r="BF67" s="1432"/>
      <c r="BG67" s="1432"/>
      <c r="BH67" s="1432"/>
      <c r="BI67" s="1432"/>
      <c r="BJ67" s="1432"/>
      <c r="BK67" s="1432"/>
      <c r="BL67" s="1432"/>
      <c r="BM67" s="1432"/>
      <c r="BN67" s="1432"/>
      <c r="BO67" s="1432"/>
      <c r="BP67" s="1432"/>
      <c r="BQ67" s="1432"/>
      <c r="BR67" s="1432"/>
      <c r="BS67" s="1432"/>
      <c r="BT67" s="1432"/>
      <c r="BU67" s="1432"/>
      <c r="BV67" s="1432"/>
      <c r="BW67" s="1432"/>
      <c r="BX67" s="1432"/>
      <c r="BY67" s="1432"/>
      <c r="BZ67" s="1432"/>
      <c r="CA67" s="1432"/>
      <c r="CB67" s="1432"/>
      <c r="CC67" s="1432"/>
      <c r="CD67" s="1432"/>
      <c r="CE67" s="1432"/>
      <c r="CF67" s="1432"/>
      <c r="CG67" s="1432"/>
      <c r="CH67" s="1432"/>
      <c r="CI67" s="1432"/>
      <c r="CJ67" s="1432"/>
      <c r="CK67" s="1432"/>
      <c r="CL67" s="1432"/>
      <c r="CM67" s="1432"/>
      <c r="CN67" s="1432"/>
      <c r="CO67" s="1432"/>
      <c r="CP67" s="1432"/>
      <c r="CQ67" s="1432"/>
      <c r="CR67" s="1432"/>
      <c r="CS67" s="1432"/>
      <c r="CT67" s="1432"/>
      <c r="CU67" s="1432"/>
      <c r="CV67" s="1432"/>
      <c r="CW67" s="1432"/>
      <c r="CX67" s="1432"/>
      <c r="CY67" s="1432"/>
      <c r="CZ67" s="1432"/>
      <c r="DA67" s="1432"/>
      <c r="DB67" s="1432"/>
      <c r="DC67" s="1432"/>
      <c r="DD67" s="1432"/>
      <c r="DE67" s="1432"/>
      <c r="DF67" s="1432"/>
      <c r="DG67" s="1432"/>
      <c r="DH67" s="1432"/>
      <c r="DI67" s="1432"/>
      <c r="DJ67" s="1432"/>
      <c r="DK67" s="1432"/>
      <c r="DL67" s="1432"/>
      <c r="DM67" s="1432"/>
      <c r="DN67" s="1432"/>
      <c r="DO67" s="1432"/>
      <c r="DP67" s="1432"/>
      <c r="DQ67" s="1432"/>
      <c r="DR67" s="1432"/>
      <c r="DS67" s="1432"/>
      <c r="DT67" s="1432"/>
      <c r="DU67" s="1432"/>
      <c r="DV67" s="1432"/>
      <c r="DW67" s="1432"/>
      <c r="DX67" s="1432"/>
      <c r="DY67" s="1432"/>
      <c r="DZ67" s="1432"/>
      <c r="EA67" s="1432"/>
      <c r="EB67" s="1432"/>
      <c r="EC67" s="1432"/>
      <c r="ED67" s="1432"/>
      <c r="EE67" s="1432"/>
      <c r="EF67" s="1432"/>
      <c r="EG67" s="1432"/>
      <c r="EH67" s="1432"/>
      <c r="EI67" s="1432"/>
      <c r="EJ67" s="1432"/>
      <c r="EK67" s="1432"/>
      <c r="EL67" s="1432"/>
      <c r="EM67" s="1432"/>
      <c r="EN67" s="1432"/>
      <c r="EO67" s="1432"/>
      <c r="EP67" s="1432"/>
      <c r="EQ67" s="1432"/>
      <c r="ER67" s="1432"/>
      <c r="ES67" s="1432"/>
      <c r="ET67" s="1432"/>
      <c r="EU67" s="1432"/>
      <c r="EV67" s="1432"/>
      <c r="EW67" s="1432"/>
      <c r="EX67" s="1432"/>
      <c r="EY67" s="1432"/>
      <c r="EZ67" s="1432"/>
      <c r="FA67" s="1432"/>
      <c r="FB67" s="1432"/>
      <c r="FC67" s="1432"/>
      <c r="FD67" s="1432"/>
      <c r="FE67" s="1432"/>
      <c r="FF67" s="1432"/>
      <c r="FG67" s="1432"/>
      <c r="FH67" s="1432"/>
      <c r="FI67" s="1432"/>
      <c r="FJ67" s="1432"/>
      <c r="FK67" s="1432"/>
      <c r="FL67" s="1432"/>
      <c r="FM67" s="1432"/>
      <c r="FN67" s="1432"/>
      <c r="FO67" s="1432"/>
      <c r="FP67" s="1432"/>
      <c r="FQ67" s="1432"/>
      <c r="FR67" s="1432"/>
      <c r="FS67" s="1432"/>
      <c r="FT67" s="1432"/>
      <c r="FU67" s="1432"/>
      <c r="FV67" s="1432"/>
      <c r="FW67" s="1432"/>
      <c r="FX67" s="1432"/>
      <c r="FY67" s="1432"/>
      <c r="FZ67" s="1432"/>
      <c r="GA67" s="1432"/>
      <c r="GB67" s="1432"/>
      <c r="GC67" s="1432"/>
      <c r="GD67" s="1432"/>
      <c r="GE67" s="1432"/>
      <c r="GF67" s="1432"/>
      <c r="GG67" s="1432"/>
      <c r="GH67" s="1432"/>
      <c r="GI67" s="1432"/>
      <c r="GJ67" s="1432"/>
      <c r="GK67" s="1432"/>
      <c r="GL67" s="1432"/>
      <c r="GM67" s="1432"/>
      <c r="GN67" s="1432"/>
      <c r="GO67" s="1432"/>
      <c r="GP67" s="1432"/>
      <c r="GQ67" s="1432"/>
      <c r="GR67" s="1432"/>
      <c r="GS67" s="1432"/>
      <c r="GT67" s="1432"/>
      <c r="GU67" s="1432"/>
      <c r="GV67" s="1432"/>
      <c r="GW67" s="1432"/>
      <c r="GX67" s="1432"/>
      <c r="GY67" s="1432"/>
      <c r="GZ67" s="1432"/>
      <c r="HA67" s="1432"/>
      <c r="HB67" s="1432"/>
      <c r="HC67" s="1432"/>
      <c r="HD67" s="1432"/>
      <c r="HE67" s="1432"/>
      <c r="HF67" s="1432"/>
      <c r="HG67" s="1432"/>
      <c r="HH67" s="1432"/>
      <c r="HI67" s="1432"/>
      <c r="HJ67" s="1432"/>
      <c r="HK67" s="1432"/>
      <c r="HL67" s="1432"/>
      <c r="HM67" s="1432"/>
      <c r="HN67" s="1432"/>
      <c r="HO67" s="1432"/>
      <c r="HP67" s="1432"/>
      <c r="HQ67" s="1432"/>
      <c r="HR67" s="1432"/>
      <c r="HS67" s="1432"/>
      <c r="HT67" s="1432"/>
      <c r="HU67" s="1432"/>
      <c r="HV67" s="1432"/>
      <c r="HW67" s="1432"/>
      <c r="HX67" s="1432"/>
      <c r="HY67" s="1432"/>
      <c r="HZ67" s="1432"/>
      <c r="IA67" s="1432"/>
      <c r="IB67" s="1432"/>
      <c r="IC67" s="1432"/>
      <c r="ID67" s="1432"/>
      <c r="IE67" s="1432"/>
      <c r="IF67" s="1432"/>
      <c r="IG67" s="1432"/>
      <c r="IH67" s="1432"/>
      <c r="II67" s="1432"/>
      <c r="IJ67" s="1432"/>
      <c r="IK67" s="1432"/>
      <c r="IL67" s="1432"/>
      <c r="IM67" s="1432"/>
      <c r="IN67" s="1432"/>
      <c r="IO67" s="1432"/>
      <c r="IP67" s="1432"/>
      <c r="IQ67" s="1432"/>
      <c r="IR67" s="1432"/>
      <c r="IS67" s="1432"/>
      <c r="IT67" s="1432"/>
      <c r="IU67" s="1432"/>
      <c r="IV67" s="1432"/>
    </row>
    <row r="68" spans="1:256" ht="15.6">
      <c r="A68" s="1492">
        <v>9</v>
      </c>
      <c r="B68" s="1534" t="s">
        <v>310</v>
      </c>
      <c r="C68" s="1504"/>
      <c r="D68" s="1536"/>
      <c r="E68" s="1554"/>
      <c r="F68" s="1554"/>
      <c r="G68" s="1554"/>
      <c r="H68" s="1554"/>
      <c r="I68" s="1538">
        <f t="shared" si="1"/>
        <v>0</v>
      </c>
      <c r="J68" s="1432"/>
      <c r="K68" s="1432"/>
      <c r="L68" s="361"/>
      <c r="M68" s="361"/>
      <c r="N68" s="361"/>
      <c r="O68" s="361"/>
      <c r="P68" s="361"/>
      <c r="Q68" s="361"/>
      <c r="R68" s="1432"/>
      <c r="S68" s="1555"/>
      <c r="T68" s="1432"/>
      <c r="U68" s="1432"/>
      <c r="V68" s="1432"/>
      <c r="W68" s="1432"/>
      <c r="X68" s="1432"/>
      <c r="Y68" s="1432"/>
      <c r="Z68" s="1432"/>
      <c r="AA68" s="1432"/>
      <c r="AB68" s="1432"/>
      <c r="AC68" s="1432"/>
      <c r="AD68" s="1432"/>
      <c r="AE68" s="1432"/>
      <c r="AF68" s="1432"/>
      <c r="AG68" s="1432"/>
      <c r="AH68" s="1432"/>
      <c r="AI68" s="1432"/>
      <c r="AJ68" s="1432"/>
      <c r="AK68" s="1432"/>
      <c r="AL68" s="1432"/>
      <c r="AM68" s="1432"/>
      <c r="AN68" s="1432"/>
      <c r="AO68" s="1432"/>
      <c r="AP68" s="1432"/>
      <c r="AQ68" s="1432"/>
      <c r="AR68" s="1432"/>
      <c r="AS68" s="1432"/>
      <c r="AT68" s="1432"/>
      <c r="AU68" s="1432"/>
      <c r="AV68" s="1432"/>
      <c r="AW68" s="1432"/>
      <c r="AX68" s="1432"/>
      <c r="AY68" s="1432"/>
      <c r="AZ68" s="1432"/>
      <c r="BA68" s="1432"/>
      <c r="BB68" s="1432"/>
      <c r="BC68" s="1432"/>
      <c r="BD68" s="1432"/>
      <c r="BE68" s="1432"/>
      <c r="BF68" s="1432"/>
      <c r="BG68" s="1432"/>
      <c r="BH68" s="1432"/>
      <c r="BI68" s="1432"/>
      <c r="BJ68" s="1432"/>
      <c r="BK68" s="1432"/>
      <c r="BL68" s="1432"/>
      <c r="BM68" s="1432"/>
      <c r="BN68" s="1432"/>
      <c r="BO68" s="1432"/>
      <c r="BP68" s="1432"/>
      <c r="BQ68" s="1432"/>
      <c r="BR68" s="1432"/>
      <c r="BS68" s="1432"/>
      <c r="BT68" s="1432"/>
      <c r="BU68" s="1432"/>
      <c r="BV68" s="1432"/>
      <c r="BW68" s="1432"/>
      <c r="BX68" s="1432"/>
      <c r="BY68" s="1432"/>
      <c r="BZ68" s="1432"/>
      <c r="CA68" s="1432"/>
      <c r="CB68" s="1432"/>
      <c r="CC68" s="1432"/>
      <c r="CD68" s="1432"/>
      <c r="CE68" s="1432"/>
      <c r="CF68" s="1432"/>
      <c r="CG68" s="1432"/>
      <c r="CH68" s="1432"/>
      <c r="CI68" s="1432"/>
      <c r="CJ68" s="1432"/>
      <c r="CK68" s="1432"/>
      <c r="CL68" s="1432"/>
      <c r="CM68" s="1432"/>
      <c r="CN68" s="1432"/>
      <c r="CO68" s="1432"/>
      <c r="CP68" s="1432"/>
      <c r="CQ68" s="1432"/>
      <c r="CR68" s="1432"/>
      <c r="CS68" s="1432"/>
      <c r="CT68" s="1432"/>
      <c r="CU68" s="1432"/>
      <c r="CV68" s="1432"/>
      <c r="CW68" s="1432"/>
      <c r="CX68" s="1432"/>
      <c r="CY68" s="1432"/>
      <c r="CZ68" s="1432"/>
      <c r="DA68" s="1432"/>
      <c r="DB68" s="1432"/>
      <c r="DC68" s="1432"/>
      <c r="DD68" s="1432"/>
      <c r="DE68" s="1432"/>
      <c r="DF68" s="1432"/>
      <c r="DG68" s="1432"/>
      <c r="DH68" s="1432"/>
      <c r="DI68" s="1432"/>
      <c r="DJ68" s="1432"/>
      <c r="DK68" s="1432"/>
      <c r="DL68" s="1432"/>
      <c r="DM68" s="1432"/>
      <c r="DN68" s="1432"/>
      <c r="DO68" s="1432"/>
      <c r="DP68" s="1432"/>
      <c r="DQ68" s="1432"/>
      <c r="DR68" s="1432"/>
      <c r="DS68" s="1432"/>
      <c r="DT68" s="1432"/>
      <c r="DU68" s="1432"/>
      <c r="DV68" s="1432"/>
      <c r="DW68" s="1432"/>
      <c r="DX68" s="1432"/>
      <c r="DY68" s="1432"/>
      <c r="DZ68" s="1432"/>
      <c r="EA68" s="1432"/>
      <c r="EB68" s="1432"/>
      <c r="EC68" s="1432"/>
      <c r="ED68" s="1432"/>
      <c r="EE68" s="1432"/>
      <c r="EF68" s="1432"/>
      <c r="EG68" s="1432"/>
      <c r="EH68" s="1432"/>
      <c r="EI68" s="1432"/>
      <c r="EJ68" s="1432"/>
      <c r="EK68" s="1432"/>
      <c r="EL68" s="1432"/>
      <c r="EM68" s="1432"/>
      <c r="EN68" s="1432"/>
      <c r="EO68" s="1432"/>
      <c r="EP68" s="1432"/>
      <c r="EQ68" s="1432"/>
      <c r="ER68" s="1432"/>
      <c r="ES68" s="1432"/>
      <c r="ET68" s="1432"/>
      <c r="EU68" s="1432"/>
      <c r="EV68" s="1432"/>
      <c r="EW68" s="1432"/>
      <c r="EX68" s="1432"/>
      <c r="EY68" s="1432"/>
      <c r="EZ68" s="1432"/>
      <c r="FA68" s="1432"/>
      <c r="FB68" s="1432"/>
      <c r="FC68" s="1432"/>
      <c r="FD68" s="1432"/>
      <c r="FE68" s="1432"/>
      <c r="FF68" s="1432"/>
      <c r="FG68" s="1432"/>
      <c r="FH68" s="1432"/>
      <c r="FI68" s="1432"/>
      <c r="FJ68" s="1432"/>
      <c r="FK68" s="1432"/>
      <c r="FL68" s="1432"/>
      <c r="FM68" s="1432"/>
      <c r="FN68" s="1432"/>
      <c r="FO68" s="1432"/>
      <c r="FP68" s="1432"/>
      <c r="FQ68" s="1432"/>
      <c r="FR68" s="1432"/>
      <c r="FS68" s="1432"/>
      <c r="FT68" s="1432"/>
      <c r="FU68" s="1432"/>
      <c r="FV68" s="1432"/>
      <c r="FW68" s="1432"/>
      <c r="FX68" s="1432"/>
      <c r="FY68" s="1432"/>
      <c r="FZ68" s="1432"/>
      <c r="GA68" s="1432"/>
      <c r="GB68" s="1432"/>
      <c r="GC68" s="1432"/>
      <c r="GD68" s="1432"/>
      <c r="GE68" s="1432"/>
      <c r="GF68" s="1432"/>
      <c r="GG68" s="1432"/>
      <c r="GH68" s="1432"/>
      <c r="GI68" s="1432"/>
      <c r="GJ68" s="1432"/>
      <c r="GK68" s="1432"/>
      <c r="GL68" s="1432"/>
      <c r="GM68" s="1432"/>
      <c r="GN68" s="1432"/>
      <c r="GO68" s="1432"/>
      <c r="GP68" s="1432"/>
      <c r="GQ68" s="1432"/>
      <c r="GR68" s="1432"/>
      <c r="GS68" s="1432"/>
      <c r="GT68" s="1432"/>
      <c r="GU68" s="1432"/>
      <c r="GV68" s="1432"/>
      <c r="GW68" s="1432"/>
      <c r="GX68" s="1432"/>
      <c r="GY68" s="1432"/>
      <c r="GZ68" s="1432"/>
      <c r="HA68" s="1432"/>
      <c r="HB68" s="1432"/>
      <c r="HC68" s="1432"/>
      <c r="HD68" s="1432"/>
      <c r="HE68" s="1432"/>
      <c r="HF68" s="1432"/>
      <c r="HG68" s="1432"/>
      <c r="HH68" s="1432"/>
      <c r="HI68" s="1432"/>
      <c r="HJ68" s="1432"/>
      <c r="HK68" s="1432"/>
      <c r="HL68" s="1432"/>
      <c r="HM68" s="1432"/>
      <c r="HN68" s="1432"/>
      <c r="HO68" s="1432"/>
      <c r="HP68" s="1432"/>
      <c r="HQ68" s="1432"/>
      <c r="HR68" s="1432"/>
      <c r="HS68" s="1432"/>
      <c r="HT68" s="1432"/>
      <c r="HU68" s="1432"/>
      <c r="HV68" s="1432"/>
      <c r="HW68" s="1432"/>
      <c r="HX68" s="1432"/>
      <c r="HY68" s="1432"/>
      <c r="HZ68" s="1432"/>
      <c r="IA68" s="1432"/>
      <c r="IB68" s="1432"/>
      <c r="IC68" s="1432"/>
      <c r="ID68" s="1432"/>
      <c r="IE68" s="1432"/>
      <c r="IF68" s="1432"/>
      <c r="IG68" s="1432"/>
      <c r="IH68" s="1432"/>
      <c r="II68" s="1432"/>
      <c r="IJ68" s="1432"/>
      <c r="IK68" s="1432"/>
      <c r="IL68" s="1432"/>
      <c r="IM68" s="1432"/>
      <c r="IN68" s="1432"/>
      <c r="IO68" s="1432"/>
      <c r="IP68" s="1432"/>
      <c r="IQ68" s="1432"/>
      <c r="IR68" s="1432"/>
      <c r="IS68" s="1432"/>
      <c r="IT68" s="1432"/>
      <c r="IU68" s="1432"/>
      <c r="IV68" s="1432"/>
    </row>
    <row r="69" spans="1:256" ht="15.6">
      <c r="A69" s="1492">
        <v>10</v>
      </c>
      <c r="B69" s="1534" t="s">
        <v>520</v>
      </c>
      <c r="C69" s="1504"/>
      <c r="D69" s="1536"/>
      <c r="E69" s="1554"/>
      <c r="F69" s="1554"/>
      <c r="G69" s="1554"/>
      <c r="H69" s="1554"/>
      <c r="I69" s="1538">
        <f t="shared" si="1"/>
        <v>0</v>
      </c>
      <c r="J69" s="1432"/>
      <c r="K69" s="1432"/>
      <c r="L69" s="361"/>
      <c r="M69" s="361"/>
      <c r="N69" s="361"/>
      <c r="O69" s="361"/>
      <c r="P69" s="361"/>
      <c r="Q69" s="361"/>
      <c r="R69" s="1432"/>
      <c r="S69" s="1545"/>
      <c r="T69" s="1432"/>
      <c r="U69" s="1432"/>
      <c r="V69" s="1432"/>
      <c r="W69" s="1432"/>
      <c r="X69" s="1432"/>
      <c r="Y69" s="1432"/>
      <c r="Z69" s="1432"/>
      <c r="AA69" s="1432"/>
      <c r="AB69" s="1432"/>
      <c r="AC69" s="1432"/>
      <c r="AD69" s="1432"/>
      <c r="AE69" s="1432"/>
      <c r="AF69" s="1432"/>
      <c r="AG69" s="1432"/>
      <c r="AH69" s="1432"/>
      <c r="AI69" s="1432"/>
      <c r="AJ69" s="1432"/>
      <c r="AK69" s="1432"/>
      <c r="AL69" s="1432"/>
      <c r="AM69" s="1432"/>
      <c r="AN69" s="1432"/>
      <c r="AO69" s="1432"/>
      <c r="AP69" s="1432"/>
      <c r="AQ69" s="1432"/>
      <c r="AR69" s="1432"/>
      <c r="AS69" s="1432"/>
      <c r="AT69" s="1432"/>
      <c r="AU69" s="1432"/>
      <c r="AV69" s="1432"/>
      <c r="AW69" s="1432"/>
      <c r="AX69" s="1432"/>
      <c r="AY69" s="1432"/>
      <c r="AZ69" s="1432"/>
      <c r="BA69" s="1432"/>
      <c r="BB69" s="1432"/>
      <c r="BC69" s="1432"/>
      <c r="BD69" s="1432"/>
      <c r="BE69" s="1432"/>
      <c r="BF69" s="1432"/>
      <c r="BG69" s="1432"/>
      <c r="BH69" s="1432"/>
      <c r="BI69" s="1432"/>
      <c r="BJ69" s="1432"/>
      <c r="BK69" s="1432"/>
      <c r="BL69" s="1432"/>
      <c r="BM69" s="1432"/>
      <c r="BN69" s="1432"/>
      <c r="BO69" s="1432"/>
      <c r="BP69" s="1432"/>
      <c r="BQ69" s="1432"/>
      <c r="BR69" s="1432"/>
      <c r="BS69" s="1432"/>
      <c r="BT69" s="1432"/>
      <c r="BU69" s="1432"/>
      <c r="BV69" s="1432"/>
      <c r="BW69" s="1432"/>
      <c r="BX69" s="1432"/>
      <c r="BY69" s="1432"/>
      <c r="BZ69" s="1432"/>
      <c r="CA69" s="1432"/>
      <c r="CB69" s="1432"/>
      <c r="CC69" s="1432"/>
      <c r="CD69" s="1432"/>
      <c r="CE69" s="1432"/>
      <c r="CF69" s="1432"/>
      <c r="CG69" s="1432"/>
      <c r="CH69" s="1432"/>
      <c r="CI69" s="1432"/>
      <c r="CJ69" s="1432"/>
      <c r="CK69" s="1432"/>
      <c r="CL69" s="1432"/>
      <c r="CM69" s="1432"/>
      <c r="CN69" s="1432"/>
      <c r="CO69" s="1432"/>
      <c r="CP69" s="1432"/>
      <c r="CQ69" s="1432"/>
      <c r="CR69" s="1432"/>
      <c r="CS69" s="1432"/>
      <c r="CT69" s="1432"/>
      <c r="CU69" s="1432"/>
      <c r="CV69" s="1432"/>
      <c r="CW69" s="1432"/>
      <c r="CX69" s="1432"/>
      <c r="CY69" s="1432"/>
      <c r="CZ69" s="1432"/>
      <c r="DA69" s="1432"/>
      <c r="DB69" s="1432"/>
      <c r="DC69" s="1432"/>
      <c r="DD69" s="1432"/>
      <c r="DE69" s="1432"/>
      <c r="DF69" s="1432"/>
      <c r="DG69" s="1432"/>
      <c r="DH69" s="1432"/>
      <c r="DI69" s="1432"/>
      <c r="DJ69" s="1432"/>
      <c r="DK69" s="1432"/>
      <c r="DL69" s="1432"/>
      <c r="DM69" s="1432"/>
      <c r="DN69" s="1432"/>
      <c r="DO69" s="1432"/>
      <c r="DP69" s="1432"/>
      <c r="DQ69" s="1432"/>
      <c r="DR69" s="1432"/>
      <c r="DS69" s="1432"/>
      <c r="DT69" s="1432"/>
      <c r="DU69" s="1432"/>
      <c r="DV69" s="1432"/>
      <c r="DW69" s="1432"/>
      <c r="DX69" s="1432"/>
      <c r="DY69" s="1432"/>
      <c r="DZ69" s="1432"/>
      <c r="EA69" s="1432"/>
      <c r="EB69" s="1432"/>
      <c r="EC69" s="1432"/>
      <c r="ED69" s="1432"/>
      <c r="EE69" s="1432"/>
      <c r="EF69" s="1432"/>
      <c r="EG69" s="1432"/>
      <c r="EH69" s="1432"/>
      <c r="EI69" s="1432"/>
      <c r="EJ69" s="1432"/>
      <c r="EK69" s="1432"/>
      <c r="EL69" s="1432"/>
      <c r="EM69" s="1432"/>
      <c r="EN69" s="1432"/>
      <c r="EO69" s="1432"/>
      <c r="EP69" s="1432"/>
      <c r="EQ69" s="1432"/>
      <c r="ER69" s="1432"/>
      <c r="ES69" s="1432"/>
      <c r="ET69" s="1432"/>
      <c r="EU69" s="1432"/>
      <c r="EV69" s="1432"/>
      <c r="EW69" s="1432"/>
      <c r="EX69" s="1432"/>
      <c r="EY69" s="1432"/>
      <c r="EZ69" s="1432"/>
      <c r="FA69" s="1432"/>
      <c r="FB69" s="1432"/>
      <c r="FC69" s="1432"/>
      <c r="FD69" s="1432"/>
      <c r="FE69" s="1432"/>
      <c r="FF69" s="1432"/>
      <c r="FG69" s="1432"/>
      <c r="FH69" s="1432"/>
      <c r="FI69" s="1432"/>
      <c r="FJ69" s="1432"/>
      <c r="FK69" s="1432"/>
      <c r="FL69" s="1432"/>
      <c r="FM69" s="1432"/>
      <c r="FN69" s="1432"/>
      <c r="FO69" s="1432"/>
      <c r="FP69" s="1432"/>
      <c r="FQ69" s="1432"/>
      <c r="FR69" s="1432"/>
      <c r="FS69" s="1432"/>
      <c r="FT69" s="1432"/>
      <c r="FU69" s="1432"/>
      <c r="FV69" s="1432"/>
      <c r="FW69" s="1432"/>
      <c r="FX69" s="1432"/>
      <c r="FY69" s="1432"/>
      <c r="FZ69" s="1432"/>
      <c r="GA69" s="1432"/>
      <c r="GB69" s="1432"/>
      <c r="GC69" s="1432"/>
      <c r="GD69" s="1432"/>
      <c r="GE69" s="1432"/>
      <c r="GF69" s="1432"/>
      <c r="GG69" s="1432"/>
      <c r="GH69" s="1432"/>
      <c r="GI69" s="1432"/>
      <c r="GJ69" s="1432"/>
      <c r="GK69" s="1432"/>
      <c r="GL69" s="1432"/>
      <c r="GM69" s="1432"/>
      <c r="GN69" s="1432"/>
      <c r="GO69" s="1432"/>
      <c r="GP69" s="1432"/>
      <c r="GQ69" s="1432"/>
      <c r="GR69" s="1432"/>
      <c r="GS69" s="1432"/>
      <c r="GT69" s="1432"/>
      <c r="GU69" s="1432"/>
      <c r="GV69" s="1432"/>
      <c r="GW69" s="1432"/>
      <c r="GX69" s="1432"/>
      <c r="GY69" s="1432"/>
      <c r="GZ69" s="1432"/>
      <c r="HA69" s="1432"/>
      <c r="HB69" s="1432"/>
      <c r="HC69" s="1432"/>
      <c r="HD69" s="1432"/>
      <c r="HE69" s="1432"/>
      <c r="HF69" s="1432"/>
      <c r="HG69" s="1432"/>
      <c r="HH69" s="1432"/>
      <c r="HI69" s="1432"/>
      <c r="HJ69" s="1432"/>
      <c r="HK69" s="1432"/>
      <c r="HL69" s="1432"/>
      <c r="HM69" s="1432"/>
      <c r="HN69" s="1432"/>
      <c r="HO69" s="1432"/>
      <c r="HP69" s="1432"/>
      <c r="HQ69" s="1432"/>
      <c r="HR69" s="1432"/>
      <c r="HS69" s="1432"/>
      <c r="HT69" s="1432"/>
      <c r="HU69" s="1432"/>
      <c r="HV69" s="1432"/>
      <c r="HW69" s="1432"/>
      <c r="HX69" s="1432"/>
      <c r="HY69" s="1432"/>
      <c r="HZ69" s="1432"/>
      <c r="IA69" s="1432"/>
      <c r="IB69" s="1432"/>
      <c r="IC69" s="1432"/>
      <c r="ID69" s="1432"/>
      <c r="IE69" s="1432"/>
      <c r="IF69" s="1432"/>
      <c r="IG69" s="1432"/>
      <c r="IH69" s="1432"/>
      <c r="II69" s="1432"/>
      <c r="IJ69" s="1432"/>
      <c r="IK69" s="1432"/>
      <c r="IL69" s="1432"/>
      <c r="IM69" s="1432"/>
      <c r="IN69" s="1432"/>
      <c r="IO69" s="1432"/>
      <c r="IP69" s="1432"/>
      <c r="IQ69" s="1432"/>
      <c r="IR69" s="1432"/>
      <c r="IS69" s="1432"/>
      <c r="IT69" s="1432"/>
      <c r="IU69" s="1432"/>
      <c r="IV69" s="1432"/>
    </row>
    <row r="70" spans="1:256" ht="15.6">
      <c r="A70" s="1539">
        <v>11</v>
      </c>
      <c r="B70" s="1556" t="s">
        <v>521</v>
      </c>
      <c r="C70" s="1535">
        <f>+(C56+C58+C60)*0.07</f>
        <v>0</v>
      </c>
      <c r="D70" s="1557"/>
      <c r="E70" s="1558"/>
      <c r="F70" s="1558"/>
      <c r="G70" s="1559"/>
      <c r="H70" s="1558"/>
      <c r="I70" s="1538">
        <f t="shared" si="1"/>
        <v>0</v>
      </c>
      <c r="L70" s="358"/>
      <c r="M70" s="358"/>
      <c r="N70" s="358"/>
      <c r="O70" s="358"/>
      <c r="P70" s="358"/>
      <c r="Q70" s="358"/>
      <c r="S70" s="1545"/>
      <c r="T70" s="1432"/>
      <c r="V70" s="1432"/>
      <c r="W70" s="1432"/>
    </row>
    <row r="71" spans="1:256" ht="15.6">
      <c r="A71" s="1492"/>
      <c r="B71" s="1560" t="s">
        <v>522</v>
      </c>
      <c r="C71" s="1535"/>
      <c r="D71" s="1536"/>
      <c r="E71" s="1561"/>
      <c r="F71" s="1561"/>
      <c r="G71" s="1562">
        <f>((C56+C57)*1.07*0.03+(C58+C60)*1.07*0.1)*(1+$G$54)</f>
        <v>0</v>
      </c>
      <c r="H71" s="1538">
        <f>((C56*1.07)*0.03+(C58+C60)*1.07*0.1)*(1+C51)*0</f>
        <v>0</v>
      </c>
      <c r="I71" s="1538">
        <f t="shared" si="1"/>
        <v>0</v>
      </c>
      <c r="J71" s="1432"/>
      <c r="K71" s="1432"/>
      <c r="L71" s="361"/>
      <c r="M71" s="361"/>
      <c r="N71" s="361"/>
      <c r="O71" s="361"/>
      <c r="P71" s="361"/>
      <c r="Q71" s="361"/>
      <c r="R71" s="1432"/>
      <c r="S71" s="1545"/>
      <c r="T71" s="1432"/>
      <c r="U71" s="1432"/>
      <c r="V71" s="1432"/>
      <c r="W71" s="1432"/>
      <c r="X71" s="1432"/>
      <c r="Y71" s="1432"/>
      <c r="Z71" s="1432"/>
      <c r="AA71" s="1432"/>
      <c r="AB71" s="1432"/>
      <c r="AC71" s="1432"/>
      <c r="AD71" s="1432"/>
      <c r="AE71" s="1432"/>
      <c r="AF71" s="1432"/>
      <c r="AG71" s="1432"/>
      <c r="AH71" s="1432"/>
      <c r="AI71" s="1432"/>
      <c r="AJ71" s="1432"/>
      <c r="AK71" s="1432"/>
      <c r="AL71" s="1432"/>
      <c r="AM71" s="1432"/>
      <c r="AN71" s="1432"/>
      <c r="AO71" s="1432"/>
      <c r="AP71" s="1432"/>
      <c r="AQ71" s="1432"/>
      <c r="AR71" s="1432"/>
      <c r="AS71" s="1432"/>
      <c r="AT71" s="1432"/>
      <c r="AU71" s="1432"/>
      <c r="AV71" s="1432"/>
      <c r="AW71" s="1432"/>
      <c r="AX71" s="1432"/>
      <c r="AY71" s="1432"/>
      <c r="AZ71" s="1432"/>
      <c r="BA71" s="1432"/>
      <c r="BB71" s="1432"/>
      <c r="BC71" s="1432"/>
      <c r="BD71" s="1432"/>
      <c r="BE71" s="1432"/>
      <c r="BF71" s="1432"/>
      <c r="BG71" s="1432"/>
      <c r="BH71" s="1432"/>
      <c r="BI71" s="1432"/>
      <c r="BJ71" s="1432"/>
      <c r="BK71" s="1432"/>
      <c r="BL71" s="1432"/>
      <c r="BM71" s="1432"/>
      <c r="BN71" s="1432"/>
      <c r="BO71" s="1432"/>
      <c r="BP71" s="1432"/>
      <c r="BQ71" s="1432"/>
      <c r="BR71" s="1432"/>
      <c r="BS71" s="1432"/>
      <c r="BT71" s="1432"/>
      <c r="BU71" s="1432"/>
      <c r="BV71" s="1432"/>
      <c r="BW71" s="1432"/>
      <c r="BX71" s="1432"/>
      <c r="BY71" s="1432"/>
      <c r="BZ71" s="1432"/>
      <c r="CA71" s="1432"/>
      <c r="CB71" s="1432"/>
      <c r="CC71" s="1432"/>
      <c r="CD71" s="1432"/>
      <c r="CE71" s="1432"/>
      <c r="CF71" s="1432"/>
      <c r="CG71" s="1432"/>
      <c r="CH71" s="1432"/>
      <c r="CI71" s="1432"/>
      <c r="CJ71" s="1432"/>
      <c r="CK71" s="1432"/>
      <c r="CL71" s="1432"/>
      <c r="CM71" s="1432"/>
      <c r="CN71" s="1432"/>
      <c r="CO71" s="1432"/>
      <c r="CP71" s="1432"/>
      <c r="CQ71" s="1432"/>
      <c r="CR71" s="1432"/>
      <c r="CS71" s="1432"/>
      <c r="CT71" s="1432"/>
      <c r="CU71" s="1432"/>
      <c r="CV71" s="1432"/>
      <c r="CW71" s="1432"/>
      <c r="CX71" s="1432"/>
      <c r="CY71" s="1432"/>
      <c r="CZ71" s="1432"/>
      <c r="DA71" s="1432"/>
      <c r="DB71" s="1432"/>
      <c r="DC71" s="1432"/>
      <c r="DD71" s="1432"/>
      <c r="DE71" s="1432"/>
      <c r="DF71" s="1432"/>
      <c r="DG71" s="1432"/>
      <c r="DH71" s="1432"/>
      <c r="DI71" s="1432"/>
      <c r="DJ71" s="1432"/>
      <c r="DK71" s="1432"/>
      <c r="DL71" s="1432"/>
      <c r="DM71" s="1432"/>
      <c r="DN71" s="1432"/>
      <c r="DO71" s="1432"/>
      <c r="DP71" s="1432"/>
      <c r="DQ71" s="1432"/>
      <c r="DR71" s="1432"/>
      <c r="DS71" s="1432"/>
      <c r="DT71" s="1432"/>
      <c r="DU71" s="1432"/>
      <c r="DV71" s="1432"/>
      <c r="DW71" s="1432"/>
      <c r="DX71" s="1432"/>
      <c r="DY71" s="1432"/>
      <c r="DZ71" s="1432"/>
      <c r="EA71" s="1432"/>
      <c r="EB71" s="1432"/>
      <c r="EC71" s="1432"/>
      <c r="ED71" s="1432"/>
      <c r="EE71" s="1432"/>
      <c r="EF71" s="1432"/>
      <c r="EG71" s="1432"/>
      <c r="EH71" s="1432"/>
      <c r="EI71" s="1432"/>
      <c r="EJ71" s="1432"/>
      <c r="EK71" s="1432"/>
      <c r="EL71" s="1432"/>
      <c r="EM71" s="1432"/>
      <c r="EN71" s="1432"/>
      <c r="EO71" s="1432"/>
      <c r="EP71" s="1432"/>
      <c r="EQ71" s="1432"/>
      <c r="ER71" s="1432"/>
      <c r="ES71" s="1432"/>
      <c r="ET71" s="1432"/>
      <c r="EU71" s="1432"/>
      <c r="EV71" s="1432"/>
      <c r="EW71" s="1432"/>
      <c r="EX71" s="1432"/>
      <c r="EY71" s="1432"/>
      <c r="EZ71" s="1432"/>
      <c r="FA71" s="1432"/>
      <c r="FB71" s="1432"/>
      <c r="FC71" s="1432"/>
      <c r="FD71" s="1432"/>
      <c r="FE71" s="1432"/>
      <c r="FF71" s="1432"/>
      <c r="FG71" s="1432"/>
      <c r="FH71" s="1432"/>
      <c r="FI71" s="1432"/>
      <c r="FJ71" s="1432"/>
      <c r="FK71" s="1432"/>
      <c r="FL71" s="1432"/>
      <c r="FM71" s="1432"/>
      <c r="FN71" s="1432"/>
      <c r="FO71" s="1432"/>
      <c r="FP71" s="1432"/>
      <c r="FQ71" s="1432"/>
      <c r="FR71" s="1432"/>
      <c r="FS71" s="1432"/>
      <c r="FT71" s="1432"/>
      <c r="FU71" s="1432"/>
      <c r="FV71" s="1432"/>
      <c r="FW71" s="1432"/>
      <c r="FX71" s="1432"/>
      <c r="FY71" s="1432"/>
      <c r="FZ71" s="1432"/>
      <c r="GA71" s="1432"/>
      <c r="GB71" s="1432"/>
      <c r="GC71" s="1432"/>
      <c r="GD71" s="1432"/>
      <c r="GE71" s="1432"/>
      <c r="GF71" s="1432"/>
      <c r="GG71" s="1432"/>
      <c r="GH71" s="1432"/>
      <c r="GI71" s="1432"/>
      <c r="GJ71" s="1432"/>
      <c r="GK71" s="1432"/>
      <c r="GL71" s="1432"/>
      <c r="GM71" s="1432"/>
      <c r="GN71" s="1432"/>
      <c r="GO71" s="1432"/>
      <c r="GP71" s="1432"/>
      <c r="GQ71" s="1432"/>
      <c r="GR71" s="1432"/>
      <c r="GS71" s="1432"/>
      <c r="GT71" s="1432"/>
      <c r="GU71" s="1432"/>
      <c r="GV71" s="1432"/>
      <c r="GW71" s="1432"/>
      <c r="GX71" s="1432"/>
      <c r="GY71" s="1432"/>
      <c r="GZ71" s="1432"/>
      <c r="HA71" s="1432"/>
      <c r="HB71" s="1432"/>
      <c r="HC71" s="1432"/>
      <c r="HD71" s="1432"/>
      <c r="HE71" s="1432"/>
      <c r="HF71" s="1432"/>
      <c r="HG71" s="1432"/>
      <c r="HH71" s="1432"/>
      <c r="HI71" s="1432"/>
      <c r="HJ71" s="1432"/>
      <c r="HK71" s="1432"/>
      <c r="HL71" s="1432"/>
      <c r="HM71" s="1432"/>
      <c r="HN71" s="1432"/>
      <c r="HO71" s="1432"/>
      <c r="HP71" s="1432"/>
      <c r="HQ71" s="1432"/>
      <c r="HR71" s="1432"/>
      <c r="HS71" s="1432"/>
      <c r="HT71" s="1432"/>
      <c r="HU71" s="1432"/>
      <c r="HV71" s="1432"/>
      <c r="HW71" s="1432"/>
      <c r="HX71" s="1432"/>
      <c r="HY71" s="1432"/>
      <c r="HZ71" s="1432"/>
      <c r="IA71" s="1432"/>
      <c r="IB71" s="1432"/>
      <c r="IC71" s="1432"/>
      <c r="ID71" s="1432"/>
      <c r="IE71" s="1432"/>
      <c r="IF71" s="1432"/>
      <c r="IG71" s="1432"/>
      <c r="IH71" s="1432"/>
      <c r="II71" s="1432"/>
      <c r="IJ71" s="1432"/>
      <c r="IK71" s="1432"/>
      <c r="IL71" s="1432"/>
      <c r="IM71" s="1432"/>
      <c r="IN71" s="1432"/>
      <c r="IO71" s="1432"/>
      <c r="IP71" s="1432"/>
      <c r="IQ71" s="1432"/>
      <c r="IR71" s="1432"/>
      <c r="IS71" s="1432"/>
      <c r="IT71" s="1432"/>
      <c r="IU71" s="1432"/>
      <c r="IV71" s="1432"/>
    </row>
    <row r="72" spans="1:256" ht="15.6">
      <c r="A72" s="1492">
        <v>12</v>
      </c>
      <c r="B72" s="1563" t="s">
        <v>1175</v>
      </c>
      <c r="C72" s="1535"/>
      <c r="D72" s="1564"/>
      <c r="E72" s="1542">
        <f>D72*$E$54</f>
        <v>0</v>
      </c>
      <c r="F72" s="1544">
        <f>G72*$F$54</f>
        <v>0</v>
      </c>
      <c r="G72" s="1544">
        <f>(D72*0.02)</f>
        <v>0</v>
      </c>
      <c r="H72" s="1565"/>
      <c r="I72" s="1538">
        <f>SUM(C72:H72)</f>
        <v>0</v>
      </c>
      <c r="J72" s="1432"/>
      <c r="K72" s="1432"/>
      <c r="L72" s="361"/>
      <c r="M72" s="361"/>
      <c r="N72" s="361"/>
      <c r="O72" s="361"/>
      <c r="P72" s="361"/>
      <c r="Q72" s="361"/>
      <c r="R72" s="1432"/>
      <c r="S72" s="1545"/>
      <c r="T72" s="1432"/>
      <c r="U72" s="1432"/>
      <c r="V72" s="1432"/>
      <c r="W72" s="1432"/>
      <c r="X72" s="1432"/>
      <c r="Y72" s="1432"/>
      <c r="Z72" s="1432"/>
      <c r="AA72" s="1432"/>
      <c r="AB72" s="1432"/>
      <c r="AC72" s="1432"/>
      <c r="AD72" s="1432"/>
      <c r="AE72" s="1432"/>
      <c r="AF72" s="1432"/>
      <c r="AG72" s="1432"/>
      <c r="AH72" s="1432"/>
      <c r="AI72" s="1432"/>
      <c r="AJ72" s="1432"/>
      <c r="AK72" s="1432"/>
      <c r="AL72" s="1432"/>
      <c r="AM72" s="1432"/>
      <c r="AN72" s="1432"/>
      <c r="AO72" s="1432"/>
      <c r="AP72" s="1432"/>
      <c r="AQ72" s="1432"/>
      <c r="AR72" s="1432"/>
      <c r="AS72" s="1432"/>
      <c r="AT72" s="1432"/>
      <c r="AU72" s="1432"/>
      <c r="AV72" s="1432"/>
      <c r="AW72" s="1432"/>
      <c r="AX72" s="1432"/>
      <c r="AY72" s="1432"/>
      <c r="AZ72" s="1432"/>
      <c r="BA72" s="1432"/>
      <c r="BB72" s="1432"/>
      <c r="BC72" s="1432"/>
      <c r="BD72" s="1432"/>
      <c r="BE72" s="1432"/>
      <c r="BF72" s="1432"/>
      <c r="BG72" s="1432"/>
      <c r="BH72" s="1432"/>
      <c r="BI72" s="1432"/>
      <c r="BJ72" s="1432"/>
      <c r="BK72" s="1432"/>
      <c r="BL72" s="1432"/>
      <c r="BM72" s="1432"/>
      <c r="BN72" s="1432"/>
      <c r="BO72" s="1432"/>
      <c r="BP72" s="1432"/>
      <c r="BQ72" s="1432"/>
      <c r="BR72" s="1432"/>
      <c r="BS72" s="1432"/>
      <c r="BT72" s="1432"/>
      <c r="BU72" s="1432"/>
      <c r="BV72" s="1432"/>
      <c r="BW72" s="1432"/>
      <c r="BX72" s="1432"/>
      <c r="BY72" s="1432"/>
      <c r="BZ72" s="1432"/>
      <c r="CA72" s="1432"/>
      <c r="CB72" s="1432"/>
      <c r="CC72" s="1432"/>
      <c r="CD72" s="1432"/>
      <c r="CE72" s="1432"/>
      <c r="CF72" s="1432"/>
      <c r="CG72" s="1432"/>
      <c r="CH72" s="1432"/>
      <c r="CI72" s="1432"/>
      <c r="CJ72" s="1432"/>
      <c r="CK72" s="1432"/>
      <c r="CL72" s="1432"/>
      <c r="CM72" s="1432"/>
      <c r="CN72" s="1432"/>
      <c r="CO72" s="1432"/>
      <c r="CP72" s="1432"/>
      <c r="CQ72" s="1432"/>
      <c r="CR72" s="1432"/>
      <c r="CS72" s="1432"/>
      <c r="CT72" s="1432"/>
      <c r="CU72" s="1432"/>
      <c r="CV72" s="1432"/>
      <c r="CW72" s="1432"/>
      <c r="CX72" s="1432"/>
      <c r="CY72" s="1432"/>
      <c r="CZ72" s="1432"/>
      <c r="DA72" s="1432"/>
      <c r="DB72" s="1432"/>
      <c r="DC72" s="1432"/>
      <c r="DD72" s="1432"/>
      <c r="DE72" s="1432"/>
      <c r="DF72" s="1432"/>
      <c r="DG72" s="1432"/>
      <c r="DH72" s="1432"/>
      <c r="DI72" s="1432"/>
      <c r="DJ72" s="1432"/>
      <c r="DK72" s="1432"/>
      <c r="DL72" s="1432"/>
      <c r="DM72" s="1432"/>
      <c r="DN72" s="1432"/>
      <c r="DO72" s="1432"/>
      <c r="DP72" s="1432"/>
      <c r="DQ72" s="1432"/>
      <c r="DR72" s="1432"/>
      <c r="DS72" s="1432"/>
      <c r="DT72" s="1432"/>
      <c r="DU72" s="1432"/>
      <c r="DV72" s="1432"/>
      <c r="DW72" s="1432"/>
      <c r="DX72" s="1432"/>
      <c r="DY72" s="1432"/>
      <c r="DZ72" s="1432"/>
      <c r="EA72" s="1432"/>
      <c r="EB72" s="1432"/>
      <c r="EC72" s="1432"/>
      <c r="ED72" s="1432"/>
      <c r="EE72" s="1432"/>
      <c r="EF72" s="1432"/>
      <c r="EG72" s="1432"/>
      <c r="EH72" s="1432"/>
      <c r="EI72" s="1432"/>
      <c r="EJ72" s="1432"/>
      <c r="EK72" s="1432"/>
      <c r="EL72" s="1432"/>
      <c r="EM72" s="1432"/>
      <c r="EN72" s="1432"/>
      <c r="EO72" s="1432"/>
      <c r="EP72" s="1432"/>
      <c r="EQ72" s="1432"/>
      <c r="ER72" s="1432"/>
      <c r="ES72" s="1432"/>
      <c r="ET72" s="1432"/>
      <c r="EU72" s="1432"/>
      <c r="EV72" s="1432"/>
      <c r="EW72" s="1432"/>
      <c r="EX72" s="1432"/>
      <c r="EY72" s="1432"/>
      <c r="EZ72" s="1432"/>
      <c r="FA72" s="1432"/>
      <c r="FB72" s="1432"/>
      <c r="FC72" s="1432"/>
      <c r="FD72" s="1432"/>
      <c r="FE72" s="1432"/>
      <c r="FF72" s="1432"/>
      <c r="FG72" s="1432"/>
      <c r="FH72" s="1432"/>
      <c r="FI72" s="1432"/>
      <c r="FJ72" s="1432"/>
      <c r="FK72" s="1432"/>
      <c r="FL72" s="1432"/>
      <c r="FM72" s="1432"/>
      <c r="FN72" s="1432"/>
      <c r="FO72" s="1432"/>
      <c r="FP72" s="1432"/>
      <c r="FQ72" s="1432"/>
      <c r="FR72" s="1432"/>
      <c r="FS72" s="1432"/>
      <c r="FT72" s="1432"/>
      <c r="FU72" s="1432"/>
      <c r="FV72" s="1432"/>
      <c r="FW72" s="1432"/>
      <c r="FX72" s="1432"/>
      <c r="FY72" s="1432"/>
      <c r="FZ72" s="1432"/>
      <c r="GA72" s="1432"/>
      <c r="GB72" s="1432"/>
      <c r="GC72" s="1432"/>
      <c r="GD72" s="1432"/>
      <c r="GE72" s="1432"/>
      <c r="GF72" s="1432"/>
      <c r="GG72" s="1432"/>
      <c r="GH72" s="1432"/>
      <c r="GI72" s="1432"/>
      <c r="GJ72" s="1432"/>
      <c r="GK72" s="1432"/>
      <c r="GL72" s="1432"/>
      <c r="GM72" s="1432"/>
      <c r="GN72" s="1432"/>
      <c r="GO72" s="1432"/>
      <c r="GP72" s="1432"/>
      <c r="GQ72" s="1432"/>
      <c r="GR72" s="1432"/>
      <c r="GS72" s="1432"/>
      <c r="GT72" s="1432"/>
      <c r="GU72" s="1432"/>
      <c r="GV72" s="1432"/>
      <c r="GW72" s="1432"/>
      <c r="GX72" s="1432"/>
      <c r="GY72" s="1432"/>
      <c r="GZ72" s="1432"/>
      <c r="HA72" s="1432"/>
      <c r="HB72" s="1432"/>
      <c r="HC72" s="1432"/>
      <c r="HD72" s="1432"/>
      <c r="HE72" s="1432"/>
      <c r="HF72" s="1432"/>
      <c r="HG72" s="1432"/>
      <c r="HH72" s="1432"/>
      <c r="HI72" s="1432"/>
      <c r="HJ72" s="1432"/>
      <c r="HK72" s="1432"/>
      <c r="HL72" s="1432"/>
      <c r="HM72" s="1432"/>
      <c r="HN72" s="1432"/>
      <c r="HO72" s="1432"/>
      <c r="HP72" s="1432"/>
      <c r="HQ72" s="1432"/>
      <c r="HR72" s="1432"/>
      <c r="HS72" s="1432"/>
      <c r="HT72" s="1432"/>
      <c r="HU72" s="1432"/>
      <c r="HV72" s="1432"/>
      <c r="HW72" s="1432"/>
      <c r="HX72" s="1432"/>
      <c r="HY72" s="1432"/>
      <c r="HZ72" s="1432"/>
      <c r="IA72" s="1432"/>
      <c r="IB72" s="1432"/>
      <c r="IC72" s="1432"/>
      <c r="ID72" s="1432"/>
      <c r="IE72" s="1432"/>
      <c r="IF72" s="1432"/>
      <c r="IG72" s="1432"/>
      <c r="IH72" s="1432"/>
      <c r="II72" s="1432"/>
      <c r="IJ72" s="1432"/>
      <c r="IK72" s="1432"/>
      <c r="IL72" s="1432"/>
      <c r="IM72" s="1432"/>
      <c r="IN72" s="1432"/>
      <c r="IO72" s="1432"/>
      <c r="IP72" s="1432"/>
      <c r="IQ72" s="1432"/>
      <c r="IR72" s="1432"/>
      <c r="IS72" s="1432"/>
      <c r="IT72" s="1432"/>
      <c r="IU72" s="1432"/>
      <c r="IV72" s="1432"/>
    </row>
    <row r="73" spans="1:256" ht="15.6">
      <c r="A73" s="1492">
        <v>13</v>
      </c>
      <c r="B73" s="1563" t="s">
        <v>508</v>
      </c>
      <c r="C73" s="1535"/>
      <c r="D73" s="1536"/>
      <c r="E73" s="1561"/>
      <c r="F73" s="1561"/>
      <c r="G73" s="1538"/>
      <c r="H73" s="1566">
        <f>E34</f>
        <v>0</v>
      </c>
      <c r="I73" s="1538">
        <f t="shared" si="1"/>
        <v>0</v>
      </c>
      <c r="J73" s="1432"/>
      <c r="K73" s="1432"/>
      <c r="L73" s="361"/>
      <c r="M73" s="361"/>
      <c r="N73" s="361"/>
      <c r="O73" s="361"/>
      <c r="P73" s="361"/>
      <c r="Q73" s="361"/>
      <c r="R73" s="1432"/>
      <c r="S73" s="1545"/>
      <c r="T73" s="1432"/>
      <c r="U73" s="1432"/>
      <c r="V73" s="1432"/>
      <c r="W73" s="1432"/>
      <c r="X73" s="1432"/>
      <c r="Y73" s="1432"/>
      <c r="Z73" s="1432"/>
      <c r="AA73" s="1432"/>
      <c r="AB73" s="1432"/>
      <c r="AC73" s="1432"/>
      <c r="AD73" s="1432"/>
      <c r="AE73" s="1432"/>
      <c r="AF73" s="1432"/>
      <c r="AG73" s="1432"/>
      <c r="AH73" s="1432"/>
      <c r="AI73" s="1432"/>
      <c r="AJ73" s="1432"/>
      <c r="AK73" s="1432"/>
      <c r="AL73" s="1432"/>
      <c r="AM73" s="1432"/>
      <c r="AN73" s="1432"/>
      <c r="AO73" s="1432"/>
      <c r="AP73" s="1432"/>
      <c r="AQ73" s="1432"/>
      <c r="AR73" s="1432"/>
      <c r="AS73" s="1432"/>
      <c r="AT73" s="1432"/>
      <c r="AU73" s="1432"/>
      <c r="AV73" s="1432"/>
      <c r="AW73" s="1432"/>
      <c r="AX73" s="1432"/>
      <c r="AY73" s="1432"/>
      <c r="AZ73" s="1432"/>
      <c r="BA73" s="1432"/>
      <c r="BB73" s="1432"/>
      <c r="BC73" s="1432"/>
      <c r="BD73" s="1432"/>
      <c r="BE73" s="1432"/>
      <c r="BF73" s="1432"/>
      <c r="BG73" s="1432"/>
      <c r="BH73" s="1432"/>
      <c r="BI73" s="1432"/>
      <c r="BJ73" s="1432"/>
      <c r="BK73" s="1432"/>
      <c r="BL73" s="1432"/>
      <c r="BM73" s="1432"/>
      <c r="BN73" s="1432"/>
      <c r="BO73" s="1432"/>
      <c r="BP73" s="1432"/>
      <c r="BQ73" s="1432"/>
      <c r="BR73" s="1432"/>
      <c r="BS73" s="1432"/>
      <c r="BT73" s="1432"/>
      <c r="BU73" s="1432"/>
      <c r="BV73" s="1432"/>
      <c r="BW73" s="1432"/>
      <c r="BX73" s="1432"/>
      <c r="BY73" s="1432"/>
      <c r="BZ73" s="1432"/>
      <c r="CA73" s="1432"/>
      <c r="CB73" s="1432"/>
      <c r="CC73" s="1432"/>
      <c r="CD73" s="1432"/>
      <c r="CE73" s="1432"/>
      <c r="CF73" s="1432"/>
      <c r="CG73" s="1432"/>
      <c r="CH73" s="1432"/>
      <c r="CI73" s="1432"/>
      <c r="CJ73" s="1432"/>
      <c r="CK73" s="1432"/>
      <c r="CL73" s="1432"/>
      <c r="CM73" s="1432"/>
      <c r="CN73" s="1432"/>
      <c r="CO73" s="1432"/>
      <c r="CP73" s="1432"/>
      <c r="CQ73" s="1432"/>
      <c r="CR73" s="1432"/>
      <c r="CS73" s="1432"/>
      <c r="CT73" s="1432"/>
      <c r="CU73" s="1432"/>
      <c r="CV73" s="1432"/>
      <c r="CW73" s="1432"/>
      <c r="CX73" s="1432"/>
      <c r="CY73" s="1432"/>
      <c r="CZ73" s="1432"/>
      <c r="DA73" s="1432"/>
      <c r="DB73" s="1432"/>
      <c r="DC73" s="1432"/>
      <c r="DD73" s="1432"/>
      <c r="DE73" s="1432"/>
      <c r="DF73" s="1432"/>
      <c r="DG73" s="1432"/>
      <c r="DH73" s="1432"/>
      <c r="DI73" s="1432"/>
      <c r="DJ73" s="1432"/>
      <c r="DK73" s="1432"/>
      <c r="DL73" s="1432"/>
      <c r="DM73" s="1432"/>
      <c r="DN73" s="1432"/>
      <c r="DO73" s="1432"/>
      <c r="DP73" s="1432"/>
      <c r="DQ73" s="1432"/>
      <c r="DR73" s="1432"/>
      <c r="DS73" s="1432"/>
      <c r="DT73" s="1432"/>
      <c r="DU73" s="1432"/>
      <c r="DV73" s="1432"/>
      <c r="DW73" s="1432"/>
      <c r="DX73" s="1432"/>
      <c r="DY73" s="1432"/>
      <c r="DZ73" s="1432"/>
      <c r="EA73" s="1432"/>
      <c r="EB73" s="1432"/>
      <c r="EC73" s="1432"/>
      <c r="ED73" s="1432"/>
      <c r="EE73" s="1432"/>
      <c r="EF73" s="1432"/>
      <c r="EG73" s="1432"/>
      <c r="EH73" s="1432"/>
      <c r="EI73" s="1432"/>
      <c r="EJ73" s="1432"/>
      <c r="EK73" s="1432"/>
      <c r="EL73" s="1432"/>
      <c r="EM73" s="1432"/>
      <c r="EN73" s="1432"/>
      <c r="EO73" s="1432"/>
      <c r="EP73" s="1432"/>
      <c r="EQ73" s="1432"/>
      <c r="ER73" s="1432"/>
      <c r="ES73" s="1432"/>
      <c r="ET73" s="1432"/>
      <c r="EU73" s="1432"/>
      <c r="EV73" s="1432"/>
      <c r="EW73" s="1432"/>
      <c r="EX73" s="1432"/>
      <c r="EY73" s="1432"/>
      <c r="EZ73" s="1432"/>
      <c r="FA73" s="1432"/>
      <c r="FB73" s="1432"/>
      <c r="FC73" s="1432"/>
      <c r="FD73" s="1432"/>
      <c r="FE73" s="1432"/>
      <c r="FF73" s="1432"/>
      <c r="FG73" s="1432"/>
      <c r="FH73" s="1432"/>
      <c r="FI73" s="1432"/>
      <c r="FJ73" s="1432"/>
      <c r="FK73" s="1432"/>
      <c r="FL73" s="1432"/>
      <c r="FM73" s="1432"/>
      <c r="FN73" s="1432"/>
      <c r="FO73" s="1432"/>
      <c r="FP73" s="1432"/>
      <c r="FQ73" s="1432"/>
      <c r="FR73" s="1432"/>
      <c r="FS73" s="1432"/>
      <c r="FT73" s="1432"/>
      <c r="FU73" s="1432"/>
      <c r="FV73" s="1432"/>
      <c r="FW73" s="1432"/>
      <c r="FX73" s="1432"/>
      <c r="FY73" s="1432"/>
      <c r="FZ73" s="1432"/>
      <c r="GA73" s="1432"/>
      <c r="GB73" s="1432"/>
      <c r="GC73" s="1432"/>
      <c r="GD73" s="1432"/>
      <c r="GE73" s="1432"/>
      <c r="GF73" s="1432"/>
      <c r="GG73" s="1432"/>
      <c r="GH73" s="1432"/>
      <c r="GI73" s="1432"/>
      <c r="GJ73" s="1432"/>
      <c r="GK73" s="1432"/>
      <c r="GL73" s="1432"/>
      <c r="GM73" s="1432"/>
      <c r="GN73" s="1432"/>
      <c r="GO73" s="1432"/>
      <c r="GP73" s="1432"/>
      <c r="GQ73" s="1432"/>
      <c r="GR73" s="1432"/>
      <c r="GS73" s="1432"/>
      <c r="GT73" s="1432"/>
      <c r="GU73" s="1432"/>
      <c r="GV73" s="1432"/>
      <c r="GW73" s="1432"/>
      <c r="GX73" s="1432"/>
      <c r="GY73" s="1432"/>
      <c r="GZ73" s="1432"/>
      <c r="HA73" s="1432"/>
      <c r="HB73" s="1432"/>
      <c r="HC73" s="1432"/>
      <c r="HD73" s="1432"/>
      <c r="HE73" s="1432"/>
      <c r="HF73" s="1432"/>
      <c r="HG73" s="1432"/>
      <c r="HH73" s="1432"/>
      <c r="HI73" s="1432"/>
      <c r="HJ73" s="1432"/>
      <c r="HK73" s="1432"/>
      <c r="HL73" s="1432"/>
      <c r="HM73" s="1432"/>
      <c r="HN73" s="1432"/>
      <c r="HO73" s="1432"/>
      <c r="HP73" s="1432"/>
      <c r="HQ73" s="1432"/>
      <c r="HR73" s="1432"/>
      <c r="HS73" s="1432"/>
      <c r="HT73" s="1432"/>
      <c r="HU73" s="1432"/>
      <c r="HV73" s="1432"/>
      <c r="HW73" s="1432"/>
      <c r="HX73" s="1432"/>
      <c r="HY73" s="1432"/>
      <c r="HZ73" s="1432"/>
      <c r="IA73" s="1432"/>
      <c r="IB73" s="1432"/>
      <c r="IC73" s="1432"/>
      <c r="ID73" s="1432"/>
      <c r="IE73" s="1432"/>
      <c r="IF73" s="1432"/>
      <c r="IG73" s="1432"/>
      <c r="IH73" s="1432"/>
      <c r="II73" s="1432"/>
      <c r="IJ73" s="1432"/>
      <c r="IK73" s="1432"/>
      <c r="IL73" s="1432"/>
      <c r="IM73" s="1432"/>
      <c r="IN73" s="1432"/>
      <c r="IO73" s="1432"/>
      <c r="IP73" s="1432"/>
      <c r="IQ73" s="1432"/>
      <c r="IR73" s="1432"/>
      <c r="IS73" s="1432"/>
      <c r="IT73" s="1432"/>
      <c r="IU73" s="1432"/>
      <c r="IV73" s="1432"/>
    </row>
    <row r="74" spans="1:256" ht="15.6">
      <c r="A74" s="1539"/>
      <c r="B74" s="1567" t="s">
        <v>9</v>
      </c>
      <c r="C74" s="1568">
        <f t="shared" ref="C74:I74" si="3">SUM(C55:C73)</f>
        <v>0</v>
      </c>
      <c r="D74" s="1568">
        <f t="shared" si="3"/>
        <v>4.0649375333850664</v>
      </c>
      <c r="E74" s="1568">
        <f t="shared" si="3"/>
        <v>0.47636283344625002</v>
      </c>
      <c r="F74" s="1568">
        <f t="shared" si="3"/>
        <v>0.29582397923198678</v>
      </c>
      <c r="G74" s="1568">
        <f t="shared" si="3"/>
        <v>0.22498920371625</v>
      </c>
      <c r="H74" s="1568">
        <f t="shared" si="3"/>
        <v>0</v>
      </c>
      <c r="I74" s="1568">
        <f t="shared" si="3"/>
        <v>5.0621135497795526</v>
      </c>
      <c r="K74" s="1569">
        <v>250.11093963847523</v>
      </c>
      <c r="L74" s="358"/>
      <c r="M74" s="358"/>
      <c r="N74" s="358"/>
      <c r="O74" s="358"/>
      <c r="P74" s="358"/>
      <c r="Q74" s="358"/>
      <c r="S74" s="1545"/>
      <c r="T74" s="1432"/>
      <c r="V74" s="1432"/>
      <c r="W74" s="1432"/>
    </row>
    <row r="75" spans="1:256" ht="15.6">
      <c r="A75" s="1539"/>
      <c r="B75" s="1518" t="s">
        <v>1176</v>
      </c>
      <c r="C75" s="1541"/>
      <c r="D75" s="1557"/>
      <c r="E75" s="1541">
        <f>E56+E57+E58+E60+E72</f>
        <v>3.3922833446250002E-2</v>
      </c>
      <c r="F75" s="1541">
        <f>F55+F56+F57+F58+F59+F60+F62+F63+F64+F65+F72</f>
        <v>0.17673424653633457</v>
      </c>
      <c r="G75" s="1541">
        <f>(G56+G57+G58+G59+G60+G71)/(1+$G$54)*G54</f>
        <v>0</v>
      </c>
      <c r="H75" s="1541">
        <f>D31+D33</f>
        <v>0</v>
      </c>
      <c r="I75" s="1542">
        <f>SUM(C75:H75)</f>
        <v>0.21065707998258457</v>
      </c>
      <c r="K75" s="1569">
        <v>19.574179666083797</v>
      </c>
      <c r="L75" s="358"/>
      <c r="M75" s="358"/>
      <c r="N75" s="358"/>
      <c r="O75" s="358"/>
      <c r="P75" s="358"/>
      <c r="Q75" s="358"/>
      <c r="S75" s="1545"/>
      <c r="T75" s="1432"/>
      <c r="V75" s="1432"/>
      <c r="W75" s="1432"/>
    </row>
    <row r="76" spans="1:256" ht="15.6">
      <c r="A76" s="1570"/>
      <c r="B76" s="1391"/>
      <c r="C76" s="1391"/>
      <c r="D76" s="1391"/>
      <c r="E76" s="1391"/>
      <c r="F76" s="1391"/>
      <c r="G76" s="1391"/>
      <c r="H76" s="1391"/>
      <c r="I76" s="1391">
        <f>I74-I75</f>
        <v>4.8514564697969682</v>
      </c>
      <c r="J76" s="1391"/>
      <c r="K76" s="1569">
        <v>230.53675997239142</v>
      </c>
      <c r="L76" s="358"/>
      <c r="M76" s="358"/>
      <c r="N76" s="358"/>
      <c r="O76" s="358"/>
      <c r="P76" s="358"/>
      <c r="Q76" s="358"/>
      <c r="S76" s="1545"/>
      <c r="T76" s="1432"/>
      <c r="V76" s="1432"/>
      <c r="W76" s="1432"/>
    </row>
    <row r="77" spans="1:256">
      <c r="A77" s="1483"/>
      <c r="G77" s="1385">
        <f>CC!AW20</f>
        <v>5.0621135497795526</v>
      </c>
      <c r="I77" s="1385">
        <f>CC!AY20</f>
        <v>4.8514564697969682</v>
      </c>
      <c r="P77" s="1391"/>
      <c r="Q77" s="1571"/>
      <c r="R77" s="1391"/>
      <c r="X77" s="1391"/>
      <c r="Y77" s="1391"/>
    </row>
    <row r="78" spans="1:256" ht="15.6">
      <c r="A78" s="1390"/>
      <c r="B78" s="1572"/>
      <c r="C78" s="1391"/>
      <c r="D78" s="1392"/>
      <c r="E78" s="1391"/>
      <c r="F78" s="1391"/>
      <c r="G78" s="1573">
        <f>I74-G77</f>
        <v>0</v>
      </c>
      <c r="H78" s="1391"/>
      <c r="I78" s="1573">
        <f>I76-I77</f>
        <v>0</v>
      </c>
      <c r="J78" s="1391"/>
      <c r="K78" s="1391"/>
      <c r="P78" s="1391"/>
      <c r="Q78" s="1571"/>
      <c r="R78" s="1391"/>
      <c r="X78" s="1391"/>
      <c r="Y78" s="1391"/>
    </row>
    <row r="79" spans="1:256" ht="15.6">
      <c r="A79" s="1389"/>
      <c r="B79" s="1391"/>
      <c r="C79" s="1391"/>
      <c r="D79" s="1391"/>
      <c r="E79" s="1391"/>
      <c r="F79" s="1482"/>
      <c r="G79" s="1391"/>
      <c r="H79" s="1391"/>
      <c r="I79" s="1391"/>
      <c r="J79" s="1391"/>
      <c r="K79" s="1391"/>
      <c r="P79" s="1424"/>
      <c r="Q79" s="1391"/>
      <c r="R79" s="1391"/>
      <c r="X79" s="1391"/>
      <c r="Y79" s="1391"/>
    </row>
    <row r="80" spans="1:256" ht="15.6">
      <c r="A80" s="1415"/>
      <c r="B80" s="1391"/>
      <c r="C80" s="1391"/>
      <c r="D80" s="1391"/>
      <c r="E80" s="1391"/>
      <c r="F80" s="1416"/>
      <c r="G80" s="1417"/>
      <c r="H80" s="1391"/>
      <c r="I80" s="1391"/>
      <c r="J80" s="1391"/>
      <c r="K80" s="1391"/>
      <c r="P80" s="1391"/>
      <c r="Q80" s="1391"/>
      <c r="R80" s="1391"/>
      <c r="X80" s="1391"/>
      <c r="Y80" s="1391"/>
    </row>
    <row r="81" spans="1:25">
      <c r="A81" s="1429"/>
      <c r="B81" s="1429"/>
      <c r="C81" s="1428"/>
      <c r="D81" s="1428"/>
      <c r="E81" s="1428"/>
      <c r="F81" s="1428"/>
      <c r="G81" s="1428"/>
      <c r="H81" s="1422"/>
      <c r="J81" s="1391"/>
      <c r="K81" s="1391"/>
      <c r="P81" s="1391"/>
      <c r="Q81" s="1391"/>
      <c r="R81" s="1391"/>
      <c r="X81" s="1391"/>
      <c r="Y81" s="1391"/>
    </row>
    <row r="82" spans="1:25">
      <c r="A82" s="1391"/>
      <c r="B82" s="1391"/>
      <c r="C82" s="1391"/>
      <c r="D82" s="1391"/>
      <c r="E82" s="1428"/>
      <c r="F82" s="1428"/>
      <c r="G82" s="1428"/>
      <c r="H82" s="1431"/>
      <c r="J82" s="1391"/>
      <c r="K82" s="1391"/>
      <c r="P82" s="1391"/>
      <c r="Q82" s="1391"/>
      <c r="R82" s="1391"/>
      <c r="X82" s="1391"/>
      <c r="Y82" s="1391"/>
    </row>
    <row r="83" spans="1:25">
      <c r="A83" s="1574"/>
      <c r="B83" s="1575"/>
      <c r="C83" s="1576"/>
      <c r="D83" s="1440"/>
      <c r="E83" s="1571"/>
      <c r="F83" s="1428"/>
      <c r="G83" s="1440"/>
      <c r="H83" s="1391"/>
      <c r="J83" s="1391"/>
      <c r="K83" s="1391"/>
      <c r="P83" s="1391"/>
      <c r="Q83" s="1571"/>
      <c r="R83" s="1391"/>
      <c r="X83" s="1391"/>
      <c r="Y83" s="1391"/>
    </row>
    <row r="84" spans="1:25">
      <c r="A84" s="1444"/>
      <c r="B84" s="1577"/>
      <c r="C84" s="1430"/>
      <c r="D84" s="1496"/>
      <c r="E84" s="1447"/>
      <c r="F84" s="1578"/>
      <c r="G84" s="1579"/>
      <c r="H84" s="1391"/>
      <c r="J84" s="1571"/>
      <c r="K84" s="1391"/>
      <c r="P84" s="1424"/>
      <c r="Q84" s="1391"/>
      <c r="R84" s="1391"/>
      <c r="X84" s="1391"/>
      <c r="Y84" s="1391"/>
    </row>
    <row r="85" spans="1:25">
      <c r="A85" s="1444"/>
      <c r="B85" s="1577"/>
      <c r="C85" s="1430"/>
      <c r="D85" s="1496"/>
      <c r="E85" s="1447"/>
      <c r="F85" s="1578"/>
      <c r="G85" s="1580"/>
      <c r="H85" s="1391"/>
      <c r="J85" s="1571"/>
      <c r="K85" s="1391"/>
      <c r="P85" s="1424"/>
      <c r="Q85" s="1391"/>
      <c r="R85" s="1391"/>
      <c r="X85" s="1391"/>
      <c r="Y85" s="1391"/>
    </row>
    <row r="86" spans="1:25">
      <c r="A86" s="1444"/>
      <c r="B86" s="1577"/>
      <c r="C86" s="1430"/>
      <c r="D86" s="1496"/>
      <c r="E86" s="1447"/>
      <c r="F86" s="1578"/>
      <c r="G86" s="1580"/>
      <c r="H86" s="1391"/>
      <c r="J86" s="1571"/>
      <c r="K86" s="1391"/>
      <c r="P86" s="1424"/>
      <c r="Q86" s="1391"/>
      <c r="R86" s="1391"/>
      <c r="X86" s="1391"/>
      <c r="Y86" s="1391"/>
    </row>
    <row r="87" spans="1:25">
      <c r="A87" s="1444"/>
      <c r="B87" s="1577"/>
      <c r="C87" s="1430"/>
      <c r="D87" s="1496"/>
      <c r="E87" s="1447"/>
      <c r="F87" s="1578"/>
      <c r="G87" s="1486"/>
      <c r="H87" s="1391"/>
      <c r="J87" s="1571"/>
      <c r="K87" s="1391"/>
      <c r="P87" s="1424"/>
      <c r="Q87" s="1391"/>
      <c r="R87" s="1391"/>
      <c r="X87" s="1391"/>
      <c r="Y87" s="1391"/>
    </row>
    <row r="88" spans="1:25">
      <c r="A88" s="1473"/>
      <c r="B88" s="1581"/>
      <c r="C88" s="1428"/>
      <c r="D88" s="1475"/>
      <c r="E88" s="1429"/>
      <c r="F88" s="1429"/>
      <c r="G88" s="1429"/>
      <c r="H88" s="1429">
        <f>SUM(H84:H86)</f>
        <v>0</v>
      </c>
      <c r="J88" s="1571"/>
      <c r="K88" s="1391"/>
      <c r="P88" s="1424"/>
      <c r="Q88" s="1391"/>
      <c r="R88" s="1391"/>
      <c r="X88" s="1391"/>
      <c r="Y88" s="1391"/>
    </row>
    <row r="89" spans="1:25">
      <c r="A89" s="1391"/>
      <c r="B89" s="1479"/>
      <c r="C89" s="1430"/>
      <c r="D89" s="1447"/>
      <c r="E89" s="1447"/>
      <c r="F89" s="1391"/>
      <c r="G89" s="1391"/>
      <c r="H89" s="1391"/>
      <c r="J89" s="1391"/>
      <c r="K89" s="1391"/>
      <c r="P89" s="1391"/>
      <c r="Q89" s="1391"/>
      <c r="R89" s="1391"/>
      <c r="X89" s="1391"/>
      <c r="Y89" s="1391"/>
    </row>
    <row r="90" spans="1:25">
      <c r="A90" s="1440"/>
      <c r="B90" s="1480"/>
      <c r="C90" s="1430"/>
      <c r="D90" s="1447"/>
      <c r="E90" s="1447"/>
      <c r="F90" s="1391"/>
      <c r="G90" s="1582"/>
      <c r="H90" s="1391"/>
      <c r="J90" s="1391"/>
      <c r="K90" s="1391"/>
      <c r="P90" s="1391"/>
      <c r="Q90" s="1391"/>
      <c r="R90" s="1391"/>
      <c r="X90" s="1391"/>
      <c r="Y90" s="1391"/>
    </row>
    <row r="91" spans="1:25">
      <c r="A91" s="1440"/>
      <c r="B91" s="1480"/>
      <c r="C91" s="1430"/>
      <c r="D91" s="1447"/>
      <c r="E91" s="1447"/>
      <c r="F91" s="1391"/>
      <c r="G91" s="1582"/>
      <c r="H91" s="1391"/>
      <c r="J91" s="1391"/>
      <c r="K91" s="1391"/>
      <c r="P91" s="1391"/>
      <c r="Q91" s="1391"/>
      <c r="R91" s="1391"/>
      <c r="X91" s="1391"/>
      <c r="Y91" s="1391"/>
    </row>
    <row r="92" spans="1:25">
      <c r="A92" s="1391"/>
      <c r="B92" s="1428"/>
      <c r="C92" s="1428"/>
      <c r="D92" s="1482"/>
      <c r="E92" s="1482"/>
      <c r="F92" s="1483"/>
      <c r="G92" s="1391"/>
      <c r="H92" s="1391"/>
      <c r="J92" s="1391"/>
      <c r="K92" s="1391"/>
      <c r="P92" s="1391"/>
      <c r="Q92" s="1391"/>
      <c r="R92" s="1391"/>
      <c r="X92" s="1391"/>
      <c r="Y92" s="1391"/>
    </row>
    <row r="93" spans="1:25">
      <c r="A93" s="1391"/>
      <c r="B93" s="1482"/>
      <c r="C93" s="1430"/>
      <c r="D93" s="1447"/>
      <c r="E93" s="1447"/>
      <c r="F93" s="1483"/>
      <c r="G93" s="1391"/>
      <c r="H93" s="1483">
        <f>H92+H88</f>
        <v>0</v>
      </c>
      <c r="J93" s="1391"/>
      <c r="K93" s="1391"/>
      <c r="P93" s="1391"/>
      <c r="Q93" s="1391"/>
      <c r="R93" s="1391"/>
      <c r="X93" s="1391"/>
      <c r="Y93" s="1391"/>
    </row>
    <row r="94" spans="1:25">
      <c r="A94" s="1435"/>
      <c r="B94" s="1450"/>
      <c r="C94" s="1422"/>
      <c r="D94" s="1451"/>
      <c r="E94" s="1423"/>
      <c r="F94" s="1452"/>
      <c r="G94" s="1440"/>
      <c r="H94" s="1441"/>
      <c r="I94" s="1435"/>
      <c r="J94" s="1450"/>
      <c r="K94" s="1422"/>
      <c r="L94" s="1451"/>
      <c r="M94" s="1451"/>
      <c r="N94" s="1451"/>
      <c r="O94" s="1451"/>
      <c r="P94" s="1452"/>
      <c r="R94" s="1432"/>
      <c r="X94" s="1417"/>
      <c r="Y94" s="1391"/>
    </row>
    <row r="95" spans="1:25">
      <c r="A95" s="1473"/>
      <c r="B95" s="1474"/>
      <c r="C95" s="1428"/>
      <c r="D95" s="1475"/>
      <c r="E95" s="1429"/>
      <c r="F95" s="1429"/>
      <c r="G95" s="1429"/>
      <c r="I95" s="1444"/>
      <c r="J95" s="1583"/>
      <c r="K95" s="1422"/>
      <c r="L95" s="1451"/>
      <c r="M95" s="1451"/>
      <c r="N95" s="1451"/>
      <c r="O95" s="1451"/>
      <c r="P95" s="1452"/>
      <c r="X95" s="1429"/>
      <c r="Y95" s="1391"/>
    </row>
    <row r="96" spans="1:25">
      <c r="A96" s="1391"/>
      <c r="B96" s="1479"/>
      <c r="C96" s="1430"/>
      <c r="D96" s="1447"/>
      <c r="E96" s="1447"/>
      <c r="F96" s="1391"/>
      <c r="G96" s="1391"/>
      <c r="I96" s="1473"/>
      <c r="J96" s="1474"/>
      <c r="K96" s="1428"/>
      <c r="L96" s="1475"/>
      <c r="M96" s="1475"/>
      <c r="N96" s="1475"/>
      <c r="O96" s="1475"/>
      <c r="P96" s="1429"/>
      <c r="X96" s="1391"/>
      <c r="Y96" s="1391"/>
    </row>
    <row r="97" spans="1:25">
      <c r="A97" s="1440"/>
      <c r="B97" s="1480"/>
      <c r="C97" s="1430"/>
      <c r="D97" s="1447"/>
      <c r="E97" s="1447"/>
      <c r="F97" s="1391"/>
      <c r="G97" s="1391"/>
      <c r="I97" s="1391"/>
      <c r="J97" s="1479"/>
      <c r="K97" s="1430"/>
      <c r="L97" s="1447"/>
      <c r="M97" s="1447"/>
      <c r="N97" s="1447"/>
      <c r="O97" s="1447"/>
      <c r="P97" s="1391"/>
      <c r="X97" s="1391"/>
      <c r="Y97" s="1391"/>
    </row>
    <row r="98" spans="1:25">
      <c r="A98" s="1440"/>
      <c r="B98" s="1480"/>
      <c r="C98" s="1430"/>
      <c r="D98" s="1447"/>
      <c r="E98" s="1447"/>
      <c r="F98" s="1391"/>
      <c r="G98" s="1391"/>
      <c r="I98" s="1440"/>
      <c r="J98" s="1480"/>
      <c r="K98" s="1430"/>
      <c r="L98" s="1447"/>
      <c r="M98" s="1447"/>
      <c r="N98" s="1447"/>
      <c r="O98" s="1447"/>
      <c r="P98" s="1391"/>
      <c r="X98" s="1391"/>
      <c r="Y98" s="1391"/>
    </row>
    <row r="99" spans="1:25">
      <c r="A99" s="1391"/>
      <c r="B99" s="1479"/>
      <c r="C99" s="1428"/>
      <c r="D99" s="1482"/>
      <c r="E99" s="1482"/>
      <c r="F99" s="1483"/>
      <c r="G99" s="1391"/>
      <c r="I99" s="1440"/>
      <c r="J99" s="1480"/>
      <c r="K99" s="1430"/>
      <c r="L99" s="1447"/>
      <c r="M99" s="1447"/>
      <c r="N99" s="1447"/>
      <c r="O99" s="1447"/>
      <c r="P99" s="1391"/>
      <c r="X99" s="1391"/>
      <c r="Y99" s="1391"/>
    </row>
    <row r="100" spans="1:25">
      <c r="A100" s="1391"/>
      <c r="B100" s="1482"/>
      <c r="C100" s="1430"/>
      <c r="D100" s="1447"/>
      <c r="E100" s="1447"/>
      <c r="F100" s="1483"/>
      <c r="G100" s="1391"/>
      <c r="I100" s="1391"/>
      <c r="J100" s="1479"/>
      <c r="K100" s="1428"/>
      <c r="L100" s="1482"/>
      <c r="M100" s="1482"/>
      <c r="N100" s="1482"/>
      <c r="O100" s="1482"/>
      <c r="P100" s="1483"/>
      <c r="X100" s="1483"/>
      <c r="Y100" s="1391"/>
    </row>
    <row r="101" spans="1:25">
      <c r="A101" s="1429"/>
      <c r="B101" s="1486"/>
      <c r="C101" s="1430"/>
      <c r="D101" s="1430"/>
      <c r="E101" s="1430"/>
      <c r="F101" s="1447"/>
      <c r="G101" s="1429"/>
      <c r="I101" s="1391"/>
      <c r="J101" s="1482"/>
      <c r="K101" s="1430"/>
      <c r="L101" s="1447"/>
      <c r="M101" s="1447"/>
      <c r="N101" s="1447"/>
      <c r="O101" s="1447"/>
      <c r="P101" s="1483"/>
      <c r="X101" s="1391"/>
      <c r="Y101" s="1391"/>
    </row>
    <row r="102" spans="1:25">
      <c r="A102" s="1429"/>
      <c r="B102" s="1490"/>
      <c r="C102" s="1491"/>
      <c r="D102" s="1491"/>
      <c r="E102" s="1491"/>
      <c r="F102" s="1452"/>
      <c r="G102" s="1429"/>
      <c r="I102" s="1429"/>
      <c r="J102" s="1486"/>
      <c r="K102" s="1430"/>
      <c r="L102" s="1430"/>
      <c r="M102" s="1430"/>
      <c r="N102" s="1430"/>
      <c r="O102" s="1430"/>
      <c r="P102" s="1447"/>
      <c r="Q102" s="1391"/>
      <c r="R102" s="1391"/>
      <c r="X102" s="1391"/>
      <c r="Y102" s="1391"/>
    </row>
    <row r="103" spans="1:25">
      <c r="A103" s="1429"/>
      <c r="B103" s="1584"/>
      <c r="C103" s="1579"/>
      <c r="D103" s="1585"/>
      <c r="E103" s="1586"/>
      <c r="F103" s="1586"/>
      <c r="G103" s="1429"/>
      <c r="I103" s="1429"/>
      <c r="J103" s="1490"/>
      <c r="K103" s="1491"/>
      <c r="L103" s="1587"/>
      <c r="M103" s="1587"/>
      <c r="N103" s="1587"/>
      <c r="O103" s="1587"/>
      <c r="P103" s="1452"/>
      <c r="Q103" s="1391"/>
      <c r="R103" s="1391"/>
      <c r="X103" s="1391"/>
      <c r="Y103" s="1391"/>
    </row>
    <row r="104" spans="1:25">
      <c r="A104" s="1429"/>
      <c r="B104" s="1486"/>
      <c r="C104" s="1430"/>
      <c r="D104" s="1496"/>
      <c r="E104" s="1447"/>
      <c r="F104" s="1578"/>
      <c r="G104" s="1429"/>
      <c r="H104" s="1391"/>
      <c r="I104" s="1429"/>
      <c r="J104" s="1490"/>
      <c r="K104" s="1579"/>
      <c r="L104" s="1588"/>
      <c r="M104" s="1588"/>
      <c r="N104" s="1588"/>
      <c r="O104" s="1588"/>
      <c r="P104" s="1452"/>
      <c r="Q104" s="1391"/>
      <c r="R104" s="1391"/>
      <c r="X104" s="1391"/>
      <c r="Y104" s="1391"/>
    </row>
    <row r="105" spans="1:25">
      <c r="A105" s="1429"/>
      <c r="B105" s="1486"/>
      <c r="C105" s="1430"/>
      <c r="D105" s="1447"/>
      <c r="E105" s="1447"/>
      <c r="F105" s="1578"/>
      <c r="G105" s="1429"/>
      <c r="H105" s="1391"/>
      <c r="J105" s="1589"/>
      <c r="K105" s="1590"/>
      <c r="L105" s="1591"/>
      <c r="M105" s="1591"/>
      <c r="N105" s="1591"/>
      <c r="O105" s="1591"/>
      <c r="P105" s="1579"/>
      <c r="Q105" s="1592"/>
      <c r="R105" s="1391"/>
      <c r="X105" s="1391"/>
      <c r="Y105" s="1391"/>
    </row>
    <row r="106" spans="1:25">
      <c r="A106" s="1429"/>
      <c r="B106" s="1429"/>
      <c r="C106" s="1428"/>
      <c r="D106" s="1428"/>
      <c r="E106" s="1428"/>
      <c r="F106" s="1428"/>
      <c r="G106" s="1429"/>
      <c r="H106" s="1391"/>
      <c r="J106" s="1391"/>
      <c r="K106" s="1391"/>
      <c r="P106" s="1391"/>
      <c r="Q106" s="1391"/>
      <c r="R106" s="1391"/>
      <c r="X106" s="1391"/>
      <c r="Y106" s="1391"/>
    </row>
    <row r="107" spans="1:25">
      <c r="A107" s="1429"/>
      <c r="B107" s="1429"/>
      <c r="C107" s="1428"/>
      <c r="D107" s="1428"/>
      <c r="E107" s="1428"/>
      <c r="F107" s="1428"/>
      <c r="G107" s="1429"/>
      <c r="H107" s="1391"/>
      <c r="J107" s="1391"/>
      <c r="K107" s="1391"/>
      <c r="P107" s="1391"/>
      <c r="Q107" s="1391"/>
      <c r="R107" s="1391"/>
      <c r="X107" s="1391"/>
      <c r="Y107" s="1391"/>
    </row>
    <row r="108" spans="1:25">
      <c r="A108" s="1429"/>
      <c r="B108" s="1429"/>
      <c r="C108" s="1428"/>
      <c r="D108" s="1428"/>
      <c r="E108" s="1428"/>
      <c r="F108" s="1428"/>
      <c r="G108" s="1429"/>
      <c r="H108" s="1391"/>
      <c r="J108" s="1391"/>
      <c r="K108" s="1391"/>
      <c r="P108" s="1391"/>
      <c r="Q108" s="1391"/>
      <c r="R108" s="1391"/>
      <c r="X108" s="1391"/>
      <c r="Y108" s="1391"/>
    </row>
    <row r="109" spans="1:25">
      <c r="A109" s="1429"/>
      <c r="B109" s="1429"/>
      <c r="C109" s="1428"/>
      <c r="D109" s="1428"/>
      <c r="E109" s="1428"/>
      <c r="F109" s="1428"/>
      <c r="G109" s="1429"/>
      <c r="H109" s="1391"/>
      <c r="J109" s="1391"/>
      <c r="K109" s="1391"/>
      <c r="P109" s="1391"/>
      <c r="Q109" s="1391"/>
      <c r="R109" s="1391"/>
      <c r="X109" s="1391"/>
      <c r="Y109" s="1391"/>
    </row>
    <row r="110" spans="1:25">
      <c r="A110" s="1429"/>
      <c r="B110" s="1429"/>
      <c r="C110" s="1428"/>
      <c r="D110" s="1428"/>
      <c r="E110" s="1428"/>
      <c r="F110" s="1428"/>
      <c r="G110" s="1429"/>
      <c r="H110" s="1391"/>
      <c r="J110" s="1391"/>
      <c r="K110" s="1391"/>
      <c r="L110" s="1391"/>
      <c r="M110" s="1391"/>
      <c r="N110" s="1391"/>
      <c r="O110" s="1391"/>
      <c r="P110" s="1391"/>
      <c r="Q110" s="1391"/>
      <c r="R110" s="1391"/>
      <c r="X110" s="1391"/>
      <c r="Y110" s="1391"/>
    </row>
    <row r="111" spans="1:25">
      <c r="A111" s="1429"/>
      <c r="B111" s="1429"/>
      <c r="C111" s="1428"/>
      <c r="D111" s="1428"/>
      <c r="E111" s="1428"/>
      <c r="F111" s="1428"/>
      <c r="G111" s="1429"/>
      <c r="H111" s="1391"/>
      <c r="J111" s="1391"/>
      <c r="K111" s="1391"/>
      <c r="L111" s="1391"/>
      <c r="M111" s="1391"/>
      <c r="N111" s="1391"/>
      <c r="O111" s="1391"/>
      <c r="P111" s="1391"/>
      <c r="Q111" s="1391"/>
      <c r="R111" s="1391"/>
      <c r="X111" s="1391"/>
      <c r="Y111" s="1391"/>
    </row>
    <row r="112" spans="1:25">
      <c r="A112" s="1391"/>
      <c r="B112" s="1391"/>
      <c r="C112" s="1571"/>
      <c r="D112" s="1424"/>
      <c r="E112" s="1391"/>
      <c r="F112" s="1428"/>
      <c r="G112" s="1429"/>
      <c r="H112" s="1391"/>
      <c r="J112" s="1391"/>
      <c r="K112" s="1391"/>
      <c r="L112" s="1391"/>
      <c r="M112" s="1391"/>
      <c r="N112" s="1391"/>
      <c r="O112" s="1391"/>
      <c r="P112" s="1391"/>
      <c r="Q112" s="1391"/>
      <c r="R112" s="1391"/>
      <c r="X112" s="1391"/>
      <c r="Y112" s="1391"/>
    </row>
    <row r="113" spans="1:25">
      <c r="A113" s="1473"/>
      <c r="B113" s="1391"/>
      <c r="F113" s="1429"/>
      <c r="G113" s="1486"/>
      <c r="H113" s="1391"/>
      <c r="J113" s="1391"/>
      <c r="K113" s="1391"/>
      <c r="L113" s="1391"/>
      <c r="M113" s="1391"/>
      <c r="N113" s="1391"/>
      <c r="O113" s="1391"/>
      <c r="P113" s="1391"/>
      <c r="Q113" s="1391"/>
      <c r="R113" s="1391"/>
      <c r="X113" s="1391"/>
      <c r="Y113" s="1391"/>
    </row>
    <row r="114" spans="1:25">
      <c r="A114" s="1574"/>
      <c r="B114" s="1577"/>
      <c r="C114" s="1593"/>
      <c r="D114" s="1486"/>
      <c r="E114" s="1486"/>
      <c r="F114" s="1391"/>
      <c r="G114" s="1576"/>
      <c r="H114" s="1391"/>
      <c r="J114" s="1391"/>
      <c r="K114" s="1391"/>
      <c r="L114" s="1391"/>
      <c r="M114" s="1391"/>
      <c r="N114" s="1391"/>
      <c r="O114" s="1391"/>
      <c r="P114" s="1391"/>
      <c r="Q114" s="1391"/>
      <c r="R114" s="1391"/>
      <c r="X114" s="1391"/>
      <c r="Y114" s="1391"/>
    </row>
    <row r="115" spans="1:25">
      <c r="A115" s="1594"/>
      <c r="B115" s="1577"/>
      <c r="C115" s="1430"/>
      <c r="D115" s="1486"/>
      <c r="E115" s="1486"/>
      <c r="F115" s="1447"/>
      <c r="G115" s="1576"/>
      <c r="L115" s="1391"/>
      <c r="M115" s="1391"/>
      <c r="N115" s="1391"/>
      <c r="O115" s="1391"/>
      <c r="P115" s="1391"/>
      <c r="Q115" s="1391"/>
      <c r="R115" s="1391"/>
      <c r="X115" s="1391"/>
      <c r="Y115" s="1391"/>
    </row>
    <row r="116" spans="1:25">
      <c r="A116" s="1391"/>
      <c r="B116" s="1595"/>
      <c r="C116" s="1430"/>
      <c r="D116" s="1447"/>
      <c r="E116" s="1447"/>
      <c r="F116" s="1429"/>
      <c r="G116" s="1480"/>
    </row>
    <row r="117" spans="1:25">
      <c r="A117" s="1594"/>
      <c r="B117" s="1577"/>
      <c r="C117" s="1430"/>
      <c r="D117" s="1496"/>
      <c r="E117" s="1496"/>
      <c r="F117" s="1447"/>
      <c r="G117" s="1480"/>
    </row>
    <row r="118" spans="1:25">
      <c r="A118" s="1391"/>
      <c r="B118" s="1577"/>
      <c r="C118" s="1430"/>
      <c r="D118" s="1496"/>
      <c r="E118" s="1496"/>
      <c r="F118" s="1447"/>
      <c r="G118" s="1480"/>
      <c r="H118" s="1569"/>
    </row>
    <row r="119" spans="1:25">
      <c r="A119" s="1391"/>
      <c r="B119" s="1577"/>
      <c r="C119" s="1430"/>
      <c r="D119" s="1496"/>
      <c r="E119" s="1496"/>
      <c r="F119" s="1447"/>
      <c r="G119" s="1480"/>
      <c r="H119" s="1391"/>
      <c r="I119" s="1391"/>
    </row>
    <row r="120" spans="1:25">
      <c r="A120" s="1391"/>
      <c r="B120" s="1486"/>
      <c r="C120" s="1576"/>
      <c r="D120" s="1392"/>
      <c r="E120" s="1392"/>
      <c r="F120" s="1429"/>
      <c r="G120" s="1480"/>
      <c r="H120" s="1391"/>
      <c r="I120" s="1391"/>
    </row>
    <row r="121" spans="1:25">
      <c r="A121" s="1594"/>
      <c r="B121" s="1577"/>
      <c r="C121" s="1430"/>
      <c r="D121" s="1496"/>
      <c r="E121" s="1496"/>
      <c r="F121" s="1447"/>
      <c r="G121" s="1480"/>
      <c r="H121" s="1391"/>
      <c r="I121" s="1391"/>
    </row>
    <row r="122" spans="1:25">
      <c r="A122" s="1594"/>
      <c r="B122" s="1577"/>
      <c r="D122" s="1392"/>
      <c r="E122" s="1496"/>
      <c r="F122" s="1447"/>
      <c r="G122" s="1480"/>
      <c r="H122" s="1391"/>
      <c r="I122" s="1391"/>
    </row>
    <row r="123" spans="1:25">
      <c r="A123" s="1594"/>
      <c r="B123" s="1577"/>
      <c r="C123" s="1430"/>
      <c r="D123" s="1496"/>
      <c r="E123" s="1496"/>
      <c r="F123" s="1447"/>
      <c r="G123" s="1480"/>
      <c r="H123" s="1391"/>
      <c r="I123" s="1391"/>
    </row>
    <row r="124" spans="1:25">
      <c r="A124" s="1594"/>
      <c r="B124" s="1417"/>
      <c r="C124" s="1423"/>
      <c r="D124" s="1423"/>
      <c r="E124" s="1391"/>
      <c r="F124" s="1447"/>
      <c r="G124" s="1480"/>
      <c r="H124" s="1391"/>
      <c r="I124" s="1391"/>
    </row>
    <row r="125" spans="1:25">
      <c r="A125" s="1594"/>
      <c r="B125" s="1391"/>
      <c r="C125" s="1571"/>
      <c r="D125" s="1571"/>
      <c r="E125" s="1391"/>
      <c r="F125" s="1447"/>
      <c r="G125" s="1480"/>
      <c r="H125" s="1391"/>
      <c r="I125" s="1391"/>
      <c r="J125" s="1391"/>
      <c r="K125" s="1391"/>
    </row>
    <row r="126" spans="1:25">
      <c r="B126" s="1391"/>
      <c r="C126" s="1571"/>
      <c r="D126" s="1571"/>
      <c r="E126" s="1391"/>
      <c r="G126" s="1391"/>
      <c r="H126" s="1391"/>
      <c r="I126" s="1391"/>
      <c r="J126" s="1391"/>
      <c r="K126" s="1391"/>
    </row>
    <row r="127" spans="1:25">
      <c r="A127" s="1391"/>
      <c r="B127" s="1391"/>
      <c r="C127" s="1391"/>
      <c r="D127" s="1391"/>
      <c r="E127" s="1391"/>
      <c r="F127" s="1391"/>
      <c r="G127" s="1391"/>
      <c r="H127" s="1391"/>
      <c r="I127" s="1391"/>
      <c r="J127" s="1391"/>
      <c r="K127" s="1391"/>
    </row>
    <row r="128" spans="1:25">
      <c r="B128" s="1391"/>
      <c r="C128" s="1391"/>
      <c r="D128" s="1391"/>
      <c r="E128" s="1391"/>
      <c r="G128" s="1391"/>
      <c r="H128" s="1391"/>
      <c r="I128" s="1391"/>
      <c r="J128" s="1391"/>
      <c r="K128" s="1391"/>
    </row>
    <row r="129" spans="2:11">
      <c r="B129" s="1391"/>
      <c r="C129" s="1391"/>
      <c r="D129" s="1391"/>
      <c r="E129" s="1391"/>
      <c r="G129" s="1391"/>
      <c r="H129" s="1391"/>
      <c r="I129" s="1391"/>
      <c r="J129" s="1391"/>
      <c r="K129" s="1391"/>
    </row>
    <row r="130" spans="2:11">
      <c r="B130" s="1391"/>
      <c r="C130" s="1391"/>
      <c r="D130" s="1391"/>
      <c r="E130" s="1391"/>
      <c r="G130" s="1391"/>
      <c r="H130" s="1391"/>
      <c r="I130" s="1391"/>
      <c r="J130" s="1391"/>
      <c r="K130" s="1391"/>
    </row>
    <row r="131" spans="2:11">
      <c r="B131" s="1391"/>
      <c r="C131" s="1391"/>
      <c r="D131" s="1391"/>
      <c r="E131" s="1391"/>
    </row>
    <row r="132" spans="2:11">
      <c r="B132" s="1391"/>
      <c r="C132" s="1391"/>
      <c r="D132" s="1391"/>
      <c r="E132" s="1391"/>
    </row>
  </sheetData>
  <mergeCells count="8">
    <mergeCell ref="C52:D52"/>
    <mergeCell ref="E52:G52"/>
    <mergeCell ref="A6:E6"/>
    <mergeCell ref="A7:E7"/>
    <mergeCell ref="A8:E8"/>
    <mergeCell ref="A9:E9"/>
    <mergeCell ref="A10:E10"/>
    <mergeCell ref="A39:E39"/>
  </mergeCells>
  <pageMargins left="1.04" right="0.7" top="0.75" bottom="0.75" header="0.3" footer="0.3"/>
  <pageSetup paperSize="9" scale="96"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C80"/>
  <sheetViews>
    <sheetView topLeftCell="A16" workbookViewId="0">
      <selection activeCell="B13" sqref="B13"/>
    </sheetView>
  </sheetViews>
  <sheetFormatPr defaultColWidth="8.81640625" defaultRowHeight="15"/>
  <cols>
    <col min="1" max="1" width="5.6328125" style="243" customWidth="1"/>
    <col min="2" max="2" width="26.54296875" style="243" customWidth="1"/>
    <col min="3" max="3" width="11.453125" style="243" customWidth="1"/>
    <col min="4" max="4" width="7.453125" style="243" customWidth="1"/>
    <col min="5" max="5" width="8.54296875" style="243" customWidth="1"/>
    <col min="6" max="6" width="12.36328125" style="243" customWidth="1"/>
    <col min="7" max="7" width="11.81640625" style="243" customWidth="1"/>
    <col min="8" max="8" width="8.1796875" style="243" customWidth="1"/>
    <col min="9" max="9" width="12" style="243" customWidth="1"/>
    <col min="10" max="10" width="8.81640625" style="243" customWidth="1"/>
    <col min="11" max="11" width="11.08984375" style="243" customWidth="1"/>
    <col min="12" max="12" width="12.90625" style="243" customWidth="1"/>
    <col min="13" max="13" width="12.54296875" style="243" customWidth="1"/>
    <col min="14" max="14" width="9.6328125" style="243" customWidth="1"/>
    <col min="15" max="15" width="9.90625" style="243" customWidth="1"/>
    <col min="16" max="16" width="11.36328125" style="243" customWidth="1"/>
    <col min="17" max="17" width="11.54296875" style="243" customWidth="1"/>
    <col min="18" max="18" width="11.6328125" style="243" customWidth="1"/>
    <col min="19" max="19" width="10.36328125" style="243" customWidth="1"/>
    <col min="20" max="20" width="11.81640625" style="243" customWidth="1"/>
    <col min="21" max="21" width="12.08984375" style="243" customWidth="1"/>
    <col min="22" max="22" width="11" style="243" customWidth="1"/>
    <col min="23" max="23" width="12.08984375" style="243" customWidth="1"/>
    <col min="24" max="24" width="10.54296875" style="243" customWidth="1"/>
    <col min="25" max="25" width="9.90625" style="243" customWidth="1"/>
    <col min="26" max="26" width="10.81640625" style="243" customWidth="1"/>
    <col min="27" max="27" width="9.81640625" style="243" customWidth="1"/>
    <col min="28" max="28" width="11.1796875" style="243" customWidth="1"/>
    <col min="29" max="29" width="10.36328125" style="243" customWidth="1"/>
    <col min="30" max="30" width="11.90625" style="243" customWidth="1"/>
    <col min="31" max="31" width="8.81640625" style="243"/>
    <col min="32" max="32" width="13.90625" style="243" customWidth="1"/>
    <col min="33" max="33" width="10.90625" style="243" customWidth="1"/>
    <col min="34" max="34" width="11.453125" style="243" customWidth="1"/>
    <col min="35" max="35" width="11.81640625" style="243" customWidth="1"/>
    <col min="36" max="36" width="11.08984375" style="243" customWidth="1"/>
    <col min="37" max="37" width="10.90625" style="243" customWidth="1"/>
    <col min="38" max="41" width="8.81640625" style="243"/>
    <col min="42" max="42" width="11.453125" style="243" bestFit="1" customWidth="1"/>
    <col min="43" max="43" width="10.1796875" style="243" customWidth="1"/>
    <col min="44" max="44" width="11.54296875" style="243" customWidth="1"/>
    <col min="45" max="45" width="12.08984375" style="243" customWidth="1"/>
    <col min="46" max="46" width="13.1796875" style="243" customWidth="1"/>
    <col min="47" max="47" width="14.08984375" style="243" customWidth="1"/>
    <col min="48" max="48" width="11.81640625" style="243" customWidth="1"/>
    <col min="49" max="49" width="9.6328125" style="243" customWidth="1"/>
    <col min="50" max="53" width="8.81640625" style="243"/>
    <col min="54" max="54" width="28.81640625" style="243" customWidth="1"/>
    <col min="55" max="55" width="11.81640625" style="243" customWidth="1"/>
    <col min="56" max="56" width="10" style="243" customWidth="1"/>
    <col min="57" max="57" width="10.453125" style="243" customWidth="1"/>
    <col min="58" max="59" width="8.81640625" style="243"/>
    <col min="60" max="60" width="9.36328125" style="243" customWidth="1"/>
    <col min="61" max="61" width="18.453125" style="243" customWidth="1"/>
    <col min="62" max="62" width="11" style="243" customWidth="1"/>
    <col min="63" max="63" width="9.54296875" style="243" customWidth="1"/>
    <col min="64" max="64" width="10.6328125" style="243" customWidth="1"/>
    <col min="65" max="65" width="9.90625" style="243" customWidth="1"/>
    <col min="66" max="66" width="11.453125" style="243" customWidth="1"/>
    <col min="67" max="67" width="9.90625" style="243" customWidth="1"/>
    <col min="68" max="68" width="10" style="243" customWidth="1"/>
    <col min="69" max="69" width="6.81640625" style="243" customWidth="1"/>
    <col min="70" max="70" width="12.54296875" style="243" customWidth="1"/>
    <col min="71" max="71" width="9.54296875" style="243" customWidth="1"/>
    <col min="72" max="72" width="10.36328125" style="243" customWidth="1"/>
    <col min="73" max="73" width="7.81640625" style="243" customWidth="1"/>
    <col min="74" max="74" width="7.1796875" style="243" customWidth="1"/>
    <col min="75" max="75" width="17.6328125" style="243" customWidth="1"/>
    <col min="76" max="76" width="8.81640625" style="243" customWidth="1"/>
    <col min="77" max="77" width="13.08984375" style="243" bestFit="1" customWidth="1"/>
    <col min="78" max="78" width="13.81640625" style="243" customWidth="1"/>
    <col min="79" max="80" width="8.81640625" style="243"/>
    <col min="81" max="81" width="9" style="243" bestFit="1" customWidth="1"/>
    <col min="82" max="90" width="8.81640625" style="243"/>
    <col min="91" max="91" width="13.08984375" style="243" customWidth="1"/>
    <col min="92" max="92" width="8.81640625" style="243"/>
    <col min="93" max="93" width="9.90625" style="243" customWidth="1"/>
    <col min="94" max="97" width="8.81640625" style="243"/>
    <col min="98" max="98" width="8.54296875" style="243" customWidth="1"/>
    <col min="99" max="99" width="30.36328125" style="243" customWidth="1"/>
    <col min="100" max="100" width="9" style="243" bestFit="1" customWidth="1"/>
    <col min="101" max="101" width="8.81640625" style="243"/>
    <col min="102" max="102" width="5.90625" style="243" customWidth="1"/>
    <col min="103" max="103" width="6.90625" style="243" customWidth="1"/>
    <col min="104" max="104" width="23.90625" style="243" customWidth="1"/>
    <col min="105" max="111" width="8.81640625" style="243"/>
    <col min="112" max="112" width="9" style="243" bestFit="1" customWidth="1"/>
    <col min="113" max="114" width="8.81640625" style="243"/>
    <col min="115" max="115" width="32.90625" style="243" customWidth="1"/>
    <col min="116" max="116" width="16.6328125" style="243" customWidth="1"/>
    <col min="117" max="117" width="10.1796875" style="243" customWidth="1"/>
    <col min="118" max="118" width="12.453125" style="243" customWidth="1"/>
    <col min="119" max="119" width="10" style="243" bestFit="1" customWidth="1"/>
    <col min="120" max="120" width="8.81640625" style="243"/>
    <col min="121" max="121" width="9" style="243" bestFit="1" customWidth="1"/>
    <col min="122" max="123" width="8.81640625" style="243"/>
    <col min="124" max="124" width="11.6328125" style="243" customWidth="1"/>
    <col min="125" max="125" width="8.81640625" style="243"/>
    <col min="126" max="126" width="28.81640625" style="243" customWidth="1"/>
    <col min="127" max="127" width="12.36328125" style="243" customWidth="1"/>
    <col min="128" max="128" width="11.1796875" style="243" customWidth="1"/>
    <col min="129" max="256" width="8.81640625" style="243"/>
    <col min="257" max="257" width="5.6328125" style="243" customWidth="1"/>
    <col min="258" max="258" width="26.54296875" style="243" customWidth="1"/>
    <col min="259" max="259" width="11.453125" style="243" customWidth="1"/>
    <col min="260" max="260" width="7.453125" style="243" customWidth="1"/>
    <col min="261" max="261" width="8.54296875" style="243" customWidth="1"/>
    <col min="262" max="262" width="12.36328125" style="243" customWidth="1"/>
    <col min="263" max="263" width="11.81640625" style="243" customWidth="1"/>
    <col min="264" max="264" width="8.1796875" style="243" customWidth="1"/>
    <col min="265" max="265" width="12" style="243" customWidth="1"/>
    <col min="266" max="266" width="8.81640625" style="243" customWidth="1"/>
    <col min="267" max="267" width="11.08984375" style="243" customWidth="1"/>
    <col min="268" max="268" width="12.90625" style="243" customWidth="1"/>
    <col min="269" max="269" width="12.54296875" style="243" customWidth="1"/>
    <col min="270" max="270" width="9.6328125" style="243" customWidth="1"/>
    <col min="271" max="271" width="9.90625" style="243" customWidth="1"/>
    <col min="272" max="272" width="11.36328125" style="243" customWidth="1"/>
    <col min="273" max="273" width="11.54296875" style="243" customWidth="1"/>
    <col min="274" max="274" width="11.6328125" style="243" customWidth="1"/>
    <col min="275" max="275" width="10.36328125" style="243" customWidth="1"/>
    <col min="276" max="276" width="11.81640625" style="243" customWidth="1"/>
    <col min="277" max="277" width="12.08984375" style="243" customWidth="1"/>
    <col min="278" max="278" width="11" style="243" customWidth="1"/>
    <col min="279" max="279" width="12.08984375" style="243" customWidth="1"/>
    <col min="280" max="280" width="10.54296875" style="243" customWidth="1"/>
    <col min="281" max="281" width="9.90625" style="243" customWidth="1"/>
    <col min="282" max="282" width="10.81640625" style="243" customWidth="1"/>
    <col min="283" max="283" width="9.81640625" style="243" customWidth="1"/>
    <col min="284" max="284" width="11.1796875" style="243" customWidth="1"/>
    <col min="285" max="285" width="10.36328125" style="243" customWidth="1"/>
    <col min="286" max="286" width="11.90625" style="243" customWidth="1"/>
    <col min="287" max="287" width="8.81640625" style="243"/>
    <col min="288" max="288" width="13.90625" style="243" customWidth="1"/>
    <col min="289" max="289" width="10.90625" style="243" customWidth="1"/>
    <col min="290" max="290" width="11.453125" style="243" customWidth="1"/>
    <col min="291" max="291" width="11.81640625" style="243" customWidth="1"/>
    <col min="292" max="292" width="11.08984375" style="243" customWidth="1"/>
    <col min="293" max="293" width="10.90625" style="243" customWidth="1"/>
    <col min="294" max="297" width="8.81640625" style="243"/>
    <col min="298" max="298" width="11.453125" style="243" bestFit="1" customWidth="1"/>
    <col min="299" max="299" width="10.1796875" style="243" customWidth="1"/>
    <col min="300" max="300" width="11.54296875" style="243" customWidth="1"/>
    <col min="301" max="301" width="12.08984375" style="243" customWidth="1"/>
    <col min="302" max="302" width="13.1796875" style="243" customWidth="1"/>
    <col min="303" max="303" width="14.08984375" style="243" customWidth="1"/>
    <col min="304" max="304" width="11.81640625" style="243" customWidth="1"/>
    <col min="305" max="305" width="9.6328125" style="243" customWidth="1"/>
    <col min="306" max="309" width="8.81640625" style="243"/>
    <col min="310" max="310" width="28.81640625" style="243" customWidth="1"/>
    <col min="311" max="311" width="11.81640625" style="243" customWidth="1"/>
    <col min="312" max="312" width="10" style="243" customWidth="1"/>
    <col min="313" max="313" width="10.453125" style="243" customWidth="1"/>
    <col min="314" max="315" width="8.81640625" style="243"/>
    <col min="316" max="316" width="9.36328125" style="243" customWidth="1"/>
    <col min="317" max="317" width="18.453125" style="243" customWidth="1"/>
    <col min="318" max="318" width="11" style="243" customWidth="1"/>
    <col min="319" max="319" width="9.54296875" style="243" customWidth="1"/>
    <col min="320" max="320" width="10.6328125" style="243" customWidth="1"/>
    <col min="321" max="321" width="9.90625" style="243" customWidth="1"/>
    <col min="322" max="322" width="11.453125" style="243" customWidth="1"/>
    <col min="323" max="323" width="9.90625" style="243" customWidth="1"/>
    <col min="324" max="324" width="10" style="243" customWidth="1"/>
    <col min="325" max="325" width="6.81640625" style="243" customWidth="1"/>
    <col min="326" max="326" width="12.54296875" style="243" customWidth="1"/>
    <col min="327" max="327" width="9.54296875" style="243" customWidth="1"/>
    <col min="328" max="328" width="10.36328125" style="243" customWidth="1"/>
    <col min="329" max="329" width="7.81640625" style="243" customWidth="1"/>
    <col min="330" max="330" width="7.1796875" style="243" customWidth="1"/>
    <col min="331" max="331" width="17.6328125" style="243" customWidth="1"/>
    <col min="332" max="332" width="8.81640625" style="243" customWidth="1"/>
    <col min="333" max="333" width="13.08984375" style="243" bestFit="1" customWidth="1"/>
    <col min="334" max="334" width="13.81640625" style="243" customWidth="1"/>
    <col min="335" max="336" width="8.81640625" style="243"/>
    <col min="337" max="337" width="9" style="243" bestFit="1" customWidth="1"/>
    <col min="338" max="346" width="8.81640625" style="243"/>
    <col min="347" max="347" width="13.08984375" style="243" customWidth="1"/>
    <col min="348" max="348" width="8.81640625" style="243"/>
    <col min="349" max="349" width="9.90625" style="243" customWidth="1"/>
    <col min="350" max="353" width="8.81640625" style="243"/>
    <col min="354" max="354" width="8.54296875" style="243" customWidth="1"/>
    <col min="355" max="355" width="30.36328125" style="243" customWidth="1"/>
    <col min="356" max="356" width="9" style="243" bestFit="1" customWidth="1"/>
    <col min="357" max="357" width="8.81640625" style="243"/>
    <col min="358" max="358" width="5.90625" style="243" customWidth="1"/>
    <col min="359" max="359" width="6.90625" style="243" customWidth="1"/>
    <col min="360" max="360" width="23.90625" style="243" customWidth="1"/>
    <col min="361" max="367" width="8.81640625" style="243"/>
    <col min="368" max="368" width="9" style="243" bestFit="1" customWidth="1"/>
    <col min="369" max="370" width="8.81640625" style="243"/>
    <col min="371" max="371" width="32.90625" style="243" customWidth="1"/>
    <col min="372" max="372" width="16.6328125" style="243" customWidth="1"/>
    <col min="373" max="373" width="10.1796875" style="243" customWidth="1"/>
    <col min="374" max="374" width="12.453125" style="243" customWidth="1"/>
    <col min="375" max="375" width="10" style="243" bestFit="1" customWidth="1"/>
    <col min="376" max="376" width="8.81640625" style="243"/>
    <col min="377" max="377" width="9" style="243" bestFit="1" customWidth="1"/>
    <col min="378" max="379" width="8.81640625" style="243"/>
    <col min="380" max="380" width="11.6328125" style="243" customWidth="1"/>
    <col min="381" max="381" width="8.81640625" style="243"/>
    <col min="382" max="382" width="28.81640625" style="243" customWidth="1"/>
    <col min="383" max="383" width="12.36328125" style="243" customWidth="1"/>
    <col min="384" max="384" width="11.1796875" style="243" customWidth="1"/>
    <col min="385" max="512" width="8.81640625" style="243"/>
    <col min="513" max="513" width="5.6328125" style="243" customWidth="1"/>
    <col min="514" max="514" width="26.54296875" style="243" customWidth="1"/>
    <col min="515" max="515" width="11.453125" style="243" customWidth="1"/>
    <col min="516" max="516" width="7.453125" style="243" customWidth="1"/>
    <col min="517" max="517" width="8.54296875" style="243" customWidth="1"/>
    <col min="518" max="518" width="12.36328125" style="243" customWidth="1"/>
    <col min="519" max="519" width="11.81640625" style="243" customWidth="1"/>
    <col min="520" max="520" width="8.1796875" style="243" customWidth="1"/>
    <col min="521" max="521" width="12" style="243" customWidth="1"/>
    <col min="522" max="522" width="8.81640625" style="243" customWidth="1"/>
    <col min="523" max="523" width="11.08984375" style="243" customWidth="1"/>
    <col min="524" max="524" width="12.90625" style="243" customWidth="1"/>
    <col min="525" max="525" width="12.54296875" style="243" customWidth="1"/>
    <col min="526" max="526" width="9.6328125" style="243" customWidth="1"/>
    <col min="527" max="527" width="9.90625" style="243" customWidth="1"/>
    <col min="528" max="528" width="11.36328125" style="243" customWidth="1"/>
    <col min="529" max="529" width="11.54296875" style="243" customWidth="1"/>
    <col min="530" max="530" width="11.6328125" style="243" customWidth="1"/>
    <col min="531" max="531" width="10.36328125" style="243" customWidth="1"/>
    <col min="532" max="532" width="11.81640625" style="243" customWidth="1"/>
    <col min="533" max="533" width="12.08984375" style="243" customWidth="1"/>
    <col min="534" max="534" width="11" style="243" customWidth="1"/>
    <col min="535" max="535" width="12.08984375" style="243" customWidth="1"/>
    <col min="536" max="536" width="10.54296875" style="243" customWidth="1"/>
    <col min="537" max="537" width="9.90625" style="243" customWidth="1"/>
    <col min="538" max="538" width="10.81640625" style="243" customWidth="1"/>
    <col min="539" max="539" width="9.81640625" style="243" customWidth="1"/>
    <col min="540" max="540" width="11.1796875" style="243" customWidth="1"/>
    <col min="541" max="541" width="10.36328125" style="243" customWidth="1"/>
    <col min="542" max="542" width="11.90625" style="243" customWidth="1"/>
    <col min="543" max="543" width="8.81640625" style="243"/>
    <col min="544" max="544" width="13.90625" style="243" customWidth="1"/>
    <col min="545" max="545" width="10.90625" style="243" customWidth="1"/>
    <col min="546" max="546" width="11.453125" style="243" customWidth="1"/>
    <col min="547" max="547" width="11.81640625" style="243" customWidth="1"/>
    <col min="548" max="548" width="11.08984375" style="243" customWidth="1"/>
    <col min="549" max="549" width="10.90625" style="243" customWidth="1"/>
    <col min="550" max="553" width="8.81640625" style="243"/>
    <col min="554" max="554" width="11.453125" style="243" bestFit="1" customWidth="1"/>
    <col min="555" max="555" width="10.1796875" style="243" customWidth="1"/>
    <col min="556" max="556" width="11.54296875" style="243" customWidth="1"/>
    <col min="557" max="557" width="12.08984375" style="243" customWidth="1"/>
    <col min="558" max="558" width="13.1796875" style="243" customWidth="1"/>
    <col min="559" max="559" width="14.08984375" style="243" customWidth="1"/>
    <col min="560" max="560" width="11.81640625" style="243" customWidth="1"/>
    <col min="561" max="561" width="9.6328125" style="243" customWidth="1"/>
    <col min="562" max="565" width="8.81640625" style="243"/>
    <col min="566" max="566" width="28.81640625" style="243" customWidth="1"/>
    <col min="567" max="567" width="11.81640625" style="243" customWidth="1"/>
    <col min="568" max="568" width="10" style="243" customWidth="1"/>
    <col min="569" max="569" width="10.453125" style="243" customWidth="1"/>
    <col min="570" max="571" width="8.81640625" style="243"/>
    <col min="572" max="572" width="9.36328125" style="243" customWidth="1"/>
    <col min="573" max="573" width="18.453125" style="243" customWidth="1"/>
    <col min="574" max="574" width="11" style="243" customWidth="1"/>
    <col min="575" max="575" width="9.54296875" style="243" customWidth="1"/>
    <col min="576" max="576" width="10.6328125" style="243" customWidth="1"/>
    <col min="577" max="577" width="9.90625" style="243" customWidth="1"/>
    <col min="578" max="578" width="11.453125" style="243" customWidth="1"/>
    <col min="579" max="579" width="9.90625" style="243" customWidth="1"/>
    <col min="580" max="580" width="10" style="243" customWidth="1"/>
    <col min="581" max="581" width="6.81640625" style="243" customWidth="1"/>
    <col min="582" max="582" width="12.54296875" style="243" customWidth="1"/>
    <col min="583" max="583" width="9.54296875" style="243" customWidth="1"/>
    <col min="584" max="584" width="10.36328125" style="243" customWidth="1"/>
    <col min="585" max="585" width="7.81640625" style="243" customWidth="1"/>
    <col min="586" max="586" width="7.1796875" style="243" customWidth="1"/>
    <col min="587" max="587" width="17.6328125" style="243" customWidth="1"/>
    <col min="588" max="588" width="8.81640625" style="243" customWidth="1"/>
    <col min="589" max="589" width="13.08984375" style="243" bestFit="1" customWidth="1"/>
    <col min="590" max="590" width="13.81640625" style="243" customWidth="1"/>
    <col min="591" max="592" width="8.81640625" style="243"/>
    <col min="593" max="593" width="9" style="243" bestFit="1" customWidth="1"/>
    <col min="594" max="602" width="8.81640625" style="243"/>
    <col min="603" max="603" width="13.08984375" style="243" customWidth="1"/>
    <col min="604" max="604" width="8.81640625" style="243"/>
    <col min="605" max="605" width="9.90625" style="243" customWidth="1"/>
    <col min="606" max="609" width="8.81640625" style="243"/>
    <col min="610" max="610" width="8.54296875" style="243" customWidth="1"/>
    <col min="611" max="611" width="30.36328125" style="243" customWidth="1"/>
    <col min="612" max="612" width="9" style="243" bestFit="1" customWidth="1"/>
    <col min="613" max="613" width="8.81640625" style="243"/>
    <col min="614" max="614" width="5.90625" style="243" customWidth="1"/>
    <col min="615" max="615" width="6.90625" style="243" customWidth="1"/>
    <col min="616" max="616" width="23.90625" style="243" customWidth="1"/>
    <col min="617" max="623" width="8.81640625" style="243"/>
    <col min="624" max="624" width="9" style="243" bestFit="1" customWidth="1"/>
    <col min="625" max="626" width="8.81640625" style="243"/>
    <col min="627" max="627" width="32.90625" style="243" customWidth="1"/>
    <col min="628" max="628" width="16.6328125" style="243" customWidth="1"/>
    <col min="629" max="629" width="10.1796875" style="243" customWidth="1"/>
    <col min="630" max="630" width="12.453125" style="243" customWidth="1"/>
    <col min="631" max="631" width="10" style="243" bestFit="1" customWidth="1"/>
    <col min="632" max="632" width="8.81640625" style="243"/>
    <col min="633" max="633" width="9" style="243" bestFit="1" customWidth="1"/>
    <col min="634" max="635" width="8.81640625" style="243"/>
    <col min="636" max="636" width="11.6328125" style="243" customWidth="1"/>
    <col min="637" max="637" width="8.81640625" style="243"/>
    <col min="638" max="638" width="28.81640625" style="243" customWidth="1"/>
    <col min="639" max="639" width="12.36328125" style="243" customWidth="1"/>
    <col min="640" max="640" width="11.1796875" style="243" customWidth="1"/>
    <col min="641" max="768" width="8.81640625" style="243"/>
    <col min="769" max="769" width="5.6328125" style="243" customWidth="1"/>
    <col min="770" max="770" width="26.54296875" style="243" customWidth="1"/>
    <col min="771" max="771" width="11.453125" style="243" customWidth="1"/>
    <col min="772" max="772" width="7.453125" style="243" customWidth="1"/>
    <col min="773" max="773" width="8.54296875" style="243" customWidth="1"/>
    <col min="774" max="774" width="12.36328125" style="243" customWidth="1"/>
    <col min="775" max="775" width="11.81640625" style="243" customWidth="1"/>
    <col min="776" max="776" width="8.1796875" style="243" customWidth="1"/>
    <col min="777" max="777" width="12" style="243" customWidth="1"/>
    <col min="778" max="778" width="8.81640625" style="243" customWidth="1"/>
    <col min="779" max="779" width="11.08984375" style="243" customWidth="1"/>
    <col min="780" max="780" width="12.90625" style="243" customWidth="1"/>
    <col min="781" max="781" width="12.54296875" style="243" customWidth="1"/>
    <col min="782" max="782" width="9.6328125" style="243" customWidth="1"/>
    <col min="783" max="783" width="9.90625" style="243" customWidth="1"/>
    <col min="784" max="784" width="11.36328125" style="243" customWidth="1"/>
    <col min="785" max="785" width="11.54296875" style="243" customWidth="1"/>
    <col min="786" max="786" width="11.6328125" style="243" customWidth="1"/>
    <col min="787" max="787" width="10.36328125" style="243" customWidth="1"/>
    <col min="788" max="788" width="11.81640625" style="243" customWidth="1"/>
    <col min="789" max="789" width="12.08984375" style="243" customWidth="1"/>
    <col min="790" max="790" width="11" style="243" customWidth="1"/>
    <col min="791" max="791" width="12.08984375" style="243" customWidth="1"/>
    <col min="792" max="792" width="10.54296875" style="243" customWidth="1"/>
    <col min="793" max="793" width="9.90625" style="243" customWidth="1"/>
    <col min="794" max="794" width="10.81640625" style="243" customWidth="1"/>
    <col min="795" max="795" width="9.81640625" style="243" customWidth="1"/>
    <col min="796" max="796" width="11.1796875" style="243" customWidth="1"/>
    <col min="797" max="797" width="10.36328125" style="243" customWidth="1"/>
    <col min="798" max="798" width="11.90625" style="243" customWidth="1"/>
    <col min="799" max="799" width="8.81640625" style="243"/>
    <col min="800" max="800" width="13.90625" style="243" customWidth="1"/>
    <col min="801" max="801" width="10.90625" style="243" customWidth="1"/>
    <col min="802" max="802" width="11.453125" style="243" customWidth="1"/>
    <col min="803" max="803" width="11.81640625" style="243" customWidth="1"/>
    <col min="804" max="804" width="11.08984375" style="243" customWidth="1"/>
    <col min="805" max="805" width="10.90625" style="243" customWidth="1"/>
    <col min="806" max="809" width="8.81640625" style="243"/>
    <col min="810" max="810" width="11.453125" style="243" bestFit="1" customWidth="1"/>
    <col min="811" max="811" width="10.1796875" style="243" customWidth="1"/>
    <col min="812" max="812" width="11.54296875" style="243" customWidth="1"/>
    <col min="813" max="813" width="12.08984375" style="243" customWidth="1"/>
    <col min="814" max="814" width="13.1796875" style="243" customWidth="1"/>
    <col min="815" max="815" width="14.08984375" style="243" customWidth="1"/>
    <col min="816" max="816" width="11.81640625" style="243" customWidth="1"/>
    <col min="817" max="817" width="9.6328125" style="243" customWidth="1"/>
    <col min="818" max="821" width="8.81640625" style="243"/>
    <col min="822" max="822" width="28.81640625" style="243" customWidth="1"/>
    <col min="823" max="823" width="11.81640625" style="243" customWidth="1"/>
    <col min="824" max="824" width="10" style="243" customWidth="1"/>
    <col min="825" max="825" width="10.453125" style="243" customWidth="1"/>
    <col min="826" max="827" width="8.81640625" style="243"/>
    <col min="828" max="828" width="9.36328125" style="243" customWidth="1"/>
    <col min="829" max="829" width="18.453125" style="243" customWidth="1"/>
    <col min="830" max="830" width="11" style="243" customWidth="1"/>
    <col min="831" max="831" width="9.54296875" style="243" customWidth="1"/>
    <col min="832" max="832" width="10.6328125" style="243" customWidth="1"/>
    <col min="833" max="833" width="9.90625" style="243" customWidth="1"/>
    <col min="834" max="834" width="11.453125" style="243" customWidth="1"/>
    <col min="835" max="835" width="9.90625" style="243" customWidth="1"/>
    <col min="836" max="836" width="10" style="243" customWidth="1"/>
    <col min="837" max="837" width="6.81640625" style="243" customWidth="1"/>
    <col min="838" max="838" width="12.54296875" style="243" customWidth="1"/>
    <col min="839" max="839" width="9.54296875" style="243" customWidth="1"/>
    <col min="840" max="840" width="10.36328125" style="243" customWidth="1"/>
    <col min="841" max="841" width="7.81640625" style="243" customWidth="1"/>
    <col min="842" max="842" width="7.1796875" style="243" customWidth="1"/>
    <col min="843" max="843" width="17.6328125" style="243" customWidth="1"/>
    <col min="844" max="844" width="8.81640625" style="243" customWidth="1"/>
    <col min="845" max="845" width="13.08984375" style="243" bestFit="1" customWidth="1"/>
    <col min="846" max="846" width="13.81640625" style="243" customWidth="1"/>
    <col min="847" max="848" width="8.81640625" style="243"/>
    <col min="849" max="849" width="9" style="243" bestFit="1" customWidth="1"/>
    <col min="850" max="858" width="8.81640625" style="243"/>
    <col min="859" max="859" width="13.08984375" style="243" customWidth="1"/>
    <col min="860" max="860" width="8.81640625" style="243"/>
    <col min="861" max="861" width="9.90625" style="243" customWidth="1"/>
    <col min="862" max="865" width="8.81640625" style="243"/>
    <col min="866" max="866" width="8.54296875" style="243" customWidth="1"/>
    <col min="867" max="867" width="30.36328125" style="243" customWidth="1"/>
    <col min="868" max="868" width="9" style="243" bestFit="1" customWidth="1"/>
    <col min="869" max="869" width="8.81640625" style="243"/>
    <col min="870" max="870" width="5.90625" style="243" customWidth="1"/>
    <col min="871" max="871" width="6.90625" style="243" customWidth="1"/>
    <col min="872" max="872" width="23.90625" style="243" customWidth="1"/>
    <col min="873" max="879" width="8.81640625" style="243"/>
    <col min="880" max="880" width="9" style="243" bestFit="1" customWidth="1"/>
    <col min="881" max="882" width="8.81640625" style="243"/>
    <col min="883" max="883" width="32.90625" style="243" customWidth="1"/>
    <col min="884" max="884" width="16.6328125" style="243" customWidth="1"/>
    <col min="885" max="885" width="10.1796875" style="243" customWidth="1"/>
    <col min="886" max="886" width="12.453125" style="243" customWidth="1"/>
    <col min="887" max="887" width="10" style="243" bestFit="1" customWidth="1"/>
    <col min="888" max="888" width="8.81640625" style="243"/>
    <col min="889" max="889" width="9" style="243" bestFit="1" customWidth="1"/>
    <col min="890" max="891" width="8.81640625" style="243"/>
    <col min="892" max="892" width="11.6328125" style="243" customWidth="1"/>
    <col min="893" max="893" width="8.81640625" style="243"/>
    <col min="894" max="894" width="28.81640625" style="243" customWidth="1"/>
    <col min="895" max="895" width="12.36328125" style="243" customWidth="1"/>
    <col min="896" max="896" width="11.1796875" style="243" customWidth="1"/>
    <col min="897" max="1024" width="8.81640625" style="243"/>
    <col min="1025" max="1025" width="5.6328125" style="243" customWidth="1"/>
    <col min="1026" max="1026" width="26.54296875" style="243" customWidth="1"/>
    <col min="1027" max="1027" width="11.453125" style="243" customWidth="1"/>
    <col min="1028" max="1028" width="7.453125" style="243" customWidth="1"/>
    <col min="1029" max="1029" width="8.54296875" style="243" customWidth="1"/>
    <col min="1030" max="1030" width="12.36328125" style="243" customWidth="1"/>
    <col min="1031" max="1031" width="11.81640625" style="243" customWidth="1"/>
    <col min="1032" max="1032" width="8.1796875" style="243" customWidth="1"/>
    <col min="1033" max="1033" width="12" style="243" customWidth="1"/>
    <col min="1034" max="1034" width="8.81640625" style="243" customWidth="1"/>
    <col min="1035" max="1035" width="11.08984375" style="243" customWidth="1"/>
    <col min="1036" max="1036" width="12.90625" style="243" customWidth="1"/>
    <col min="1037" max="1037" width="12.54296875" style="243" customWidth="1"/>
    <col min="1038" max="1038" width="9.6328125" style="243" customWidth="1"/>
    <col min="1039" max="1039" width="9.90625" style="243" customWidth="1"/>
    <col min="1040" max="1040" width="11.36328125" style="243" customWidth="1"/>
    <col min="1041" max="1041" width="11.54296875" style="243" customWidth="1"/>
    <col min="1042" max="1042" width="11.6328125" style="243" customWidth="1"/>
    <col min="1043" max="1043" width="10.36328125" style="243" customWidth="1"/>
    <col min="1044" max="1044" width="11.81640625" style="243" customWidth="1"/>
    <col min="1045" max="1045" width="12.08984375" style="243" customWidth="1"/>
    <col min="1046" max="1046" width="11" style="243" customWidth="1"/>
    <col min="1047" max="1047" width="12.08984375" style="243" customWidth="1"/>
    <col min="1048" max="1048" width="10.54296875" style="243" customWidth="1"/>
    <col min="1049" max="1049" width="9.90625" style="243" customWidth="1"/>
    <col min="1050" max="1050" width="10.81640625" style="243" customWidth="1"/>
    <col min="1051" max="1051" width="9.81640625" style="243" customWidth="1"/>
    <col min="1052" max="1052" width="11.1796875" style="243" customWidth="1"/>
    <col min="1053" max="1053" width="10.36328125" style="243" customWidth="1"/>
    <col min="1054" max="1054" width="11.90625" style="243" customWidth="1"/>
    <col min="1055" max="1055" width="8.81640625" style="243"/>
    <col min="1056" max="1056" width="13.90625" style="243" customWidth="1"/>
    <col min="1057" max="1057" width="10.90625" style="243" customWidth="1"/>
    <col min="1058" max="1058" width="11.453125" style="243" customWidth="1"/>
    <col min="1059" max="1059" width="11.81640625" style="243" customWidth="1"/>
    <col min="1060" max="1060" width="11.08984375" style="243" customWidth="1"/>
    <col min="1061" max="1061" width="10.90625" style="243" customWidth="1"/>
    <col min="1062" max="1065" width="8.81640625" style="243"/>
    <col min="1066" max="1066" width="11.453125" style="243" bestFit="1" customWidth="1"/>
    <col min="1067" max="1067" width="10.1796875" style="243" customWidth="1"/>
    <col min="1068" max="1068" width="11.54296875" style="243" customWidth="1"/>
    <col min="1069" max="1069" width="12.08984375" style="243" customWidth="1"/>
    <col min="1070" max="1070" width="13.1796875" style="243" customWidth="1"/>
    <col min="1071" max="1071" width="14.08984375" style="243" customWidth="1"/>
    <col min="1072" max="1072" width="11.81640625" style="243" customWidth="1"/>
    <col min="1073" max="1073" width="9.6328125" style="243" customWidth="1"/>
    <col min="1074" max="1077" width="8.81640625" style="243"/>
    <col min="1078" max="1078" width="28.81640625" style="243" customWidth="1"/>
    <col min="1079" max="1079" width="11.81640625" style="243" customWidth="1"/>
    <col min="1080" max="1080" width="10" style="243" customWidth="1"/>
    <col min="1081" max="1081" width="10.453125" style="243" customWidth="1"/>
    <col min="1082" max="1083" width="8.81640625" style="243"/>
    <col min="1084" max="1084" width="9.36328125" style="243" customWidth="1"/>
    <col min="1085" max="1085" width="18.453125" style="243" customWidth="1"/>
    <col min="1086" max="1086" width="11" style="243" customWidth="1"/>
    <col min="1087" max="1087" width="9.54296875" style="243" customWidth="1"/>
    <col min="1088" max="1088" width="10.6328125" style="243" customWidth="1"/>
    <col min="1089" max="1089" width="9.90625" style="243" customWidth="1"/>
    <col min="1090" max="1090" width="11.453125" style="243" customWidth="1"/>
    <col min="1091" max="1091" width="9.90625" style="243" customWidth="1"/>
    <col min="1092" max="1092" width="10" style="243" customWidth="1"/>
    <col min="1093" max="1093" width="6.81640625" style="243" customWidth="1"/>
    <col min="1094" max="1094" width="12.54296875" style="243" customWidth="1"/>
    <col min="1095" max="1095" width="9.54296875" style="243" customWidth="1"/>
    <col min="1096" max="1096" width="10.36328125" style="243" customWidth="1"/>
    <col min="1097" max="1097" width="7.81640625" style="243" customWidth="1"/>
    <col min="1098" max="1098" width="7.1796875" style="243" customWidth="1"/>
    <col min="1099" max="1099" width="17.6328125" style="243" customWidth="1"/>
    <col min="1100" max="1100" width="8.81640625" style="243" customWidth="1"/>
    <col min="1101" max="1101" width="13.08984375" style="243" bestFit="1" customWidth="1"/>
    <col min="1102" max="1102" width="13.81640625" style="243" customWidth="1"/>
    <col min="1103" max="1104" width="8.81640625" style="243"/>
    <col min="1105" max="1105" width="9" style="243" bestFit="1" customWidth="1"/>
    <col min="1106" max="1114" width="8.81640625" style="243"/>
    <col min="1115" max="1115" width="13.08984375" style="243" customWidth="1"/>
    <col min="1116" max="1116" width="8.81640625" style="243"/>
    <col min="1117" max="1117" width="9.90625" style="243" customWidth="1"/>
    <col min="1118" max="1121" width="8.81640625" style="243"/>
    <col min="1122" max="1122" width="8.54296875" style="243" customWidth="1"/>
    <col min="1123" max="1123" width="30.36328125" style="243" customWidth="1"/>
    <col min="1124" max="1124" width="9" style="243" bestFit="1" customWidth="1"/>
    <col min="1125" max="1125" width="8.81640625" style="243"/>
    <col min="1126" max="1126" width="5.90625" style="243" customWidth="1"/>
    <col min="1127" max="1127" width="6.90625" style="243" customWidth="1"/>
    <col min="1128" max="1128" width="23.90625" style="243" customWidth="1"/>
    <col min="1129" max="1135" width="8.81640625" style="243"/>
    <col min="1136" max="1136" width="9" style="243" bestFit="1" customWidth="1"/>
    <col min="1137" max="1138" width="8.81640625" style="243"/>
    <col min="1139" max="1139" width="32.90625" style="243" customWidth="1"/>
    <col min="1140" max="1140" width="16.6328125" style="243" customWidth="1"/>
    <col min="1141" max="1141" width="10.1796875" style="243" customWidth="1"/>
    <col min="1142" max="1142" width="12.453125" style="243" customWidth="1"/>
    <col min="1143" max="1143" width="10" style="243" bestFit="1" customWidth="1"/>
    <col min="1144" max="1144" width="8.81640625" style="243"/>
    <col min="1145" max="1145" width="9" style="243" bestFit="1" customWidth="1"/>
    <col min="1146" max="1147" width="8.81640625" style="243"/>
    <col min="1148" max="1148" width="11.6328125" style="243" customWidth="1"/>
    <col min="1149" max="1149" width="8.81640625" style="243"/>
    <col min="1150" max="1150" width="28.81640625" style="243" customWidth="1"/>
    <col min="1151" max="1151" width="12.36328125" style="243" customWidth="1"/>
    <col min="1152" max="1152" width="11.1796875" style="243" customWidth="1"/>
    <col min="1153" max="1280" width="8.81640625" style="243"/>
    <col min="1281" max="1281" width="5.6328125" style="243" customWidth="1"/>
    <col min="1282" max="1282" width="26.54296875" style="243" customWidth="1"/>
    <col min="1283" max="1283" width="11.453125" style="243" customWidth="1"/>
    <col min="1284" max="1284" width="7.453125" style="243" customWidth="1"/>
    <col min="1285" max="1285" width="8.54296875" style="243" customWidth="1"/>
    <col min="1286" max="1286" width="12.36328125" style="243" customWidth="1"/>
    <col min="1287" max="1287" width="11.81640625" style="243" customWidth="1"/>
    <col min="1288" max="1288" width="8.1796875" style="243" customWidth="1"/>
    <col min="1289" max="1289" width="12" style="243" customWidth="1"/>
    <col min="1290" max="1290" width="8.81640625" style="243" customWidth="1"/>
    <col min="1291" max="1291" width="11.08984375" style="243" customWidth="1"/>
    <col min="1292" max="1292" width="12.90625" style="243" customWidth="1"/>
    <col min="1293" max="1293" width="12.54296875" style="243" customWidth="1"/>
    <col min="1294" max="1294" width="9.6328125" style="243" customWidth="1"/>
    <col min="1295" max="1295" width="9.90625" style="243" customWidth="1"/>
    <col min="1296" max="1296" width="11.36328125" style="243" customWidth="1"/>
    <col min="1297" max="1297" width="11.54296875" style="243" customWidth="1"/>
    <col min="1298" max="1298" width="11.6328125" style="243" customWidth="1"/>
    <col min="1299" max="1299" width="10.36328125" style="243" customWidth="1"/>
    <col min="1300" max="1300" width="11.81640625" style="243" customWidth="1"/>
    <col min="1301" max="1301" width="12.08984375" style="243" customWidth="1"/>
    <col min="1302" max="1302" width="11" style="243" customWidth="1"/>
    <col min="1303" max="1303" width="12.08984375" style="243" customWidth="1"/>
    <col min="1304" max="1304" width="10.54296875" style="243" customWidth="1"/>
    <col min="1305" max="1305" width="9.90625" style="243" customWidth="1"/>
    <col min="1306" max="1306" width="10.81640625" style="243" customWidth="1"/>
    <col min="1307" max="1307" width="9.81640625" style="243" customWidth="1"/>
    <col min="1308" max="1308" width="11.1796875" style="243" customWidth="1"/>
    <col min="1309" max="1309" width="10.36328125" style="243" customWidth="1"/>
    <col min="1310" max="1310" width="11.90625" style="243" customWidth="1"/>
    <col min="1311" max="1311" width="8.81640625" style="243"/>
    <col min="1312" max="1312" width="13.90625" style="243" customWidth="1"/>
    <col min="1313" max="1313" width="10.90625" style="243" customWidth="1"/>
    <col min="1314" max="1314" width="11.453125" style="243" customWidth="1"/>
    <col min="1315" max="1315" width="11.81640625" style="243" customWidth="1"/>
    <col min="1316" max="1316" width="11.08984375" style="243" customWidth="1"/>
    <col min="1317" max="1317" width="10.90625" style="243" customWidth="1"/>
    <col min="1318" max="1321" width="8.81640625" style="243"/>
    <col min="1322" max="1322" width="11.453125" style="243" bestFit="1" customWidth="1"/>
    <col min="1323" max="1323" width="10.1796875" style="243" customWidth="1"/>
    <col min="1324" max="1324" width="11.54296875" style="243" customWidth="1"/>
    <col min="1325" max="1325" width="12.08984375" style="243" customWidth="1"/>
    <col min="1326" max="1326" width="13.1796875" style="243" customWidth="1"/>
    <col min="1327" max="1327" width="14.08984375" style="243" customWidth="1"/>
    <col min="1328" max="1328" width="11.81640625" style="243" customWidth="1"/>
    <col min="1329" max="1329" width="9.6328125" style="243" customWidth="1"/>
    <col min="1330" max="1333" width="8.81640625" style="243"/>
    <col min="1334" max="1334" width="28.81640625" style="243" customWidth="1"/>
    <col min="1335" max="1335" width="11.81640625" style="243" customWidth="1"/>
    <col min="1336" max="1336" width="10" style="243" customWidth="1"/>
    <col min="1337" max="1337" width="10.453125" style="243" customWidth="1"/>
    <col min="1338" max="1339" width="8.81640625" style="243"/>
    <col min="1340" max="1340" width="9.36328125" style="243" customWidth="1"/>
    <col min="1341" max="1341" width="18.453125" style="243" customWidth="1"/>
    <col min="1342" max="1342" width="11" style="243" customWidth="1"/>
    <col min="1343" max="1343" width="9.54296875" style="243" customWidth="1"/>
    <col min="1344" max="1344" width="10.6328125" style="243" customWidth="1"/>
    <col min="1345" max="1345" width="9.90625" style="243" customWidth="1"/>
    <col min="1346" max="1346" width="11.453125" style="243" customWidth="1"/>
    <col min="1347" max="1347" width="9.90625" style="243" customWidth="1"/>
    <col min="1348" max="1348" width="10" style="243" customWidth="1"/>
    <col min="1349" max="1349" width="6.81640625" style="243" customWidth="1"/>
    <col min="1350" max="1350" width="12.54296875" style="243" customWidth="1"/>
    <col min="1351" max="1351" width="9.54296875" style="243" customWidth="1"/>
    <col min="1352" max="1352" width="10.36328125" style="243" customWidth="1"/>
    <col min="1353" max="1353" width="7.81640625" style="243" customWidth="1"/>
    <col min="1354" max="1354" width="7.1796875" style="243" customWidth="1"/>
    <col min="1355" max="1355" width="17.6328125" style="243" customWidth="1"/>
    <col min="1356" max="1356" width="8.81640625" style="243" customWidth="1"/>
    <col min="1357" max="1357" width="13.08984375" style="243" bestFit="1" customWidth="1"/>
    <col min="1358" max="1358" width="13.81640625" style="243" customWidth="1"/>
    <col min="1359" max="1360" width="8.81640625" style="243"/>
    <col min="1361" max="1361" width="9" style="243" bestFit="1" customWidth="1"/>
    <col min="1362" max="1370" width="8.81640625" style="243"/>
    <col min="1371" max="1371" width="13.08984375" style="243" customWidth="1"/>
    <col min="1372" max="1372" width="8.81640625" style="243"/>
    <col min="1373" max="1373" width="9.90625" style="243" customWidth="1"/>
    <col min="1374" max="1377" width="8.81640625" style="243"/>
    <col min="1378" max="1378" width="8.54296875" style="243" customWidth="1"/>
    <col min="1379" max="1379" width="30.36328125" style="243" customWidth="1"/>
    <col min="1380" max="1380" width="9" style="243" bestFit="1" customWidth="1"/>
    <col min="1381" max="1381" width="8.81640625" style="243"/>
    <col min="1382" max="1382" width="5.90625" style="243" customWidth="1"/>
    <col min="1383" max="1383" width="6.90625" style="243" customWidth="1"/>
    <col min="1384" max="1384" width="23.90625" style="243" customWidth="1"/>
    <col min="1385" max="1391" width="8.81640625" style="243"/>
    <col min="1392" max="1392" width="9" style="243" bestFit="1" customWidth="1"/>
    <col min="1393" max="1394" width="8.81640625" style="243"/>
    <col min="1395" max="1395" width="32.90625" style="243" customWidth="1"/>
    <col min="1396" max="1396" width="16.6328125" style="243" customWidth="1"/>
    <col min="1397" max="1397" width="10.1796875" style="243" customWidth="1"/>
    <col min="1398" max="1398" width="12.453125" style="243" customWidth="1"/>
    <col min="1399" max="1399" width="10" style="243" bestFit="1" customWidth="1"/>
    <col min="1400" max="1400" width="8.81640625" style="243"/>
    <col min="1401" max="1401" width="9" style="243" bestFit="1" customWidth="1"/>
    <col min="1402" max="1403" width="8.81640625" style="243"/>
    <col min="1404" max="1404" width="11.6328125" style="243" customWidth="1"/>
    <col min="1405" max="1405" width="8.81640625" style="243"/>
    <col min="1406" max="1406" width="28.81640625" style="243" customWidth="1"/>
    <col min="1407" max="1407" width="12.36328125" style="243" customWidth="1"/>
    <col min="1408" max="1408" width="11.1796875" style="243" customWidth="1"/>
    <col min="1409" max="1536" width="8.81640625" style="243"/>
    <col min="1537" max="1537" width="5.6328125" style="243" customWidth="1"/>
    <col min="1538" max="1538" width="26.54296875" style="243" customWidth="1"/>
    <col min="1539" max="1539" width="11.453125" style="243" customWidth="1"/>
    <col min="1540" max="1540" width="7.453125" style="243" customWidth="1"/>
    <col min="1541" max="1541" width="8.54296875" style="243" customWidth="1"/>
    <col min="1542" max="1542" width="12.36328125" style="243" customWidth="1"/>
    <col min="1543" max="1543" width="11.81640625" style="243" customWidth="1"/>
    <col min="1544" max="1544" width="8.1796875" style="243" customWidth="1"/>
    <col min="1545" max="1545" width="12" style="243" customWidth="1"/>
    <col min="1546" max="1546" width="8.81640625" style="243" customWidth="1"/>
    <col min="1547" max="1547" width="11.08984375" style="243" customWidth="1"/>
    <col min="1548" max="1548" width="12.90625" style="243" customWidth="1"/>
    <col min="1549" max="1549" width="12.54296875" style="243" customWidth="1"/>
    <col min="1550" max="1550" width="9.6328125" style="243" customWidth="1"/>
    <col min="1551" max="1551" width="9.90625" style="243" customWidth="1"/>
    <col min="1552" max="1552" width="11.36328125" style="243" customWidth="1"/>
    <col min="1553" max="1553" width="11.54296875" style="243" customWidth="1"/>
    <col min="1554" max="1554" width="11.6328125" style="243" customWidth="1"/>
    <col min="1555" max="1555" width="10.36328125" style="243" customWidth="1"/>
    <col min="1556" max="1556" width="11.81640625" style="243" customWidth="1"/>
    <col min="1557" max="1557" width="12.08984375" style="243" customWidth="1"/>
    <col min="1558" max="1558" width="11" style="243" customWidth="1"/>
    <col min="1559" max="1559" width="12.08984375" style="243" customWidth="1"/>
    <col min="1560" max="1560" width="10.54296875" style="243" customWidth="1"/>
    <col min="1561" max="1561" width="9.90625" style="243" customWidth="1"/>
    <col min="1562" max="1562" width="10.81640625" style="243" customWidth="1"/>
    <col min="1563" max="1563" width="9.81640625" style="243" customWidth="1"/>
    <col min="1564" max="1564" width="11.1796875" style="243" customWidth="1"/>
    <col min="1565" max="1565" width="10.36328125" style="243" customWidth="1"/>
    <col min="1566" max="1566" width="11.90625" style="243" customWidth="1"/>
    <col min="1567" max="1567" width="8.81640625" style="243"/>
    <col min="1568" max="1568" width="13.90625" style="243" customWidth="1"/>
    <col min="1569" max="1569" width="10.90625" style="243" customWidth="1"/>
    <col min="1570" max="1570" width="11.453125" style="243" customWidth="1"/>
    <col min="1571" max="1571" width="11.81640625" style="243" customWidth="1"/>
    <col min="1572" max="1572" width="11.08984375" style="243" customWidth="1"/>
    <col min="1573" max="1573" width="10.90625" style="243" customWidth="1"/>
    <col min="1574" max="1577" width="8.81640625" style="243"/>
    <col min="1578" max="1578" width="11.453125" style="243" bestFit="1" customWidth="1"/>
    <col min="1579" max="1579" width="10.1796875" style="243" customWidth="1"/>
    <col min="1580" max="1580" width="11.54296875" style="243" customWidth="1"/>
    <col min="1581" max="1581" width="12.08984375" style="243" customWidth="1"/>
    <col min="1582" max="1582" width="13.1796875" style="243" customWidth="1"/>
    <col min="1583" max="1583" width="14.08984375" style="243" customWidth="1"/>
    <col min="1584" max="1584" width="11.81640625" style="243" customWidth="1"/>
    <col min="1585" max="1585" width="9.6328125" style="243" customWidth="1"/>
    <col min="1586" max="1589" width="8.81640625" style="243"/>
    <col min="1590" max="1590" width="28.81640625" style="243" customWidth="1"/>
    <col min="1591" max="1591" width="11.81640625" style="243" customWidth="1"/>
    <col min="1592" max="1592" width="10" style="243" customWidth="1"/>
    <col min="1593" max="1593" width="10.453125" style="243" customWidth="1"/>
    <col min="1594" max="1595" width="8.81640625" style="243"/>
    <col min="1596" max="1596" width="9.36328125" style="243" customWidth="1"/>
    <col min="1597" max="1597" width="18.453125" style="243" customWidth="1"/>
    <col min="1598" max="1598" width="11" style="243" customWidth="1"/>
    <col min="1599" max="1599" width="9.54296875" style="243" customWidth="1"/>
    <col min="1600" max="1600" width="10.6328125" style="243" customWidth="1"/>
    <col min="1601" max="1601" width="9.90625" style="243" customWidth="1"/>
    <col min="1602" max="1602" width="11.453125" style="243" customWidth="1"/>
    <col min="1603" max="1603" width="9.90625" style="243" customWidth="1"/>
    <col min="1604" max="1604" width="10" style="243" customWidth="1"/>
    <col min="1605" max="1605" width="6.81640625" style="243" customWidth="1"/>
    <col min="1606" max="1606" width="12.54296875" style="243" customWidth="1"/>
    <col min="1607" max="1607" width="9.54296875" style="243" customWidth="1"/>
    <col min="1608" max="1608" width="10.36328125" style="243" customWidth="1"/>
    <col min="1609" max="1609" width="7.81640625" style="243" customWidth="1"/>
    <col min="1610" max="1610" width="7.1796875" style="243" customWidth="1"/>
    <col min="1611" max="1611" width="17.6328125" style="243" customWidth="1"/>
    <col min="1612" max="1612" width="8.81640625" style="243" customWidth="1"/>
    <col min="1613" max="1613" width="13.08984375" style="243" bestFit="1" customWidth="1"/>
    <col min="1614" max="1614" width="13.81640625" style="243" customWidth="1"/>
    <col min="1615" max="1616" width="8.81640625" style="243"/>
    <col min="1617" max="1617" width="9" style="243" bestFit="1" customWidth="1"/>
    <col min="1618" max="1626" width="8.81640625" style="243"/>
    <col min="1627" max="1627" width="13.08984375" style="243" customWidth="1"/>
    <col min="1628" max="1628" width="8.81640625" style="243"/>
    <col min="1629" max="1629" width="9.90625" style="243" customWidth="1"/>
    <col min="1630" max="1633" width="8.81640625" style="243"/>
    <col min="1634" max="1634" width="8.54296875" style="243" customWidth="1"/>
    <col min="1635" max="1635" width="30.36328125" style="243" customWidth="1"/>
    <col min="1636" max="1636" width="9" style="243" bestFit="1" customWidth="1"/>
    <col min="1637" max="1637" width="8.81640625" style="243"/>
    <col min="1638" max="1638" width="5.90625" style="243" customWidth="1"/>
    <col min="1639" max="1639" width="6.90625" style="243" customWidth="1"/>
    <col min="1640" max="1640" width="23.90625" style="243" customWidth="1"/>
    <col min="1641" max="1647" width="8.81640625" style="243"/>
    <col min="1648" max="1648" width="9" style="243" bestFit="1" customWidth="1"/>
    <col min="1649" max="1650" width="8.81640625" style="243"/>
    <col min="1651" max="1651" width="32.90625" style="243" customWidth="1"/>
    <col min="1652" max="1652" width="16.6328125" style="243" customWidth="1"/>
    <col min="1653" max="1653" width="10.1796875" style="243" customWidth="1"/>
    <col min="1654" max="1654" width="12.453125" style="243" customWidth="1"/>
    <col min="1655" max="1655" width="10" style="243" bestFit="1" customWidth="1"/>
    <col min="1656" max="1656" width="8.81640625" style="243"/>
    <col min="1657" max="1657" width="9" style="243" bestFit="1" customWidth="1"/>
    <col min="1658" max="1659" width="8.81640625" style="243"/>
    <col min="1660" max="1660" width="11.6328125" style="243" customWidth="1"/>
    <col min="1661" max="1661" width="8.81640625" style="243"/>
    <col min="1662" max="1662" width="28.81640625" style="243" customWidth="1"/>
    <col min="1663" max="1663" width="12.36328125" style="243" customWidth="1"/>
    <col min="1664" max="1664" width="11.1796875" style="243" customWidth="1"/>
    <col min="1665" max="1792" width="8.81640625" style="243"/>
    <col min="1793" max="1793" width="5.6328125" style="243" customWidth="1"/>
    <col min="1794" max="1794" width="26.54296875" style="243" customWidth="1"/>
    <col min="1795" max="1795" width="11.453125" style="243" customWidth="1"/>
    <col min="1796" max="1796" width="7.453125" style="243" customWidth="1"/>
    <col min="1797" max="1797" width="8.54296875" style="243" customWidth="1"/>
    <col min="1798" max="1798" width="12.36328125" style="243" customWidth="1"/>
    <col min="1799" max="1799" width="11.81640625" style="243" customWidth="1"/>
    <col min="1800" max="1800" width="8.1796875" style="243" customWidth="1"/>
    <col min="1801" max="1801" width="12" style="243" customWidth="1"/>
    <col min="1802" max="1802" width="8.81640625" style="243" customWidth="1"/>
    <col min="1803" max="1803" width="11.08984375" style="243" customWidth="1"/>
    <col min="1804" max="1804" width="12.90625" style="243" customWidth="1"/>
    <col min="1805" max="1805" width="12.54296875" style="243" customWidth="1"/>
    <col min="1806" max="1806" width="9.6328125" style="243" customWidth="1"/>
    <col min="1807" max="1807" width="9.90625" style="243" customWidth="1"/>
    <col min="1808" max="1808" width="11.36328125" style="243" customWidth="1"/>
    <col min="1809" max="1809" width="11.54296875" style="243" customWidth="1"/>
    <col min="1810" max="1810" width="11.6328125" style="243" customWidth="1"/>
    <col min="1811" max="1811" width="10.36328125" style="243" customWidth="1"/>
    <col min="1812" max="1812" width="11.81640625" style="243" customWidth="1"/>
    <col min="1813" max="1813" width="12.08984375" style="243" customWidth="1"/>
    <col min="1814" max="1814" width="11" style="243" customWidth="1"/>
    <col min="1815" max="1815" width="12.08984375" style="243" customWidth="1"/>
    <col min="1816" max="1816" width="10.54296875" style="243" customWidth="1"/>
    <col min="1817" max="1817" width="9.90625" style="243" customWidth="1"/>
    <col min="1818" max="1818" width="10.81640625" style="243" customWidth="1"/>
    <col min="1819" max="1819" width="9.81640625" style="243" customWidth="1"/>
    <col min="1820" max="1820" width="11.1796875" style="243" customWidth="1"/>
    <col min="1821" max="1821" width="10.36328125" style="243" customWidth="1"/>
    <col min="1822" max="1822" width="11.90625" style="243" customWidth="1"/>
    <col min="1823" max="1823" width="8.81640625" style="243"/>
    <col min="1824" max="1824" width="13.90625" style="243" customWidth="1"/>
    <col min="1825" max="1825" width="10.90625" style="243" customWidth="1"/>
    <col min="1826" max="1826" width="11.453125" style="243" customWidth="1"/>
    <col min="1827" max="1827" width="11.81640625" style="243" customWidth="1"/>
    <col min="1828" max="1828" width="11.08984375" style="243" customWidth="1"/>
    <col min="1829" max="1829" width="10.90625" style="243" customWidth="1"/>
    <col min="1830" max="1833" width="8.81640625" style="243"/>
    <col min="1834" max="1834" width="11.453125" style="243" bestFit="1" customWidth="1"/>
    <col min="1835" max="1835" width="10.1796875" style="243" customWidth="1"/>
    <col min="1836" max="1836" width="11.54296875" style="243" customWidth="1"/>
    <col min="1837" max="1837" width="12.08984375" style="243" customWidth="1"/>
    <col min="1838" max="1838" width="13.1796875" style="243" customWidth="1"/>
    <col min="1839" max="1839" width="14.08984375" style="243" customWidth="1"/>
    <col min="1840" max="1840" width="11.81640625" style="243" customWidth="1"/>
    <col min="1841" max="1841" width="9.6328125" style="243" customWidth="1"/>
    <col min="1842" max="1845" width="8.81640625" style="243"/>
    <col min="1846" max="1846" width="28.81640625" style="243" customWidth="1"/>
    <col min="1847" max="1847" width="11.81640625" style="243" customWidth="1"/>
    <col min="1848" max="1848" width="10" style="243" customWidth="1"/>
    <col min="1849" max="1849" width="10.453125" style="243" customWidth="1"/>
    <col min="1850" max="1851" width="8.81640625" style="243"/>
    <col min="1852" max="1852" width="9.36328125" style="243" customWidth="1"/>
    <col min="1853" max="1853" width="18.453125" style="243" customWidth="1"/>
    <col min="1854" max="1854" width="11" style="243" customWidth="1"/>
    <col min="1855" max="1855" width="9.54296875" style="243" customWidth="1"/>
    <col min="1856" max="1856" width="10.6328125" style="243" customWidth="1"/>
    <col min="1857" max="1857" width="9.90625" style="243" customWidth="1"/>
    <col min="1858" max="1858" width="11.453125" style="243" customWidth="1"/>
    <col min="1859" max="1859" width="9.90625" style="243" customWidth="1"/>
    <col min="1860" max="1860" width="10" style="243" customWidth="1"/>
    <col min="1861" max="1861" width="6.81640625" style="243" customWidth="1"/>
    <col min="1862" max="1862" width="12.54296875" style="243" customWidth="1"/>
    <col min="1863" max="1863" width="9.54296875" style="243" customWidth="1"/>
    <col min="1864" max="1864" width="10.36328125" style="243" customWidth="1"/>
    <col min="1865" max="1865" width="7.81640625" style="243" customWidth="1"/>
    <col min="1866" max="1866" width="7.1796875" style="243" customWidth="1"/>
    <col min="1867" max="1867" width="17.6328125" style="243" customWidth="1"/>
    <col min="1868" max="1868" width="8.81640625" style="243" customWidth="1"/>
    <col min="1869" max="1869" width="13.08984375" style="243" bestFit="1" customWidth="1"/>
    <col min="1870" max="1870" width="13.81640625" style="243" customWidth="1"/>
    <col min="1871" max="1872" width="8.81640625" style="243"/>
    <col min="1873" max="1873" width="9" style="243" bestFit="1" customWidth="1"/>
    <col min="1874" max="1882" width="8.81640625" style="243"/>
    <col min="1883" max="1883" width="13.08984375" style="243" customWidth="1"/>
    <col min="1884" max="1884" width="8.81640625" style="243"/>
    <col min="1885" max="1885" width="9.90625" style="243" customWidth="1"/>
    <col min="1886" max="1889" width="8.81640625" style="243"/>
    <col min="1890" max="1890" width="8.54296875" style="243" customWidth="1"/>
    <col min="1891" max="1891" width="30.36328125" style="243" customWidth="1"/>
    <col min="1892" max="1892" width="9" style="243" bestFit="1" customWidth="1"/>
    <col min="1893" max="1893" width="8.81640625" style="243"/>
    <col min="1894" max="1894" width="5.90625" style="243" customWidth="1"/>
    <col min="1895" max="1895" width="6.90625" style="243" customWidth="1"/>
    <col min="1896" max="1896" width="23.90625" style="243" customWidth="1"/>
    <col min="1897" max="1903" width="8.81640625" style="243"/>
    <col min="1904" max="1904" width="9" style="243" bestFit="1" customWidth="1"/>
    <col min="1905" max="1906" width="8.81640625" style="243"/>
    <col min="1907" max="1907" width="32.90625" style="243" customWidth="1"/>
    <col min="1908" max="1908" width="16.6328125" style="243" customWidth="1"/>
    <col min="1909" max="1909" width="10.1796875" style="243" customWidth="1"/>
    <col min="1910" max="1910" width="12.453125" style="243" customWidth="1"/>
    <col min="1911" max="1911" width="10" style="243" bestFit="1" customWidth="1"/>
    <col min="1912" max="1912" width="8.81640625" style="243"/>
    <col min="1913" max="1913" width="9" style="243" bestFit="1" customWidth="1"/>
    <col min="1914" max="1915" width="8.81640625" style="243"/>
    <col min="1916" max="1916" width="11.6328125" style="243" customWidth="1"/>
    <col min="1917" max="1917" width="8.81640625" style="243"/>
    <col min="1918" max="1918" width="28.81640625" style="243" customWidth="1"/>
    <col min="1919" max="1919" width="12.36328125" style="243" customWidth="1"/>
    <col min="1920" max="1920" width="11.1796875" style="243" customWidth="1"/>
    <col min="1921" max="2048" width="8.81640625" style="243"/>
    <col min="2049" max="2049" width="5.6328125" style="243" customWidth="1"/>
    <col min="2050" max="2050" width="26.54296875" style="243" customWidth="1"/>
    <col min="2051" max="2051" width="11.453125" style="243" customWidth="1"/>
    <col min="2052" max="2052" width="7.453125" style="243" customWidth="1"/>
    <col min="2053" max="2053" width="8.54296875" style="243" customWidth="1"/>
    <col min="2054" max="2054" width="12.36328125" style="243" customWidth="1"/>
    <col min="2055" max="2055" width="11.81640625" style="243" customWidth="1"/>
    <col min="2056" max="2056" width="8.1796875" style="243" customWidth="1"/>
    <col min="2057" max="2057" width="12" style="243" customWidth="1"/>
    <col min="2058" max="2058" width="8.81640625" style="243" customWidth="1"/>
    <col min="2059" max="2059" width="11.08984375" style="243" customWidth="1"/>
    <col min="2060" max="2060" width="12.90625" style="243" customWidth="1"/>
    <col min="2061" max="2061" width="12.54296875" style="243" customWidth="1"/>
    <col min="2062" max="2062" width="9.6328125" style="243" customWidth="1"/>
    <col min="2063" max="2063" width="9.90625" style="243" customWidth="1"/>
    <col min="2064" max="2064" width="11.36328125" style="243" customWidth="1"/>
    <col min="2065" max="2065" width="11.54296875" style="243" customWidth="1"/>
    <col min="2066" max="2066" width="11.6328125" style="243" customWidth="1"/>
    <col min="2067" max="2067" width="10.36328125" style="243" customWidth="1"/>
    <col min="2068" max="2068" width="11.81640625" style="243" customWidth="1"/>
    <col min="2069" max="2069" width="12.08984375" style="243" customWidth="1"/>
    <col min="2070" max="2070" width="11" style="243" customWidth="1"/>
    <col min="2071" max="2071" width="12.08984375" style="243" customWidth="1"/>
    <col min="2072" max="2072" width="10.54296875" style="243" customWidth="1"/>
    <col min="2073" max="2073" width="9.90625" style="243" customWidth="1"/>
    <col min="2074" max="2074" width="10.81640625" style="243" customWidth="1"/>
    <col min="2075" max="2075" width="9.81640625" style="243" customWidth="1"/>
    <col min="2076" max="2076" width="11.1796875" style="243" customWidth="1"/>
    <col min="2077" max="2077" width="10.36328125" style="243" customWidth="1"/>
    <col min="2078" max="2078" width="11.90625" style="243" customWidth="1"/>
    <col min="2079" max="2079" width="8.81640625" style="243"/>
    <col min="2080" max="2080" width="13.90625" style="243" customWidth="1"/>
    <col min="2081" max="2081" width="10.90625" style="243" customWidth="1"/>
    <col min="2082" max="2082" width="11.453125" style="243" customWidth="1"/>
    <col min="2083" max="2083" width="11.81640625" style="243" customWidth="1"/>
    <col min="2084" max="2084" width="11.08984375" style="243" customWidth="1"/>
    <col min="2085" max="2085" width="10.90625" style="243" customWidth="1"/>
    <col min="2086" max="2089" width="8.81640625" style="243"/>
    <col min="2090" max="2090" width="11.453125" style="243" bestFit="1" customWidth="1"/>
    <col min="2091" max="2091" width="10.1796875" style="243" customWidth="1"/>
    <col min="2092" max="2092" width="11.54296875" style="243" customWidth="1"/>
    <col min="2093" max="2093" width="12.08984375" style="243" customWidth="1"/>
    <col min="2094" max="2094" width="13.1796875" style="243" customWidth="1"/>
    <col min="2095" max="2095" width="14.08984375" style="243" customWidth="1"/>
    <col min="2096" max="2096" width="11.81640625" style="243" customWidth="1"/>
    <col min="2097" max="2097" width="9.6328125" style="243" customWidth="1"/>
    <col min="2098" max="2101" width="8.81640625" style="243"/>
    <col min="2102" max="2102" width="28.81640625" style="243" customWidth="1"/>
    <col min="2103" max="2103" width="11.81640625" style="243" customWidth="1"/>
    <col min="2104" max="2104" width="10" style="243" customWidth="1"/>
    <col min="2105" max="2105" width="10.453125" style="243" customWidth="1"/>
    <col min="2106" max="2107" width="8.81640625" style="243"/>
    <col min="2108" max="2108" width="9.36328125" style="243" customWidth="1"/>
    <col min="2109" max="2109" width="18.453125" style="243" customWidth="1"/>
    <col min="2110" max="2110" width="11" style="243" customWidth="1"/>
    <col min="2111" max="2111" width="9.54296875" style="243" customWidth="1"/>
    <col min="2112" max="2112" width="10.6328125" style="243" customWidth="1"/>
    <col min="2113" max="2113" width="9.90625" style="243" customWidth="1"/>
    <col min="2114" max="2114" width="11.453125" style="243" customWidth="1"/>
    <col min="2115" max="2115" width="9.90625" style="243" customWidth="1"/>
    <col min="2116" max="2116" width="10" style="243" customWidth="1"/>
    <col min="2117" max="2117" width="6.81640625" style="243" customWidth="1"/>
    <col min="2118" max="2118" width="12.54296875" style="243" customWidth="1"/>
    <col min="2119" max="2119" width="9.54296875" style="243" customWidth="1"/>
    <col min="2120" max="2120" width="10.36328125" style="243" customWidth="1"/>
    <col min="2121" max="2121" width="7.81640625" style="243" customWidth="1"/>
    <col min="2122" max="2122" width="7.1796875" style="243" customWidth="1"/>
    <col min="2123" max="2123" width="17.6328125" style="243" customWidth="1"/>
    <col min="2124" max="2124" width="8.81640625" style="243" customWidth="1"/>
    <col min="2125" max="2125" width="13.08984375" style="243" bestFit="1" customWidth="1"/>
    <col min="2126" max="2126" width="13.81640625" style="243" customWidth="1"/>
    <col min="2127" max="2128" width="8.81640625" style="243"/>
    <col min="2129" max="2129" width="9" style="243" bestFit="1" customWidth="1"/>
    <col min="2130" max="2138" width="8.81640625" style="243"/>
    <col min="2139" max="2139" width="13.08984375" style="243" customWidth="1"/>
    <col min="2140" max="2140" width="8.81640625" style="243"/>
    <col min="2141" max="2141" width="9.90625" style="243" customWidth="1"/>
    <col min="2142" max="2145" width="8.81640625" style="243"/>
    <col min="2146" max="2146" width="8.54296875" style="243" customWidth="1"/>
    <col min="2147" max="2147" width="30.36328125" style="243" customWidth="1"/>
    <col min="2148" max="2148" width="9" style="243" bestFit="1" customWidth="1"/>
    <col min="2149" max="2149" width="8.81640625" style="243"/>
    <col min="2150" max="2150" width="5.90625" style="243" customWidth="1"/>
    <col min="2151" max="2151" width="6.90625" style="243" customWidth="1"/>
    <col min="2152" max="2152" width="23.90625" style="243" customWidth="1"/>
    <col min="2153" max="2159" width="8.81640625" style="243"/>
    <col min="2160" max="2160" width="9" style="243" bestFit="1" customWidth="1"/>
    <col min="2161" max="2162" width="8.81640625" style="243"/>
    <col min="2163" max="2163" width="32.90625" style="243" customWidth="1"/>
    <col min="2164" max="2164" width="16.6328125" style="243" customWidth="1"/>
    <col min="2165" max="2165" width="10.1796875" style="243" customWidth="1"/>
    <col min="2166" max="2166" width="12.453125" style="243" customWidth="1"/>
    <col min="2167" max="2167" width="10" style="243" bestFit="1" customWidth="1"/>
    <col min="2168" max="2168" width="8.81640625" style="243"/>
    <col min="2169" max="2169" width="9" style="243" bestFit="1" customWidth="1"/>
    <col min="2170" max="2171" width="8.81640625" style="243"/>
    <col min="2172" max="2172" width="11.6328125" style="243" customWidth="1"/>
    <col min="2173" max="2173" width="8.81640625" style="243"/>
    <col min="2174" max="2174" width="28.81640625" style="243" customWidth="1"/>
    <col min="2175" max="2175" width="12.36328125" style="243" customWidth="1"/>
    <col min="2176" max="2176" width="11.1796875" style="243" customWidth="1"/>
    <col min="2177" max="2304" width="8.81640625" style="243"/>
    <col min="2305" max="2305" width="5.6328125" style="243" customWidth="1"/>
    <col min="2306" max="2306" width="26.54296875" style="243" customWidth="1"/>
    <col min="2307" max="2307" width="11.453125" style="243" customWidth="1"/>
    <col min="2308" max="2308" width="7.453125" style="243" customWidth="1"/>
    <col min="2309" max="2309" width="8.54296875" style="243" customWidth="1"/>
    <col min="2310" max="2310" width="12.36328125" style="243" customWidth="1"/>
    <col min="2311" max="2311" width="11.81640625" style="243" customWidth="1"/>
    <col min="2312" max="2312" width="8.1796875" style="243" customWidth="1"/>
    <col min="2313" max="2313" width="12" style="243" customWidth="1"/>
    <col min="2314" max="2314" width="8.81640625" style="243" customWidth="1"/>
    <col min="2315" max="2315" width="11.08984375" style="243" customWidth="1"/>
    <col min="2316" max="2316" width="12.90625" style="243" customWidth="1"/>
    <col min="2317" max="2317" width="12.54296875" style="243" customWidth="1"/>
    <col min="2318" max="2318" width="9.6328125" style="243" customWidth="1"/>
    <col min="2319" max="2319" width="9.90625" style="243" customWidth="1"/>
    <col min="2320" max="2320" width="11.36328125" style="243" customWidth="1"/>
    <col min="2321" max="2321" width="11.54296875" style="243" customWidth="1"/>
    <col min="2322" max="2322" width="11.6328125" style="243" customWidth="1"/>
    <col min="2323" max="2323" width="10.36328125" style="243" customWidth="1"/>
    <col min="2324" max="2324" width="11.81640625" style="243" customWidth="1"/>
    <col min="2325" max="2325" width="12.08984375" style="243" customWidth="1"/>
    <col min="2326" max="2326" width="11" style="243" customWidth="1"/>
    <col min="2327" max="2327" width="12.08984375" style="243" customWidth="1"/>
    <col min="2328" max="2328" width="10.54296875" style="243" customWidth="1"/>
    <col min="2329" max="2329" width="9.90625" style="243" customWidth="1"/>
    <col min="2330" max="2330" width="10.81640625" style="243" customWidth="1"/>
    <col min="2331" max="2331" width="9.81640625" style="243" customWidth="1"/>
    <col min="2332" max="2332" width="11.1796875" style="243" customWidth="1"/>
    <col min="2333" max="2333" width="10.36328125" style="243" customWidth="1"/>
    <col min="2334" max="2334" width="11.90625" style="243" customWidth="1"/>
    <col min="2335" max="2335" width="8.81640625" style="243"/>
    <col min="2336" max="2336" width="13.90625" style="243" customWidth="1"/>
    <col min="2337" max="2337" width="10.90625" style="243" customWidth="1"/>
    <col min="2338" max="2338" width="11.453125" style="243" customWidth="1"/>
    <col min="2339" max="2339" width="11.81640625" style="243" customWidth="1"/>
    <col min="2340" max="2340" width="11.08984375" style="243" customWidth="1"/>
    <col min="2341" max="2341" width="10.90625" style="243" customWidth="1"/>
    <col min="2342" max="2345" width="8.81640625" style="243"/>
    <col min="2346" max="2346" width="11.453125" style="243" bestFit="1" customWidth="1"/>
    <col min="2347" max="2347" width="10.1796875" style="243" customWidth="1"/>
    <col min="2348" max="2348" width="11.54296875" style="243" customWidth="1"/>
    <col min="2349" max="2349" width="12.08984375" style="243" customWidth="1"/>
    <col min="2350" max="2350" width="13.1796875" style="243" customWidth="1"/>
    <col min="2351" max="2351" width="14.08984375" style="243" customWidth="1"/>
    <col min="2352" max="2352" width="11.81640625" style="243" customWidth="1"/>
    <col min="2353" max="2353" width="9.6328125" style="243" customWidth="1"/>
    <col min="2354" max="2357" width="8.81640625" style="243"/>
    <col min="2358" max="2358" width="28.81640625" style="243" customWidth="1"/>
    <col min="2359" max="2359" width="11.81640625" style="243" customWidth="1"/>
    <col min="2360" max="2360" width="10" style="243" customWidth="1"/>
    <col min="2361" max="2361" width="10.453125" style="243" customWidth="1"/>
    <col min="2362" max="2363" width="8.81640625" style="243"/>
    <col min="2364" max="2364" width="9.36328125" style="243" customWidth="1"/>
    <col min="2365" max="2365" width="18.453125" style="243" customWidth="1"/>
    <col min="2366" max="2366" width="11" style="243" customWidth="1"/>
    <col min="2367" max="2367" width="9.54296875" style="243" customWidth="1"/>
    <col min="2368" max="2368" width="10.6328125" style="243" customWidth="1"/>
    <col min="2369" max="2369" width="9.90625" style="243" customWidth="1"/>
    <col min="2370" max="2370" width="11.453125" style="243" customWidth="1"/>
    <col min="2371" max="2371" width="9.90625" style="243" customWidth="1"/>
    <col min="2372" max="2372" width="10" style="243" customWidth="1"/>
    <col min="2373" max="2373" width="6.81640625" style="243" customWidth="1"/>
    <col min="2374" max="2374" width="12.54296875" style="243" customWidth="1"/>
    <col min="2375" max="2375" width="9.54296875" style="243" customWidth="1"/>
    <col min="2376" max="2376" width="10.36328125" style="243" customWidth="1"/>
    <col min="2377" max="2377" width="7.81640625" style="243" customWidth="1"/>
    <col min="2378" max="2378" width="7.1796875" style="243" customWidth="1"/>
    <col min="2379" max="2379" width="17.6328125" style="243" customWidth="1"/>
    <col min="2380" max="2380" width="8.81640625" style="243" customWidth="1"/>
    <col min="2381" max="2381" width="13.08984375" style="243" bestFit="1" customWidth="1"/>
    <col min="2382" max="2382" width="13.81640625" style="243" customWidth="1"/>
    <col min="2383" max="2384" width="8.81640625" style="243"/>
    <col min="2385" max="2385" width="9" style="243" bestFit="1" customWidth="1"/>
    <col min="2386" max="2394" width="8.81640625" style="243"/>
    <col min="2395" max="2395" width="13.08984375" style="243" customWidth="1"/>
    <col min="2396" max="2396" width="8.81640625" style="243"/>
    <col min="2397" max="2397" width="9.90625" style="243" customWidth="1"/>
    <col min="2398" max="2401" width="8.81640625" style="243"/>
    <col min="2402" max="2402" width="8.54296875" style="243" customWidth="1"/>
    <col min="2403" max="2403" width="30.36328125" style="243" customWidth="1"/>
    <col min="2404" max="2404" width="9" style="243" bestFit="1" customWidth="1"/>
    <col min="2405" max="2405" width="8.81640625" style="243"/>
    <col min="2406" max="2406" width="5.90625" style="243" customWidth="1"/>
    <col min="2407" max="2407" width="6.90625" style="243" customWidth="1"/>
    <col min="2408" max="2408" width="23.90625" style="243" customWidth="1"/>
    <col min="2409" max="2415" width="8.81640625" style="243"/>
    <col min="2416" max="2416" width="9" style="243" bestFit="1" customWidth="1"/>
    <col min="2417" max="2418" width="8.81640625" style="243"/>
    <col min="2419" max="2419" width="32.90625" style="243" customWidth="1"/>
    <col min="2420" max="2420" width="16.6328125" style="243" customWidth="1"/>
    <col min="2421" max="2421" width="10.1796875" style="243" customWidth="1"/>
    <col min="2422" max="2422" width="12.453125" style="243" customWidth="1"/>
    <col min="2423" max="2423" width="10" style="243" bestFit="1" customWidth="1"/>
    <col min="2424" max="2424" width="8.81640625" style="243"/>
    <col min="2425" max="2425" width="9" style="243" bestFit="1" customWidth="1"/>
    <col min="2426" max="2427" width="8.81640625" style="243"/>
    <col min="2428" max="2428" width="11.6328125" style="243" customWidth="1"/>
    <col min="2429" max="2429" width="8.81640625" style="243"/>
    <col min="2430" max="2430" width="28.81640625" style="243" customWidth="1"/>
    <col min="2431" max="2431" width="12.36328125" style="243" customWidth="1"/>
    <col min="2432" max="2432" width="11.1796875" style="243" customWidth="1"/>
    <col min="2433" max="2560" width="8.81640625" style="243"/>
    <col min="2561" max="2561" width="5.6328125" style="243" customWidth="1"/>
    <col min="2562" max="2562" width="26.54296875" style="243" customWidth="1"/>
    <col min="2563" max="2563" width="11.453125" style="243" customWidth="1"/>
    <col min="2564" max="2564" width="7.453125" style="243" customWidth="1"/>
    <col min="2565" max="2565" width="8.54296875" style="243" customWidth="1"/>
    <col min="2566" max="2566" width="12.36328125" style="243" customWidth="1"/>
    <col min="2567" max="2567" width="11.81640625" style="243" customWidth="1"/>
    <col min="2568" max="2568" width="8.1796875" style="243" customWidth="1"/>
    <col min="2569" max="2569" width="12" style="243" customWidth="1"/>
    <col min="2570" max="2570" width="8.81640625" style="243" customWidth="1"/>
    <col min="2571" max="2571" width="11.08984375" style="243" customWidth="1"/>
    <col min="2572" max="2572" width="12.90625" style="243" customWidth="1"/>
    <col min="2573" max="2573" width="12.54296875" style="243" customWidth="1"/>
    <col min="2574" max="2574" width="9.6328125" style="243" customWidth="1"/>
    <col min="2575" max="2575" width="9.90625" style="243" customWidth="1"/>
    <col min="2576" max="2576" width="11.36328125" style="243" customWidth="1"/>
    <col min="2577" max="2577" width="11.54296875" style="243" customWidth="1"/>
    <col min="2578" max="2578" width="11.6328125" style="243" customWidth="1"/>
    <col min="2579" max="2579" width="10.36328125" style="243" customWidth="1"/>
    <col min="2580" max="2580" width="11.81640625" style="243" customWidth="1"/>
    <col min="2581" max="2581" width="12.08984375" style="243" customWidth="1"/>
    <col min="2582" max="2582" width="11" style="243" customWidth="1"/>
    <col min="2583" max="2583" width="12.08984375" style="243" customWidth="1"/>
    <col min="2584" max="2584" width="10.54296875" style="243" customWidth="1"/>
    <col min="2585" max="2585" width="9.90625" style="243" customWidth="1"/>
    <col min="2586" max="2586" width="10.81640625" style="243" customWidth="1"/>
    <col min="2587" max="2587" width="9.81640625" style="243" customWidth="1"/>
    <col min="2588" max="2588" width="11.1796875" style="243" customWidth="1"/>
    <col min="2589" max="2589" width="10.36328125" style="243" customWidth="1"/>
    <col min="2590" max="2590" width="11.90625" style="243" customWidth="1"/>
    <col min="2591" max="2591" width="8.81640625" style="243"/>
    <col min="2592" max="2592" width="13.90625" style="243" customWidth="1"/>
    <col min="2593" max="2593" width="10.90625" style="243" customWidth="1"/>
    <col min="2594" max="2594" width="11.453125" style="243" customWidth="1"/>
    <col min="2595" max="2595" width="11.81640625" style="243" customWidth="1"/>
    <col min="2596" max="2596" width="11.08984375" style="243" customWidth="1"/>
    <col min="2597" max="2597" width="10.90625" style="243" customWidth="1"/>
    <col min="2598" max="2601" width="8.81640625" style="243"/>
    <col min="2602" max="2602" width="11.453125" style="243" bestFit="1" customWidth="1"/>
    <col min="2603" max="2603" width="10.1796875" style="243" customWidth="1"/>
    <col min="2604" max="2604" width="11.54296875" style="243" customWidth="1"/>
    <col min="2605" max="2605" width="12.08984375" style="243" customWidth="1"/>
    <col min="2606" max="2606" width="13.1796875" style="243" customWidth="1"/>
    <col min="2607" max="2607" width="14.08984375" style="243" customWidth="1"/>
    <col min="2608" max="2608" width="11.81640625" style="243" customWidth="1"/>
    <col min="2609" max="2609" width="9.6328125" style="243" customWidth="1"/>
    <col min="2610" max="2613" width="8.81640625" style="243"/>
    <col min="2614" max="2614" width="28.81640625" style="243" customWidth="1"/>
    <col min="2615" max="2615" width="11.81640625" style="243" customWidth="1"/>
    <col min="2616" max="2616" width="10" style="243" customWidth="1"/>
    <col min="2617" max="2617" width="10.453125" style="243" customWidth="1"/>
    <col min="2618" max="2619" width="8.81640625" style="243"/>
    <col min="2620" max="2620" width="9.36328125" style="243" customWidth="1"/>
    <col min="2621" max="2621" width="18.453125" style="243" customWidth="1"/>
    <col min="2622" max="2622" width="11" style="243" customWidth="1"/>
    <col min="2623" max="2623" width="9.54296875" style="243" customWidth="1"/>
    <col min="2624" max="2624" width="10.6328125" style="243" customWidth="1"/>
    <col min="2625" max="2625" width="9.90625" style="243" customWidth="1"/>
    <col min="2626" max="2626" width="11.453125" style="243" customWidth="1"/>
    <col min="2627" max="2627" width="9.90625" style="243" customWidth="1"/>
    <col min="2628" max="2628" width="10" style="243" customWidth="1"/>
    <col min="2629" max="2629" width="6.81640625" style="243" customWidth="1"/>
    <col min="2630" max="2630" width="12.54296875" style="243" customWidth="1"/>
    <col min="2631" max="2631" width="9.54296875" style="243" customWidth="1"/>
    <col min="2632" max="2632" width="10.36328125" style="243" customWidth="1"/>
    <col min="2633" max="2633" width="7.81640625" style="243" customWidth="1"/>
    <col min="2634" max="2634" width="7.1796875" style="243" customWidth="1"/>
    <col min="2635" max="2635" width="17.6328125" style="243" customWidth="1"/>
    <col min="2636" max="2636" width="8.81640625" style="243" customWidth="1"/>
    <col min="2637" max="2637" width="13.08984375" style="243" bestFit="1" customWidth="1"/>
    <col min="2638" max="2638" width="13.81640625" style="243" customWidth="1"/>
    <col min="2639" max="2640" width="8.81640625" style="243"/>
    <col min="2641" max="2641" width="9" style="243" bestFit="1" customWidth="1"/>
    <col min="2642" max="2650" width="8.81640625" style="243"/>
    <col min="2651" max="2651" width="13.08984375" style="243" customWidth="1"/>
    <col min="2652" max="2652" width="8.81640625" style="243"/>
    <col min="2653" max="2653" width="9.90625" style="243" customWidth="1"/>
    <col min="2654" max="2657" width="8.81640625" style="243"/>
    <col min="2658" max="2658" width="8.54296875" style="243" customWidth="1"/>
    <col min="2659" max="2659" width="30.36328125" style="243" customWidth="1"/>
    <col min="2660" max="2660" width="9" style="243" bestFit="1" customWidth="1"/>
    <col min="2661" max="2661" width="8.81640625" style="243"/>
    <col min="2662" max="2662" width="5.90625" style="243" customWidth="1"/>
    <col min="2663" max="2663" width="6.90625" style="243" customWidth="1"/>
    <col min="2664" max="2664" width="23.90625" style="243" customWidth="1"/>
    <col min="2665" max="2671" width="8.81640625" style="243"/>
    <col min="2672" max="2672" width="9" style="243" bestFit="1" customWidth="1"/>
    <col min="2673" max="2674" width="8.81640625" style="243"/>
    <col min="2675" max="2675" width="32.90625" style="243" customWidth="1"/>
    <col min="2676" max="2676" width="16.6328125" style="243" customWidth="1"/>
    <col min="2677" max="2677" width="10.1796875" style="243" customWidth="1"/>
    <col min="2678" max="2678" width="12.453125" style="243" customWidth="1"/>
    <col min="2679" max="2679" width="10" style="243" bestFit="1" customWidth="1"/>
    <col min="2680" max="2680" width="8.81640625" style="243"/>
    <col min="2681" max="2681" width="9" style="243" bestFit="1" customWidth="1"/>
    <col min="2682" max="2683" width="8.81640625" style="243"/>
    <col min="2684" max="2684" width="11.6328125" style="243" customWidth="1"/>
    <col min="2685" max="2685" width="8.81640625" style="243"/>
    <col min="2686" max="2686" width="28.81640625" style="243" customWidth="1"/>
    <col min="2687" max="2687" width="12.36328125" style="243" customWidth="1"/>
    <col min="2688" max="2688" width="11.1796875" style="243" customWidth="1"/>
    <col min="2689" max="2816" width="8.81640625" style="243"/>
    <col min="2817" max="2817" width="5.6328125" style="243" customWidth="1"/>
    <col min="2818" max="2818" width="26.54296875" style="243" customWidth="1"/>
    <col min="2819" max="2819" width="11.453125" style="243" customWidth="1"/>
    <col min="2820" max="2820" width="7.453125" style="243" customWidth="1"/>
    <col min="2821" max="2821" width="8.54296875" style="243" customWidth="1"/>
    <col min="2822" max="2822" width="12.36328125" style="243" customWidth="1"/>
    <col min="2823" max="2823" width="11.81640625" style="243" customWidth="1"/>
    <col min="2824" max="2824" width="8.1796875" style="243" customWidth="1"/>
    <col min="2825" max="2825" width="12" style="243" customWidth="1"/>
    <col min="2826" max="2826" width="8.81640625" style="243" customWidth="1"/>
    <col min="2827" max="2827" width="11.08984375" style="243" customWidth="1"/>
    <col min="2828" max="2828" width="12.90625" style="243" customWidth="1"/>
    <col min="2829" max="2829" width="12.54296875" style="243" customWidth="1"/>
    <col min="2830" max="2830" width="9.6328125" style="243" customWidth="1"/>
    <col min="2831" max="2831" width="9.90625" style="243" customWidth="1"/>
    <col min="2832" max="2832" width="11.36328125" style="243" customWidth="1"/>
    <col min="2833" max="2833" width="11.54296875" style="243" customWidth="1"/>
    <col min="2834" max="2834" width="11.6328125" style="243" customWidth="1"/>
    <col min="2835" max="2835" width="10.36328125" style="243" customWidth="1"/>
    <col min="2836" max="2836" width="11.81640625" style="243" customWidth="1"/>
    <col min="2837" max="2837" width="12.08984375" style="243" customWidth="1"/>
    <col min="2838" max="2838" width="11" style="243" customWidth="1"/>
    <col min="2839" max="2839" width="12.08984375" style="243" customWidth="1"/>
    <col min="2840" max="2840" width="10.54296875" style="243" customWidth="1"/>
    <col min="2841" max="2841" width="9.90625" style="243" customWidth="1"/>
    <col min="2842" max="2842" width="10.81640625" style="243" customWidth="1"/>
    <col min="2843" max="2843" width="9.81640625" style="243" customWidth="1"/>
    <col min="2844" max="2844" width="11.1796875" style="243" customWidth="1"/>
    <col min="2845" max="2845" width="10.36328125" style="243" customWidth="1"/>
    <col min="2846" max="2846" width="11.90625" style="243" customWidth="1"/>
    <col min="2847" max="2847" width="8.81640625" style="243"/>
    <col min="2848" max="2848" width="13.90625" style="243" customWidth="1"/>
    <col min="2849" max="2849" width="10.90625" style="243" customWidth="1"/>
    <col min="2850" max="2850" width="11.453125" style="243" customWidth="1"/>
    <col min="2851" max="2851" width="11.81640625" style="243" customWidth="1"/>
    <col min="2852" max="2852" width="11.08984375" style="243" customWidth="1"/>
    <col min="2853" max="2853" width="10.90625" style="243" customWidth="1"/>
    <col min="2854" max="2857" width="8.81640625" style="243"/>
    <col min="2858" max="2858" width="11.453125" style="243" bestFit="1" customWidth="1"/>
    <col min="2859" max="2859" width="10.1796875" style="243" customWidth="1"/>
    <col min="2860" max="2860" width="11.54296875" style="243" customWidth="1"/>
    <col min="2861" max="2861" width="12.08984375" style="243" customWidth="1"/>
    <col min="2862" max="2862" width="13.1796875" style="243" customWidth="1"/>
    <col min="2863" max="2863" width="14.08984375" style="243" customWidth="1"/>
    <col min="2864" max="2864" width="11.81640625" style="243" customWidth="1"/>
    <col min="2865" max="2865" width="9.6328125" style="243" customWidth="1"/>
    <col min="2866" max="2869" width="8.81640625" style="243"/>
    <col min="2870" max="2870" width="28.81640625" style="243" customWidth="1"/>
    <col min="2871" max="2871" width="11.81640625" style="243" customWidth="1"/>
    <col min="2872" max="2872" width="10" style="243" customWidth="1"/>
    <col min="2873" max="2873" width="10.453125" style="243" customWidth="1"/>
    <col min="2874" max="2875" width="8.81640625" style="243"/>
    <col min="2876" max="2876" width="9.36328125" style="243" customWidth="1"/>
    <col min="2877" max="2877" width="18.453125" style="243" customWidth="1"/>
    <col min="2878" max="2878" width="11" style="243" customWidth="1"/>
    <col min="2879" max="2879" width="9.54296875" style="243" customWidth="1"/>
    <col min="2880" max="2880" width="10.6328125" style="243" customWidth="1"/>
    <col min="2881" max="2881" width="9.90625" style="243" customWidth="1"/>
    <col min="2882" max="2882" width="11.453125" style="243" customWidth="1"/>
    <col min="2883" max="2883" width="9.90625" style="243" customWidth="1"/>
    <col min="2884" max="2884" width="10" style="243" customWidth="1"/>
    <col min="2885" max="2885" width="6.81640625" style="243" customWidth="1"/>
    <col min="2886" max="2886" width="12.54296875" style="243" customWidth="1"/>
    <col min="2887" max="2887" width="9.54296875" style="243" customWidth="1"/>
    <col min="2888" max="2888" width="10.36328125" style="243" customWidth="1"/>
    <col min="2889" max="2889" width="7.81640625" style="243" customWidth="1"/>
    <col min="2890" max="2890" width="7.1796875" style="243" customWidth="1"/>
    <col min="2891" max="2891" width="17.6328125" style="243" customWidth="1"/>
    <col min="2892" max="2892" width="8.81640625" style="243" customWidth="1"/>
    <col min="2893" max="2893" width="13.08984375" style="243" bestFit="1" customWidth="1"/>
    <col min="2894" max="2894" width="13.81640625" style="243" customWidth="1"/>
    <col min="2895" max="2896" width="8.81640625" style="243"/>
    <col min="2897" max="2897" width="9" style="243" bestFit="1" customWidth="1"/>
    <col min="2898" max="2906" width="8.81640625" style="243"/>
    <col min="2907" max="2907" width="13.08984375" style="243" customWidth="1"/>
    <col min="2908" max="2908" width="8.81640625" style="243"/>
    <col min="2909" max="2909" width="9.90625" style="243" customWidth="1"/>
    <col min="2910" max="2913" width="8.81640625" style="243"/>
    <col min="2914" max="2914" width="8.54296875" style="243" customWidth="1"/>
    <col min="2915" max="2915" width="30.36328125" style="243" customWidth="1"/>
    <col min="2916" max="2916" width="9" style="243" bestFit="1" customWidth="1"/>
    <col min="2917" max="2917" width="8.81640625" style="243"/>
    <col min="2918" max="2918" width="5.90625" style="243" customWidth="1"/>
    <col min="2919" max="2919" width="6.90625" style="243" customWidth="1"/>
    <col min="2920" max="2920" width="23.90625" style="243" customWidth="1"/>
    <col min="2921" max="2927" width="8.81640625" style="243"/>
    <col min="2928" max="2928" width="9" style="243" bestFit="1" customWidth="1"/>
    <col min="2929" max="2930" width="8.81640625" style="243"/>
    <col min="2931" max="2931" width="32.90625" style="243" customWidth="1"/>
    <col min="2932" max="2932" width="16.6328125" style="243" customWidth="1"/>
    <col min="2933" max="2933" width="10.1796875" style="243" customWidth="1"/>
    <col min="2934" max="2934" width="12.453125" style="243" customWidth="1"/>
    <col min="2935" max="2935" width="10" style="243" bestFit="1" customWidth="1"/>
    <col min="2936" max="2936" width="8.81640625" style="243"/>
    <col min="2937" max="2937" width="9" style="243" bestFit="1" customWidth="1"/>
    <col min="2938" max="2939" width="8.81640625" style="243"/>
    <col min="2940" max="2940" width="11.6328125" style="243" customWidth="1"/>
    <col min="2941" max="2941" width="8.81640625" style="243"/>
    <col min="2942" max="2942" width="28.81640625" style="243" customWidth="1"/>
    <col min="2943" max="2943" width="12.36328125" style="243" customWidth="1"/>
    <col min="2944" max="2944" width="11.1796875" style="243" customWidth="1"/>
    <col min="2945" max="3072" width="8.81640625" style="243"/>
    <col min="3073" max="3073" width="5.6328125" style="243" customWidth="1"/>
    <col min="3074" max="3074" width="26.54296875" style="243" customWidth="1"/>
    <col min="3075" max="3075" width="11.453125" style="243" customWidth="1"/>
    <col min="3076" max="3076" width="7.453125" style="243" customWidth="1"/>
    <col min="3077" max="3077" width="8.54296875" style="243" customWidth="1"/>
    <col min="3078" max="3078" width="12.36328125" style="243" customWidth="1"/>
    <col min="3079" max="3079" width="11.81640625" style="243" customWidth="1"/>
    <col min="3080" max="3080" width="8.1796875" style="243" customWidth="1"/>
    <col min="3081" max="3081" width="12" style="243" customWidth="1"/>
    <col min="3082" max="3082" width="8.81640625" style="243" customWidth="1"/>
    <col min="3083" max="3083" width="11.08984375" style="243" customWidth="1"/>
    <col min="3084" max="3084" width="12.90625" style="243" customWidth="1"/>
    <col min="3085" max="3085" width="12.54296875" style="243" customWidth="1"/>
    <col min="3086" max="3086" width="9.6328125" style="243" customWidth="1"/>
    <col min="3087" max="3087" width="9.90625" style="243" customWidth="1"/>
    <col min="3088" max="3088" width="11.36328125" style="243" customWidth="1"/>
    <col min="3089" max="3089" width="11.54296875" style="243" customWidth="1"/>
    <col min="3090" max="3090" width="11.6328125" style="243" customWidth="1"/>
    <col min="3091" max="3091" width="10.36328125" style="243" customWidth="1"/>
    <col min="3092" max="3092" width="11.81640625" style="243" customWidth="1"/>
    <col min="3093" max="3093" width="12.08984375" style="243" customWidth="1"/>
    <col min="3094" max="3094" width="11" style="243" customWidth="1"/>
    <col min="3095" max="3095" width="12.08984375" style="243" customWidth="1"/>
    <col min="3096" max="3096" width="10.54296875" style="243" customWidth="1"/>
    <col min="3097" max="3097" width="9.90625" style="243" customWidth="1"/>
    <col min="3098" max="3098" width="10.81640625" style="243" customWidth="1"/>
    <col min="3099" max="3099" width="9.81640625" style="243" customWidth="1"/>
    <col min="3100" max="3100" width="11.1796875" style="243" customWidth="1"/>
    <col min="3101" max="3101" width="10.36328125" style="243" customWidth="1"/>
    <col min="3102" max="3102" width="11.90625" style="243" customWidth="1"/>
    <col min="3103" max="3103" width="8.81640625" style="243"/>
    <col min="3104" max="3104" width="13.90625" style="243" customWidth="1"/>
    <col min="3105" max="3105" width="10.90625" style="243" customWidth="1"/>
    <col min="3106" max="3106" width="11.453125" style="243" customWidth="1"/>
    <col min="3107" max="3107" width="11.81640625" style="243" customWidth="1"/>
    <col min="3108" max="3108" width="11.08984375" style="243" customWidth="1"/>
    <col min="3109" max="3109" width="10.90625" style="243" customWidth="1"/>
    <col min="3110" max="3113" width="8.81640625" style="243"/>
    <col min="3114" max="3114" width="11.453125" style="243" bestFit="1" customWidth="1"/>
    <col min="3115" max="3115" width="10.1796875" style="243" customWidth="1"/>
    <col min="3116" max="3116" width="11.54296875" style="243" customWidth="1"/>
    <col min="3117" max="3117" width="12.08984375" style="243" customWidth="1"/>
    <col min="3118" max="3118" width="13.1796875" style="243" customWidth="1"/>
    <col min="3119" max="3119" width="14.08984375" style="243" customWidth="1"/>
    <col min="3120" max="3120" width="11.81640625" style="243" customWidth="1"/>
    <col min="3121" max="3121" width="9.6328125" style="243" customWidth="1"/>
    <col min="3122" max="3125" width="8.81640625" style="243"/>
    <col min="3126" max="3126" width="28.81640625" style="243" customWidth="1"/>
    <col min="3127" max="3127" width="11.81640625" style="243" customWidth="1"/>
    <col min="3128" max="3128" width="10" style="243" customWidth="1"/>
    <col min="3129" max="3129" width="10.453125" style="243" customWidth="1"/>
    <col min="3130" max="3131" width="8.81640625" style="243"/>
    <col min="3132" max="3132" width="9.36328125" style="243" customWidth="1"/>
    <col min="3133" max="3133" width="18.453125" style="243" customWidth="1"/>
    <col min="3134" max="3134" width="11" style="243" customWidth="1"/>
    <col min="3135" max="3135" width="9.54296875" style="243" customWidth="1"/>
    <col min="3136" max="3136" width="10.6328125" style="243" customWidth="1"/>
    <col min="3137" max="3137" width="9.90625" style="243" customWidth="1"/>
    <col min="3138" max="3138" width="11.453125" style="243" customWidth="1"/>
    <col min="3139" max="3139" width="9.90625" style="243" customWidth="1"/>
    <col min="3140" max="3140" width="10" style="243" customWidth="1"/>
    <col min="3141" max="3141" width="6.81640625" style="243" customWidth="1"/>
    <col min="3142" max="3142" width="12.54296875" style="243" customWidth="1"/>
    <col min="3143" max="3143" width="9.54296875" style="243" customWidth="1"/>
    <col min="3144" max="3144" width="10.36328125" style="243" customWidth="1"/>
    <col min="3145" max="3145" width="7.81640625" style="243" customWidth="1"/>
    <col min="3146" max="3146" width="7.1796875" style="243" customWidth="1"/>
    <col min="3147" max="3147" width="17.6328125" style="243" customWidth="1"/>
    <col min="3148" max="3148" width="8.81640625" style="243" customWidth="1"/>
    <col min="3149" max="3149" width="13.08984375" style="243" bestFit="1" customWidth="1"/>
    <col min="3150" max="3150" width="13.81640625" style="243" customWidth="1"/>
    <col min="3151" max="3152" width="8.81640625" style="243"/>
    <col min="3153" max="3153" width="9" style="243" bestFit="1" customWidth="1"/>
    <col min="3154" max="3162" width="8.81640625" style="243"/>
    <col min="3163" max="3163" width="13.08984375" style="243" customWidth="1"/>
    <col min="3164" max="3164" width="8.81640625" style="243"/>
    <col min="3165" max="3165" width="9.90625" style="243" customWidth="1"/>
    <col min="3166" max="3169" width="8.81640625" style="243"/>
    <col min="3170" max="3170" width="8.54296875" style="243" customWidth="1"/>
    <col min="3171" max="3171" width="30.36328125" style="243" customWidth="1"/>
    <col min="3172" max="3172" width="9" style="243" bestFit="1" customWidth="1"/>
    <col min="3173" max="3173" width="8.81640625" style="243"/>
    <col min="3174" max="3174" width="5.90625" style="243" customWidth="1"/>
    <col min="3175" max="3175" width="6.90625" style="243" customWidth="1"/>
    <col min="3176" max="3176" width="23.90625" style="243" customWidth="1"/>
    <col min="3177" max="3183" width="8.81640625" style="243"/>
    <col min="3184" max="3184" width="9" style="243" bestFit="1" customWidth="1"/>
    <col min="3185" max="3186" width="8.81640625" style="243"/>
    <col min="3187" max="3187" width="32.90625" style="243" customWidth="1"/>
    <col min="3188" max="3188" width="16.6328125" style="243" customWidth="1"/>
    <col min="3189" max="3189" width="10.1796875" style="243" customWidth="1"/>
    <col min="3190" max="3190" width="12.453125" style="243" customWidth="1"/>
    <col min="3191" max="3191" width="10" style="243" bestFit="1" customWidth="1"/>
    <col min="3192" max="3192" width="8.81640625" style="243"/>
    <col min="3193" max="3193" width="9" style="243" bestFit="1" customWidth="1"/>
    <col min="3194" max="3195" width="8.81640625" style="243"/>
    <col min="3196" max="3196" width="11.6328125" style="243" customWidth="1"/>
    <col min="3197" max="3197" width="8.81640625" style="243"/>
    <col min="3198" max="3198" width="28.81640625" style="243" customWidth="1"/>
    <col min="3199" max="3199" width="12.36328125" style="243" customWidth="1"/>
    <col min="3200" max="3200" width="11.1796875" style="243" customWidth="1"/>
    <col min="3201" max="3328" width="8.81640625" style="243"/>
    <col min="3329" max="3329" width="5.6328125" style="243" customWidth="1"/>
    <col min="3330" max="3330" width="26.54296875" style="243" customWidth="1"/>
    <col min="3331" max="3331" width="11.453125" style="243" customWidth="1"/>
    <col min="3332" max="3332" width="7.453125" style="243" customWidth="1"/>
    <col min="3333" max="3333" width="8.54296875" style="243" customWidth="1"/>
    <col min="3334" max="3334" width="12.36328125" style="243" customWidth="1"/>
    <col min="3335" max="3335" width="11.81640625" style="243" customWidth="1"/>
    <col min="3336" max="3336" width="8.1796875" style="243" customWidth="1"/>
    <col min="3337" max="3337" width="12" style="243" customWidth="1"/>
    <col min="3338" max="3338" width="8.81640625" style="243" customWidth="1"/>
    <col min="3339" max="3339" width="11.08984375" style="243" customWidth="1"/>
    <col min="3340" max="3340" width="12.90625" style="243" customWidth="1"/>
    <col min="3341" max="3341" width="12.54296875" style="243" customWidth="1"/>
    <col min="3342" max="3342" width="9.6328125" style="243" customWidth="1"/>
    <col min="3343" max="3343" width="9.90625" style="243" customWidth="1"/>
    <col min="3344" max="3344" width="11.36328125" style="243" customWidth="1"/>
    <col min="3345" max="3345" width="11.54296875" style="243" customWidth="1"/>
    <col min="3346" max="3346" width="11.6328125" style="243" customWidth="1"/>
    <col min="3347" max="3347" width="10.36328125" style="243" customWidth="1"/>
    <col min="3348" max="3348" width="11.81640625" style="243" customWidth="1"/>
    <col min="3349" max="3349" width="12.08984375" style="243" customWidth="1"/>
    <col min="3350" max="3350" width="11" style="243" customWidth="1"/>
    <col min="3351" max="3351" width="12.08984375" style="243" customWidth="1"/>
    <col min="3352" max="3352" width="10.54296875" style="243" customWidth="1"/>
    <col min="3353" max="3353" width="9.90625" style="243" customWidth="1"/>
    <col min="3354" max="3354" width="10.81640625" style="243" customWidth="1"/>
    <col min="3355" max="3355" width="9.81640625" style="243" customWidth="1"/>
    <col min="3356" max="3356" width="11.1796875" style="243" customWidth="1"/>
    <col min="3357" max="3357" width="10.36328125" style="243" customWidth="1"/>
    <col min="3358" max="3358" width="11.90625" style="243" customWidth="1"/>
    <col min="3359" max="3359" width="8.81640625" style="243"/>
    <col min="3360" max="3360" width="13.90625" style="243" customWidth="1"/>
    <col min="3361" max="3361" width="10.90625" style="243" customWidth="1"/>
    <col min="3362" max="3362" width="11.453125" style="243" customWidth="1"/>
    <col min="3363" max="3363" width="11.81640625" style="243" customWidth="1"/>
    <col min="3364" max="3364" width="11.08984375" style="243" customWidth="1"/>
    <col min="3365" max="3365" width="10.90625" style="243" customWidth="1"/>
    <col min="3366" max="3369" width="8.81640625" style="243"/>
    <col min="3370" max="3370" width="11.453125" style="243" bestFit="1" customWidth="1"/>
    <col min="3371" max="3371" width="10.1796875" style="243" customWidth="1"/>
    <col min="3372" max="3372" width="11.54296875" style="243" customWidth="1"/>
    <col min="3373" max="3373" width="12.08984375" style="243" customWidth="1"/>
    <col min="3374" max="3374" width="13.1796875" style="243" customWidth="1"/>
    <col min="3375" max="3375" width="14.08984375" style="243" customWidth="1"/>
    <col min="3376" max="3376" width="11.81640625" style="243" customWidth="1"/>
    <col min="3377" max="3377" width="9.6328125" style="243" customWidth="1"/>
    <col min="3378" max="3381" width="8.81640625" style="243"/>
    <col min="3382" max="3382" width="28.81640625" style="243" customWidth="1"/>
    <col min="3383" max="3383" width="11.81640625" style="243" customWidth="1"/>
    <col min="3384" max="3384" width="10" style="243" customWidth="1"/>
    <col min="3385" max="3385" width="10.453125" style="243" customWidth="1"/>
    <col min="3386" max="3387" width="8.81640625" style="243"/>
    <col min="3388" max="3388" width="9.36328125" style="243" customWidth="1"/>
    <col min="3389" max="3389" width="18.453125" style="243" customWidth="1"/>
    <col min="3390" max="3390" width="11" style="243" customWidth="1"/>
    <col min="3391" max="3391" width="9.54296875" style="243" customWidth="1"/>
    <col min="3392" max="3392" width="10.6328125" style="243" customWidth="1"/>
    <col min="3393" max="3393" width="9.90625" style="243" customWidth="1"/>
    <col min="3394" max="3394" width="11.453125" style="243" customWidth="1"/>
    <col min="3395" max="3395" width="9.90625" style="243" customWidth="1"/>
    <col min="3396" max="3396" width="10" style="243" customWidth="1"/>
    <col min="3397" max="3397" width="6.81640625" style="243" customWidth="1"/>
    <col min="3398" max="3398" width="12.54296875" style="243" customWidth="1"/>
    <col min="3399" max="3399" width="9.54296875" style="243" customWidth="1"/>
    <col min="3400" max="3400" width="10.36328125" style="243" customWidth="1"/>
    <col min="3401" max="3401" width="7.81640625" style="243" customWidth="1"/>
    <col min="3402" max="3402" width="7.1796875" style="243" customWidth="1"/>
    <col min="3403" max="3403" width="17.6328125" style="243" customWidth="1"/>
    <col min="3404" max="3404" width="8.81640625" style="243" customWidth="1"/>
    <col min="3405" max="3405" width="13.08984375" style="243" bestFit="1" customWidth="1"/>
    <col min="3406" max="3406" width="13.81640625" style="243" customWidth="1"/>
    <col min="3407" max="3408" width="8.81640625" style="243"/>
    <col min="3409" max="3409" width="9" style="243" bestFit="1" customWidth="1"/>
    <col min="3410" max="3418" width="8.81640625" style="243"/>
    <col min="3419" max="3419" width="13.08984375" style="243" customWidth="1"/>
    <col min="3420" max="3420" width="8.81640625" style="243"/>
    <col min="3421" max="3421" width="9.90625" style="243" customWidth="1"/>
    <col min="3422" max="3425" width="8.81640625" style="243"/>
    <col min="3426" max="3426" width="8.54296875" style="243" customWidth="1"/>
    <col min="3427" max="3427" width="30.36328125" style="243" customWidth="1"/>
    <col min="3428" max="3428" width="9" style="243" bestFit="1" customWidth="1"/>
    <col min="3429" max="3429" width="8.81640625" style="243"/>
    <col min="3430" max="3430" width="5.90625" style="243" customWidth="1"/>
    <col min="3431" max="3431" width="6.90625" style="243" customWidth="1"/>
    <col min="3432" max="3432" width="23.90625" style="243" customWidth="1"/>
    <col min="3433" max="3439" width="8.81640625" style="243"/>
    <col min="3440" max="3440" width="9" style="243" bestFit="1" customWidth="1"/>
    <col min="3441" max="3442" width="8.81640625" style="243"/>
    <col min="3443" max="3443" width="32.90625" style="243" customWidth="1"/>
    <col min="3444" max="3444" width="16.6328125" style="243" customWidth="1"/>
    <col min="3445" max="3445" width="10.1796875" style="243" customWidth="1"/>
    <col min="3446" max="3446" width="12.453125" style="243" customWidth="1"/>
    <col min="3447" max="3447" width="10" style="243" bestFit="1" customWidth="1"/>
    <col min="3448" max="3448" width="8.81640625" style="243"/>
    <col min="3449" max="3449" width="9" style="243" bestFit="1" customWidth="1"/>
    <col min="3450" max="3451" width="8.81640625" style="243"/>
    <col min="3452" max="3452" width="11.6328125" style="243" customWidth="1"/>
    <col min="3453" max="3453" width="8.81640625" style="243"/>
    <col min="3454" max="3454" width="28.81640625" style="243" customWidth="1"/>
    <col min="3455" max="3455" width="12.36328125" style="243" customWidth="1"/>
    <col min="3456" max="3456" width="11.1796875" style="243" customWidth="1"/>
    <col min="3457" max="3584" width="8.81640625" style="243"/>
    <col min="3585" max="3585" width="5.6328125" style="243" customWidth="1"/>
    <col min="3586" max="3586" width="26.54296875" style="243" customWidth="1"/>
    <col min="3587" max="3587" width="11.453125" style="243" customWidth="1"/>
    <col min="3588" max="3588" width="7.453125" style="243" customWidth="1"/>
    <col min="3589" max="3589" width="8.54296875" style="243" customWidth="1"/>
    <col min="3590" max="3590" width="12.36328125" style="243" customWidth="1"/>
    <col min="3591" max="3591" width="11.81640625" style="243" customWidth="1"/>
    <col min="3592" max="3592" width="8.1796875" style="243" customWidth="1"/>
    <col min="3593" max="3593" width="12" style="243" customWidth="1"/>
    <col min="3594" max="3594" width="8.81640625" style="243" customWidth="1"/>
    <col min="3595" max="3595" width="11.08984375" style="243" customWidth="1"/>
    <col min="3596" max="3596" width="12.90625" style="243" customWidth="1"/>
    <col min="3597" max="3597" width="12.54296875" style="243" customWidth="1"/>
    <col min="3598" max="3598" width="9.6328125" style="243" customWidth="1"/>
    <col min="3599" max="3599" width="9.90625" style="243" customWidth="1"/>
    <col min="3600" max="3600" width="11.36328125" style="243" customWidth="1"/>
    <col min="3601" max="3601" width="11.54296875" style="243" customWidth="1"/>
    <col min="3602" max="3602" width="11.6328125" style="243" customWidth="1"/>
    <col min="3603" max="3603" width="10.36328125" style="243" customWidth="1"/>
    <col min="3604" max="3604" width="11.81640625" style="243" customWidth="1"/>
    <col min="3605" max="3605" width="12.08984375" style="243" customWidth="1"/>
    <col min="3606" max="3606" width="11" style="243" customWidth="1"/>
    <col min="3607" max="3607" width="12.08984375" style="243" customWidth="1"/>
    <col min="3608" max="3608" width="10.54296875" style="243" customWidth="1"/>
    <col min="3609" max="3609" width="9.90625" style="243" customWidth="1"/>
    <col min="3610" max="3610" width="10.81640625" style="243" customWidth="1"/>
    <col min="3611" max="3611" width="9.81640625" style="243" customWidth="1"/>
    <col min="3612" max="3612" width="11.1796875" style="243" customWidth="1"/>
    <col min="3613" max="3613" width="10.36328125" style="243" customWidth="1"/>
    <col min="3614" max="3614" width="11.90625" style="243" customWidth="1"/>
    <col min="3615" max="3615" width="8.81640625" style="243"/>
    <col min="3616" max="3616" width="13.90625" style="243" customWidth="1"/>
    <col min="3617" max="3617" width="10.90625" style="243" customWidth="1"/>
    <col min="3618" max="3618" width="11.453125" style="243" customWidth="1"/>
    <col min="3619" max="3619" width="11.81640625" style="243" customWidth="1"/>
    <col min="3620" max="3620" width="11.08984375" style="243" customWidth="1"/>
    <col min="3621" max="3621" width="10.90625" style="243" customWidth="1"/>
    <col min="3622" max="3625" width="8.81640625" style="243"/>
    <col min="3626" max="3626" width="11.453125" style="243" bestFit="1" customWidth="1"/>
    <col min="3627" max="3627" width="10.1796875" style="243" customWidth="1"/>
    <col min="3628" max="3628" width="11.54296875" style="243" customWidth="1"/>
    <col min="3629" max="3629" width="12.08984375" style="243" customWidth="1"/>
    <col min="3630" max="3630" width="13.1796875" style="243" customWidth="1"/>
    <col min="3631" max="3631" width="14.08984375" style="243" customWidth="1"/>
    <col min="3632" max="3632" width="11.81640625" style="243" customWidth="1"/>
    <col min="3633" max="3633" width="9.6328125" style="243" customWidth="1"/>
    <col min="3634" max="3637" width="8.81640625" style="243"/>
    <col min="3638" max="3638" width="28.81640625" style="243" customWidth="1"/>
    <col min="3639" max="3639" width="11.81640625" style="243" customWidth="1"/>
    <col min="3640" max="3640" width="10" style="243" customWidth="1"/>
    <col min="3641" max="3641" width="10.453125" style="243" customWidth="1"/>
    <col min="3642" max="3643" width="8.81640625" style="243"/>
    <col min="3644" max="3644" width="9.36328125" style="243" customWidth="1"/>
    <col min="3645" max="3645" width="18.453125" style="243" customWidth="1"/>
    <col min="3646" max="3646" width="11" style="243" customWidth="1"/>
    <col min="3647" max="3647" width="9.54296875" style="243" customWidth="1"/>
    <col min="3648" max="3648" width="10.6328125" style="243" customWidth="1"/>
    <col min="3649" max="3649" width="9.90625" style="243" customWidth="1"/>
    <col min="3650" max="3650" width="11.453125" style="243" customWidth="1"/>
    <col min="3651" max="3651" width="9.90625" style="243" customWidth="1"/>
    <col min="3652" max="3652" width="10" style="243" customWidth="1"/>
    <col min="3653" max="3653" width="6.81640625" style="243" customWidth="1"/>
    <col min="3654" max="3654" width="12.54296875" style="243" customWidth="1"/>
    <col min="3655" max="3655" width="9.54296875" style="243" customWidth="1"/>
    <col min="3656" max="3656" width="10.36328125" style="243" customWidth="1"/>
    <col min="3657" max="3657" width="7.81640625" style="243" customWidth="1"/>
    <col min="3658" max="3658" width="7.1796875" style="243" customWidth="1"/>
    <col min="3659" max="3659" width="17.6328125" style="243" customWidth="1"/>
    <col min="3660" max="3660" width="8.81640625" style="243" customWidth="1"/>
    <col min="3661" max="3661" width="13.08984375" style="243" bestFit="1" customWidth="1"/>
    <col min="3662" max="3662" width="13.81640625" style="243" customWidth="1"/>
    <col min="3663" max="3664" width="8.81640625" style="243"/>
    <col min="3665" max="3665" width="9" style="243" bestFit="1" customWidth="1"/>
    <col min="3666" max="3674" width="8.81640625" style="243"/>
    <col min="3675" max="3675" width="13.08984375" style="243" customWidth="1"/>
    <col min="3676" max="3676" width="8.81640625" style="243"/>
    <col min="3677" max="3677" width="9.90625" style="243" customWidth="1"/>
    <col min="3678" max="3681" width="8.81640625" style="243"/>
    <col min="3682" max="3682" width="8.54296875" style="243" customWidth="1"/>
    <col min="3683" max="3683" width="30.36328125" style="243" customWidth="1"/>
    <col min="3684" max="3684" width="9" style="243" bestFit="1" customWidth="1"/>
    <col min="3685" max="3685" width="8.81640625" style="243"/>
    <col min="3686" max="3686" width="5.90625" style="243" customWidth="1"/>
    <col min="3687" max="3687" width="6.90625" style="243" customWidth="1"/>
    <col min="3688" max="3688" width="23.90625" style="243" customWidth="1"/>
    <col min="3689" max="3695" width="8.81640625" style="243"/>
    <col min="3696" max="3696" width="9" style="243" bestFit="1" customWidth="1"/>
    <col min="3697" max="3698" width="8.81640625" style="243"/>
    <col min="3699" max="3699" width="32.90625" style="243" customWidth="1"/>
    <col min="3700" max="3700" width="16.6328125" style="243" customWidth="1"/>
    <col min="3701" max="3701" width="10.1796875" style="243" customWidth="1"/>
    <col min="3702" max="3702" width="12.453125" style="243" customWidth="1"/>
    <col min="3703" max="3703" width="10" style="243" bestFit="1" customWidth="1"/>
    <col min="3704" max="3704" width="8.81640625" style="243"/>
    <col min="3705" max="3705" width="9" style="243" bestFit="1" customWidth="1"/>
    <col min="3706" max="3707" width="8.81640625" style="243"/>
    <col min="3708" max="3708" width="11.6328125" style="243" customWidth="1"/>
    <col min="3709" max="3709" width="8.81640625" style="243"/>
    <col min="3710" max="3710" width="28.81640625" style="243" customWidth="1"/>
    <col min="3711" max="3711" width="12.36328125" style="243" customWidth="1"/>
    <col min="3712" max="3712" width="11.1796875" style="243" customWidth="1"/>
    <col min="3713" max="3840" width="8.81640625" style="243"/>
    <col min="3841" max="3841" width="5.6328125" style="243" customWidth="1"/>
    <col min="3842" max="3842" width="26.54296875" style="243" customWidth="1"/>
    <col min="3843" max="3843" width="11.453125" style="243" customWidth="1"/>
    <col min="3844" max="3844" width="7.453125" style="243" customWidth="1"/>
    <col min="3845" max="3845" width="8.54296875" style="243" customWidth="1"/>
    <col min="3846" max="3846" width="12.36328125" style="243" customWidth="1"/>
    <col min="3847" max="3847" width="11.81640625" style="243" customWidth="1"/>
    <col min="3848" max="3848" width="8.1796875" style="243" customWidth="1"/>
    <col min="3849" max="3849" width="12" style="243" customWidth="1"/>
    <col min="3850" max="3850" width="8.81640625" style="243" customWidth="1"/>
    <col min="3851" max="3851" width="11.08984375" style="243" customWidth="1"/>
    <col min="3852" max="3852" width="12.90625" style="243" customWidth="1"/>
    <col min="3853" max="3853" width="12.54296875" style="243" customWidth="1"/>
    <col min="3854" max="3854" width="9.6328125" style="243" customWidth="1"/>
    <col min="3855" max="3855" width="9.90625" style="243" customWidth="1"/>
    <col min="3856" max="3856" width="11.36328125" style="243" customWidth="1"/>
    <col min="3857" max="3857" width="11.54296875" style="243" customWidth="1"/>
    <col min="3858" max="3858" width="11.6328125" style="243" customWidth="1"/>
    <col min="3859" max="3859" width="10.36328125" style="243" customWidth="1"/>
    <col min="3860" max="3860" width="11.81640625" style="243" customWidth="1"/>
    <col min="3861" max="3861" width="12.08984375" style="243" customWidth="1"/>
    <col min="3862" max="3862" width="11" style="243" customWidth="1"/>
    <col min="3863" max="3863" width="12.08984375" style="243" customWidth="1"/>
    <col min="3864" max="3864" width="10.54296875" style="243" customWidth="1"/>
    <col min="3865" max="3865" width="9.90625" style="243" customWidth="1"/>
    <col min="3866" max="3866" width="10.81640625" style="243" customWidth="1"/>
    <col min="3867" max="3867" width="9.81640625" style="243" customWidth="1"/>
    <col min="3868" max="3868" width="11.1796875" style="243" customWidth="1"/>
    <col min="3869" max="3869" width="10.36328125" style="243" customWidth="1"/>
    <col min="3870" max="3870" width="11.90625" style="243" customWidth="1"/>
    <col min="3871" max="3871" width="8.81640625" style="243"/>
    <col min="3872" max="3872" width="13.90625" style="243" customWidth="1"/>
    <col min="3873" max="3873" width="10.90625" style="243" customWidth="1"/>
    <col min="3874" max="3874" width="11.453125" style="243" customWidth="1"/>
    <col min="3875" max="3875" width="11.81640625" style="243" customWidth="1"/>
    <col min="3876" max="3876" width="11.08984375" style="243" customWidth="1"/>
    <col min="3877" max="3877" width="10.90625" style="243" customWidth="1"/>
    <col min="3878" max="3881" width="8.81640625" style="243"/>
    <col min="3882" max="3882" width="11.453125" style="243" bestFit="1" customWidth="1"/>
    <col min="3883" max="3883" width="10.1796875" style="243" customWidth="1"/>
    <col min="3884" max="3884" width="11.54296875" style="243" customWidth="1"/>
    <col min="3885" max="3885" width="12.08984375" style="243" customWidth="1"/>
    <col min="3886" max="3886" width="13.1796875" style="243" customWidth="1"/>
    <col min="3887" max="3887" width="14.08984375" style="243" customWidth="1"/>
    <col min="3888" max="3888" width="11.81640625" style="243" customWidth="1"/>
    <col min="3889" max="3889" width="9.6328125" style="243" customWidth="1"/>
    <col min="3890" max="3893" width="8.81640625" style="243"/>
    <col min="3894" max="3894" width="28.81640625" style="243" customWidth="1"/>
    <col min="3895" max="3895" width="11.81640625" style="243" customWidth="1"/>
    <col min="3896" max="3896" width="10" style="243" customWidth="1"/>
    <col min="3897" max="3897" width="10.453125" style="243" customWidth="1"/>
    <col min="3898" max="3899" width="8.81640625" style="243"/>
    <col min="3900" max="3900" width="9.36328125" style="243" customWidth="1"/>
    <col min="3901" max="3901" width="18.453125" style="243" customWidth="1"/>
    <col min="3902" max="3902" width="11" style="243" customWidth="1"/>
    <col min="3903" max="3903" width="9.54296875" style="243" customWidth="1"/>
    <col min="3904" max="3904" width="10.6328125" style="243" customWidth="1"/>
    <col min="3905" max="3905" width="9.90625" style="243" customWidth="1"/>
    <col min="3906" max="3906" width="11.453125" style="243" customWidth="1"/>
    <col min="3907" max="3907" width="9.90625" style="243" customWidth="1"/>
    <col min="3908" max="3908" width="10" style="243" customWidth="1"/>
    <col min="3909" max="3909" width="6.81640625" style="243" customWidth="1"/>
    <col min="3910" max="3910" width="12.54296875" style="243" customWidth="1"/>
    <col min="3911" max="3911" width="9.54296875" style="243" customWidth="1"/>
    <col min="3912" max="3912" width="10.36328125" style="243" customWidth="1"/>
    <col min="3913" max="3913" width="7.81640625" style="243" customWidth="1"/>
    <col min="3914" max="3914" width="7.1796875" style="243" customWidth="1"/>
    <col min="3915" max="3915" width="17.6328125" style="243" customWidth="1"/>
    <col min="3916" max="3916" width="8.81640625" style="243" customWidth="1"/>
    <col min="3917" max="3917" width="13.08984375" style="243" bestFit="1" customWidth="1"/>
    <col min="3918" max="3918" width="13.81640625" style="243" customWidth="1"/>
    <col min="3919" max="3920" width="8.81640625" style="243"/>
    <col min="3921" max="3921" width="9" style="243" bestFit="1" customWidth="1"/>
    <col min="3922" max="3930" width="8.81640625" style="243"/>
    <col min="3931" max="3931" width="13.08984375" style="243" customWidth="1"/>
    <col min="3932" max="3932" width="8.81640625" style="243"/>
    <col min="3933" max="3933" width="9.90625" style="243" customWidth="1"/>
    <col min="3934" max="3937" width="8.81640625" style="243"/>
    <col min="3938" max="3938" width="8.54296875" style="243" customWidth="1"/>
    <col min="3939" max="3939" width="30.36328125" style="243" customWidth="1"/>
    <col min="3940" max="3940" width="9" style="243" bestFit="1" customWidth="1"/>
    <col min="3941" max="3941" width="8.81640625" style="243"/>
    <col min="3942" max="3942" width="5.90625" style="243" customWidth="1"/>
    <col min="3943" max="3943" width="6.90625" style="243" customWidth="1"/>
    <col min="3944" max="3944" width="23.90625" style="243" customWidth="1"/>
    <col min="3945" max="3951" width="8.81640625" style="243"/>
    <col min="3952" max="3952" width="9" style="243" bestFit="1" customWidth="1"/>
    <col min="3953" max="3954" width="8.81640625" style="243"/>
    <col min="3955" max="3955" width="32.90625" style="243" customWidth="1"/>
    <col min="3956" max="3956" width="16.6328125" style="243" customWidth="1"/>
    <col min="3957" max="3957" width="10.1796875" style="243" customWidth="1"/>
    <col min="3958" max="3958" width="12.453125" style="243" customWidth="1"/>
    <col min="3959" max="3959" width="10" style="243" bestFit="1" customWidth="1"/>
    <col min="3960" max="3960" width="8.81640625" style="243"/>
    <col min="3961" max="3961" width="9" style="243" bestFit="1" customWidth="1"/>
    <col min="3962" max="3963" width="8.81640625" style="243"/>
    <col min="3964" max="3964" width="11.6328125" style="243" customWidth="1"/>
    <col min="3965" max="3965" width="8.81640625" style="243"/>
    <col min="3966" max="3966" width="28.81640625" style="243" customWidth="1"/>
    <col min="3967" max="3967" width="12.36328125" style="243" customWidth="1"/>
    <col min="3968" max="3968" width="11.1796875" style="243" customWidth="1"/>
    <col min="3969" max="4096" width="8.81640625" style="243"/>
    <col min="4097" max="4097" width="5.6328125" style="243" customWidth="1"/>
    <col min="4098" max="4098" width="26.54296875" style="243" customWidth="1"/>
    <col min="4099" max="4099" width="11.453125" style="243" customWidth="1"/>
    <col min="4100" max="4100" width="7.453125" style="243" customWidth="1"/>
    <col min="4101" max="4101" width="8.54296875" style="243" customWidth="1"/>
    <col min="4102" max="4102" width="12.36328125" style="243" customWidth="1"/>
    <col min="4103" max="4103" width="11.81640625" style="243" customWidth="1"/>
    <col min="4104" max="4104" width="8.1796875" style="243" customWidth="1"/>
    <col min="4105" max="4105" width="12" style="243" customWidth="1"/>
    <col min="4106" max="4106" width="8.81640625" style="243" customWidth="1"/>
    <col min="4107" max="4107" width="11.08984375" style="243" customWidth="1"/>
    <col min="4108" max="4108" width="12.90625" style="243" customWidth="1"/>
    <col min="4109" max="4109" width="12.54296875" style="243" customWidth="1"/>
    <col min="4110" max="4110" width="9.6328125" style="243" customWidth="1"/>
    <col min="4111" max="4111" width="9.90625" style="243" customWidth="1"/>
    <col min="4112" max="4112" width="11.36328125" style="243" customWidth="1"/>
    <col min="4113" max="4113" width="11.54296875" style="243" customWidth="1"/>
    <col min="4114" max="4114" width="11.6328125" style="243" customWidth="1"/>
    <col min="4115" max="4115" width="10.36328125" style="243" customWidth="1"/>
    <col min="4116" max="4116" width="11.81640625" style="243" customWidth="1"/>
    <col min="4117" max="4117" width="12.08984375" style="243" customWidth="1"/>
    <col min="4118" max="4118" width="11" style="243" customWidth="1"/>
    <col min="4119" max="4119" width="12.08984375" style="243" customWidth="1"/>
    <col min="4120" max="4120" width="10.54296875" style="243" customWidth="1"/>
    <col min="4121" max="4121" width="9.90625" style="243" customWidth="1"/>
    <col min="4122" max="4122" width="10.81640625" style="243" customWidth="1"/>
    <col min="4123" max="4123" width="9.81640625" style="243" customWidth="1"/>
    <col min="4124" max="4124" width="11.1796875" style="243" customWidth="1"/>
    <col min="4125" max="4125" width="10.36328125" style="243" customWidth="1"/>
    <col min="4126" max="4126" width="11.90625" style="243" customWidth="1"/>
    <col min="4127" max="4127" width="8.81640625" style="243"/>
    <col min="4128" max="4128" width="13.90625" style="243" customWidth="1"/>
    <col min="4129" max="4129" width="10.90625" style="243" customWidth="1"/>
    <col min="4130" max="4130" width="11.453125" style="243" customWidth="1"/>
    <col min="4131" max="4131" width="11.81640625" style="243" customWidth="1"/>
    <col min="4132" max="4132" width="11.08984375" style="243" customWidth="1"/>
    <col min="4133" max="4133" width="10.90625" style="243" customWidth="1"/>
    <col min="4134" max="4137" width="8.81640625" style="243"/>
    <col min="4138" max="4138" width="11.453125" style="243" bestFit="1" customWidth="1"/>
    <col min="4139" max="4139" width="10.1796875" style="243" customWidth="1"/>
    <col min="4140" max="4140" width="11.54296875" style="243" customWidth="1"/>
    <col min="4141" max="4141" width="12.08984375" style="243" customWidth="1"/>
    <col min="4142" max="4142" width="13.1796875" style="243" customWidth="1"/>
    <col min="4143" max="4143" width="14.08984375" style="243" customWidth="1"/>
    <col min="4144" max="4144" width="11.81640625" style="243" customWidth="1"/>
    <col min="4145" max="4145" width="9.6328125" style="243" customWidth="1"/>
    <col min="4146" max="4149" width="8.81640625" style="243"/>
    <col min="4150" max="4150" width="28.81640625" style="243" customWidth="1"/>
    <col min="4151" max="4151" width="11.81640625" style="243" customWidth="1"/>
    <col min="4152" max="4152" width="10" style="243" customWidth="1"/>
    <col min="4153" max="4153" width="10.453125" style="243" customWidth="1"/>
    <col min="4154" max="4155" width="8.81640625" style="243"/>
    <col min="4156" max="4156" width="9.36328125" style="243" customWidth="1"/>
    <col min="4157" max="4157" width="18.453125" style="243" customWidth="1"/>
    <col min="4158" max="4158" width="11" style="243" customWidth="1"/>
    <col min="4159" max="4159" width="9.54296875" style="243" customWidth="1"/>
    <col min="4160" max="4160" width="10.6328125" style="243" customWidth="1"/>
    <col min="4161" max="4161" width="9.90625" style="243" customWidth="1"/>
    <col min="4162" max="4162" width="11.453125" style="243" customWidth="1"/>
    <col min="4163" max="4163" width="9.90625" style="243" customWidth="1"/>
    <col min="4164" max="4164" width="10" style="243" customWidth="1"/>
    <col min="4165" max="4165" width="6.81640625" style="243" customWidth="1"/>
    <col min="4166" max="4166" width="12.54296875" style="243" customWidth="1"/>
    <col min="4167" max="4167" width="9.54296875" style="243" customWidth="1"/>
    <col min="4168" max="4168" width="10.36328125" style="243" customWidth="1"/>
    <col min="4169" max="4169" width="7.81640625" style="243" customWidth="1"/>
    <col min="4170" max="4170" width="7.1796875" style="243" customWidth="1"/>
    <col min="4171" max="4171" width="17.6328125" style="243" customWidth="1"/>
    <col min="4172" max="4172" width="8.81640625" style="243" customWidth="1"/>
    <col min="4173" max="4173" width="13.08984375" style="243" bestFit="1" customWidth="1"/>
    <col min="4174" max="4174" width="13.81640625" style="243" customWidth="1"/>
    <col min="4175" max="4176" width="8.81640625" style="243"/>
    <col min="4177" max="4177" width="9" style="243" bestFit="1" customWidth="1"/>
    <col min="4178" max="4186" width="8.81640625" style="243"/>
    <col min="4187" max="4187" width="13.08984375" style="243" customWidth="1"/>
    <col min="4188" max="4188" width="8.81640625" style="243"/>
    <col min="4189" max="4189" width="9.90625" style="243" customWidth="1"/>
    <col min="4190" max="4193" width="8.81640625" style="243"/>
    <col min="4194" max="4194" width="8.54296875" style="243" customWidth="1"/>
    <col min="4195" max="4195" width="30.36328125" style="243" customWidth="1"/>
    <col min="4196" max="4196" width="9" style="243" bestFit="1" customWidth="1"/>
    <col min="4197" max="4197" width="8.81640625" style="243"/>
    <col min="4198" max="4198" width="5.90625" style="243" customWidth="1"/>
    <col min="4199" max="4199" width="6.90625" style="243" customWidth="1"/>
    <col min="4200" max="4200" width="23.90625" style="243" customWidth="1"/>
    <col min="4201" max="4207" width="8.81640625" style="243"/>
    <col min="4208" max="4208" width="9" style="243" bestFit="1" customWidth="1"/>
    <col min="4209" max="4210" width="8.81640625" style="243"/>
    <col min="4211" max="4211" width="32.90625" style="243" customWidth="1"/>
    <col min="4212" max="4212" width="16.6328125" style="243" customWidth="1"/>
    <col min="4213" max="4213" width="10.1796875" style="243" customWidth="1"/>
    <col min="4214" max="4214" width="12.453125" style="243" customWidth="1"/>
    <col min="4215" max="4215" width="10" style="243" bestFit="1" customWidth="1"/>
    <col min="4216" max="4216" width="8.81640625" style="243"/>
    <col min="4217" max="4217" width="9" style="243" bestFit="1" customWidth="1"/>
    <col min="4218" max="4219" width="8.81640625" style="243"/>
    <col min="4220" max="4220" width="11.6328125" style="243" customWidth="1"/>
    <col min="4221" max="4221" width="8.81640625" style="243"/>
    <col min="4222" max="4222" width="28.81640625" style="243" customWidth="1"/>
    <col min="4223" max="4223" width="12.36328125" style="243" customWidth="1"/>
    <col min="4224" max="4224" width="11.1796875" style="243" customWidth="1"/>
    <col min="4225" max="4352" width="8.81640625" style="243"/>
    <col min="4353" max="4353" width="5.6328125" style="243" customWidth="1"/>
    <col min="4354" max="4354" width="26.54296875" style="243" customWidth="1"/>
    <col min="4355" max="4355" width="11.453125" style="243" customWidth="1"/>
    <col min="4356" max="4356" width="7.453125" style="243" customWidth="1"/>
    <col min="4357" max="4357" width="8.54296875" style="243" customWidth="1"/>
    <col min="4358" max="4358" width="12.36328125" style="243" customWidth="1"/>
    <col min="4359" max="4359" width="11.81640625" style="243" customWidth="1"/>
    <col min="4360" max="4360" width="8.1796875" style="243" customWidth="1"/>
    <col min="4361" max="4361" width="12" style="243" customWidth="1"/>
    <col min="4362" max="4362" width="8.81640625" style="243" customWidth="1"/>
    <col min="4363" max="4363" width="11.08984375" style="243" customWidth="1"/>
    <col min="4364" max="4364" width="12.90625" style="243" customWidth="1"/>
    <col min="4365" max="4365" width="12.54296875" style="243" customWidth="1"/>
    <col min="4366" max="4366" width="9.6328125" style="243" customWidth="1"/>
    <col min="4367" max="4367" width="9.90625" style="243" customWidth="1"/>
    <col min="4368" max="4368" width="11.36328125" style="243" customWidth="1"/>
    <col min="4369" max="4369" width="11.54296875" style="243" customWidth="1"/>
    <col min="4370" max="4370" width="11.6328125" style="243" customWidth="1"/>
    <col min="4371" max="4371" width="10.36328125" style="243" customWidth="1"/>
    <col min="4372" max="4372" width="11.81640625" style="243" customWidth="1"/>
    <col min="4373" max="4373" width="12.08984375" style="243" customWidth="1"/>
    <col min="4374" max="4374" width="11" style="243" customWidth="1"/>
    <col min="4375" max="4375" width="12.08984375" style="243" customWidth="1"/>
    <col min="4376" max="4376" width="10.54296875" style="243" customWidth="1"/>
    <col min="4377" max="4377" width="9.90625" style="243" customWidth="1"/>
    <col min="4378" max="4378" width="10.81640625" style="243" customWidth="1"/>
    <col min="4379" max="4379" width="9.81640625" style="243" customWidth="1"/>
    <col min="4380" max="4380" width="11.1796875" style="243" customWidth="1"/>
    <col min="4381" max="4381" width="10.36328125" style="243" customWidth="1"/>
    <col min="4382" max="4382" width="11.90625" style="243" customWidth="1"/>
    <col min="4383" max="4383" width="8.81640625" style="243"/>
    <col min="4384" max="4384" width="13.90625" style="243" customWidth="1"/>
    <col min="4385" max="4385" width="10.90625" style="243" customWidth="1"/>
    <col min="4386" max="4386" width="11.453125" style="243" customWidth="1"/>
    <col min="4387" max="4387" width="11.81640625" style="243" customWidth="1"/>
    <col min="4388" max="4388" width="11.08984375" style="243" customWidth="1"/>
    <col min="4389" max="4389" width="10.90625" style="243" customWidth="1"/>
    <col min="4390" max="4393" width="8.81640625" style="243"/>
    <col min="4394" max="4394" width="11.453125" style="243" bestFit="1" customWidth="1"/>
    <col min="4395" max="4395" width="10.1796875" style="243" customWidth="1"/>
    <col min="4396" max="4396" width="11.54296875" style="243" customWidth="1"/>
    <col min="4397" max="4397" width="12.08984375" style="243" customWidth="1"/>
    <col min="4398" max="4398" width="13.1796875" style="243" customWidth="1"/>
    <col min="4399" max="4399" width="14.08984375" style="243" customWidth="1"/>
    <col min="4400" max="4400" width="11.81640625" style="243" customWidth="1"/>
    <col min="4401" max="4401" width="9.6328125" style="243" customWidth="1"/>
    <col min="4402" max="4405" width="8.81640625" style="243"/>
    <col min="4406" max="4406" width="28.81640625" style="243" customWidth="1"/>
    <col min="4407" max="4407" width="11.81640625" style="243" customWidth="1"/>
    <col min="4408" max="4408" width="10" style="243" customWidth="1"/>
    <col min="4409" max="4409" width="10.453125" style="243" customWidth="1"/>
    <col min="4410" max="4411" width="8.81640625" style="243"/>
    <col min="4412" max="4412" width="9.36328125" style="243" customWidth="1"/>
    <col min="4413" max="4413" width="18.453125" style="243" customWidth="1"/>
    <col min="4414" max="4414" width="11" style="243" customWidth="1"/>
    <col min="4415" max="4415" width="9.54296875" style="243" customWidth="1"/>
    <col min="4416" max="4416" width="10.6328125" style="243" customWidth="1"/>
    <col min="4417" max="4417" width="9.90625" style="243" customWidth="1"/>
    <col min="4418" max="4418" width="11.453125" style="243" customWidth="1"/>
    <col min="4419" max="4419" width="9.90625" style="243" customWidth="1"/>
    <col min="4420" max="4420" width="10" style="243" customWidth="1"/>
    <col min="4421" max="4421" width="6.81640625" style="243" customWidth="1"/>
    <col min="4422" max="4422" width="12.54296875" style="243" customWidth="1"/>
    <col min="4423" max="4423" width="9.54296875" style="243" customWidth="1"/>
    <col min="4424" max="4424" width="10.36328125" style="243" customWidth="1"/>
    <col min="4425" max="4425" width="7.81640625" style="243" customWidth="1"/>
    <col min="4426" max="4426" width="7.1796875" style="243" customWidth="1"/>
    <col min="4427" max="4427" width="17.6328125" style="243" customWidth="1"/>
    <col min="4428" max="4428" width="8.81640625" style="243" customWidth="1"/>
    <col min="4429" max="4429" width="13.08984375" style="243" bestFit="1" customWidth="1"/>
    <col min="4430" max="4430" width="13.81640625" style="243" customWidth="1"/>
    <col min="4431" max="4432" width="8.81640625" style="243"/>
    <col min="4433" max="4433" width="9" style="243" bestFit="1" customWidth="1"/>
    <col min="4434" max="4442" width="8.81640625" style="243"/>
    <col min="4443" max="4443" width="13.08984375" style="243" customWidth="1"/>
    <col min="4444" max="4444" width="8.81640625" style="243"/>
    <col min="4445" max="4445" width="9.90625" style="243" customWidth="1"/>
    <col min="4446" max="4449" width="8.81640625" style="243"/>
    <col min="4450" max="4450" width="8.54296875" style="243" customWidth="1"/>
    <col min="4451" max="4451" width="30.36328125" style="243" customWidth="1"/>
    <col min="4452" max="4452" width="9" style="243" bestFit="1" customWidth="1"/>
    <col min="4453" max="4453" width="8.81640625" style="243"/>
    <col min="4454" max="4454" width="5.90625" style="243" customWidth="1"/>
    <col min="4455" max="4455" width="6.90625" style="243" customWidth="1"/>
    <col min="4456" max="4456" width="23.90625" style="243" customWidth="1"/>
    <col min="4457" max="4463" width="8.81640625" style="243"/>
    <col min="4464" max="4464" width="9" style="243" bestFit="1" customWidth="1"/>
    <col min="4465" max="4466" width="8.81640625" style="243"/>
    <col min="4467" max="4467" width="32.90625" style="243" customWidth="1"/>
    <col min="4468" max="4468" width="16.6328125" style="243" customWidth="1"/>
    <col min="4469" max="4469" width="10.1796875" style="243" customWidth="1"/>
    <col min="4470" max="4470" width="12.453125" style="243" customWidth="1"/>
    <col min="4471" max="4471" width="10" style="243" bestFit="1" customWidth="1"/>
    <col min="4472" max="4472" width="8.81640625" style="243"/>
    <col min="4473" max="4473" width="9" style="243" bestFit="1" customWidth="1"/>
    <col min="4474" max="4475" width="8.81640625" style="243"/>
    <col min="4476" max="4476" width="11.6328125" style="243" customWidth="1"/>
    <col min="4477" max="4477" width="8.81640625" style="243"/>
    <col min="4478" max="4478" width="28.81640625" style="243" customWidth="1"/>
    <col min="4479" max="4479" width="12.36328125" style="243" customWidth="1"/>
    <col min="4480" max="4480" width="11.1796875" style="243" customWidth="1"/>
    <col min="4481" max="4608" width="8.81640625" style="243"/>
    <col min="4609" max="4609" width="5.6328125" style="243" customWidth="1"/>
    <col min="4610" max="4610" width="26.54296875" style="243" customWidth="1"/>
    <col min="4611" max="4611" width="11.453125" style="243" customWidth="1"/>
    <col min="4612" max="4612" width="7.453125" style="243" customWidth="1"/>
    <col min="4613" max="4613" width="8.54296875" style="243" customWidth="1"/>
    <col min="4614" max="4614" width="12.36328125" style="243" customWidth="1"/>
    <col min="4615" max="4615" width="11.81640625" style="243" customWidth="1"/>
    <col min="4616" max="4616" width="8.1796875" style="243" customWidth="1"/>
    <col min="4617" max="4617" width="12" style="243" customWidth="1"/>
    <col min="4618" max="4618" width="8.81640625" style="243" customWidth="1"/>
    <col min="4619" max="4619" width="11.08984375" style="243" customWidth="1"/>
    <col min="4620" max="4620" width="12.90625" style="243" customWidth="1"/>
    <col min="4621" max="4621" width="12.54296875" style="243" customWidth="1"/>
    <col min="4622" max="4622" width="9.6328125" style="243" customWidth="1"/>
    <col min="4623" max="4623" width="9.90625" style="243" customWidth="1"/>
    <col min="4624" max="4624" width="11.36328125" style="243" customWidth="1"/>
    <col min="4625" max="4625" width="11.54296875" style="243" customWidth="1"/>
    <col min="4626" max="4626" width="11.6328125" style="243" customWidth="1"/>
    <col min="4627" max="4627" width="10.36328125" style="243" customWidth="1"/>
    <col min="4628" max="4628" width="11.81640625" style="243" customWidth="1"/>
    <col min="4629" max="4629" width="12.08984375" style="243" customWidth="1"/>
    <col min="4630" max="4630" width="11" style="243" customWidth="1"/>
    <col min="4631" max="4631" width="12.08984375" style="243" customWidth="1"/>
    <col min="4632" max="4632" width="10.54296875" style="243" customWidth="1"/>
    <col min="4633" max="4633" width="9.90625" style="243" customWidth="1"/>
    <col min="4634" max="4634" width="10.81640625" style="243" customWidth="1"/>
    <col min="4635" max="4635" width="9.81640625" style="243" customWidth="1"/>
    <col min="4636" max="4636" width="11.1796875" style="243" customWidth="1"/>
    <col min="4637" max="4637" width="10.36328125" style="243" customWidth="1"/>
    <col min="4638" max="4638" width="11.90625" style="243" customWidth="1"/>
    <col min="4639" max="4639" width="8.81640625" style="243"/>
    <col min="4640" max="4640" width="13.90625" style="243" customWidth="1"/>
    <col min="4641" max="4641" width="10.90625" style="243" customWidth="1"/>
    <col min="4642" max="4642" width="11.453125" style="243" customWidth="1"/>
    <col min="4643" max="4643" width="11.81640625" style="243" customWidth="1"/>
    <col min="4644" max="4644" width="11.08984375" style="243" customWidth="1"/>
    <col min="4645" max="4645" width="10.90625" style="243" customWidth="1"/>
    <col min="4646" max="4649" width="8.81640625" style="243"/>
    <col min="4650" max="4650" width="11.453125" style="243" bestFit="1" customWidth="1"/>
    <col min="4651" max="4651" width="10.1796875" style="243" customWidth="1"/>
    <col min="4652" max="4652" width="11.54296875" style="243" customWidth="1"/>
    <col min="4653" max="4653" width="12.08984375" style="243" customWidth="1"/>
    <col min="4654" max="4654" width="13.1796875" style="243" customWidth="1"/>
    <col min="4655" max="4655" width="14.08984375" style="243" customWidth="1"/>
    <col min="4656" max="4656" width="11.81640625" style="243" customWidth="1"/>
    <col min="4657" max="4657" width="9.6328125" style="243" customWidth="1"/>
    <col min="4658" max="4661" width="8.81640625" style="243"/>
    <col min="4662" max="4662" width="28.81640625" style="243" customWidth="1"/>
    <col min="4663" max="4663" width="11.81640625" style="243" customWidth="1"/>
    <col min="4664" max="4664" width="10" style="243" customWidth="1"/>
    <col min="4665" max="4665" width="10.453125" style="243" customWidth="1"/>
    <col min="4666" max="4667" width="8.81640625" style="243"/>
    <col min="4668" max="4668" width="9.36328125" style="243" customWidth="1"/>
    <col min="4669" max="4669" width="18.453125" style="243" customWidth="1"/>
    <col min="4670" max="4670" width="11" style="243" customWidth="1"/>
    <col min="4671" max="4671" width="9.54296875" style="243" customWidth="1"/>
    <col min="4672" max="4672" width="10.6328125" style="243" customWidth="1"/>
    <col min="4673" max="4673" width="9.90625" style="243" customWidth="1"/>
    <col min="4674" max="4674" width="11.453125" style="243" customWidth="1"/>
    <col min="4675" max="4675" width="9.90625" style="243" customWidth="1"/>
    <col min="4676" max="4676" width="10" style="243" customWidth="1"/>
    <col min="4677" max="4677" width="6.81640625" style="243" customWidth="1"/>
    <col min="4678" max="4678" width="12.54296875" style="243" customWidth="1"/>
    <col min="4679" max="4679" width="9.54296875" style="243" customWidth="1"/>
    <col min="4680" max="4680" width="10.36328125" style="243" customWidth="1"/>
    <col min="4681" max="4681" width="7.81640625" style="243" customWidth="1"/>
    <col min="4682" max="4682" width="7.1796875" style="243" customWidth="1"/>
    <col min="4683" max="4683" width="17.6328125" style="243" customWidth="1"/>
    <col min="4684" max="4684" width="8.81640625" style="243" customWidth="1"/>
    <col min="4685" max="4685" width="13.08984375" style="243" bestFit="1" customWidth="1"/>
    <col min="4686" max="4686" width="13.81640625" style="243" customWidth="1"/>
    <col min="4687" max="4688" width="8.81640625" style="243"/>
    <col min="4689" max="4689" width="9" style="243" bestFit="1" customWidth="1"/>
    <col min="4690" max="4698" width="8.81640625" style="243"/>
    <col min="4699" max="4699" width="13.08984375" style="243" customWidth="1"/>
    <col min="4700" max="4700" width="8.81640625" style="243"/>
    <col min="4701" max="4701" width="9.90625" style="243" customWidth="1"/>
    <col min="4702" max="4705" width="8.81640625" style="243"/>
    <col min="4706" max="4706" width="8.54296875" style="243" customWidth="1"/>
    <col min="4707" max="4707" width="30.36328125" style="243" customWidth="1"/>
    <col min="4708" max="4708" width="9" style="243" bestFit="1" customWidth="1"/>
    <col min="4709" max="4709" width="8.81640625" style="243"/>
    <col min="4710" max="4710" width="5.90625" style="243" customWidth="1"/>
    <col min="4711" max="4711" width="6.90625" style="243" customWidth="1"/>
    <col min="4712" max="4712" width="23.90625" style="243" customWidth="1"/>
    <col min="4713" max="4719" width="8.81640625" style="243"/>
    <col min="4720" max="4720" width="9" style="243" bestFit="1" customWidth="1"/>
    <col min="4721" max="4722" width="8.81640625" style="243"/>
    <col min="4723" max="4723" width="32.90625" style="243" customWidth="1"/>
    <col min="4724" max="4724" width="16.6328125" style="243" customWidth="1"/>
    <col min="4725" max="4725" width="10.1796875" style="243" customWidth="1"/>
    <col min="4726" max="4726" width="12.453125" style="243" customWidth="1"/>
    <col min="4727" max="4727" width="10" style="243" bestFit="1" customWidth="1"/>
    <col min="4728" max="4728" width="8.81640625" style="243"/>
    <col min="4729" max="4729" width="9" style="243" bestFit="1" customWidth="1"/>
    <col min="4730" max="4731" width="8.81640625" style="243"/>
    <col min="4732" max="4732" width="11.6328125" style="243" customWidth="1"/>
    <col min="4733" max="4733" width="8.81640625" style="243"/>
    <col min="4734" max="4734" width="28.81640625" style="243" customWidth="1"/>
    <col min="4735" max="4735" width="12.36328125" style="243" customWidth="1"/>
    <col min="4736" max="4736" width="11.1796875" style="243" customWidth="1"/>
    <col min="4737" max="4864" width="8.81640625" style="243"/>
    <col min="4865" max="4865" width="5.6328125" style="243" customWidth="1"/>
    <col min="4866" max="4866" width="26.54296875" style="243" customWidth="1"/>
    <col min="4867" max="4867" width="11.453125" style="243" customWidth="1"/>
    <col min="4868" max="4868" width="7.453125" style="243" customWidth="1"/>
    <col min="4869" max="4869" width="8.54296875" style="243" customWidth="1"/>
    <col min="4870" max="4870" width="12.36328125" style="243" customWidth="1"/>
    <col min="4871" max="4871" width="11.81640625" style="243" customWidth="1"/>
    <col min="4872" max="4872" width="8.1796875" style="243" customWidth="1"/>
    <col min="4873" max="4873" width="12" style="243" customWidth="1"/>
    <col min="4874" max="4874" width="8.81640625" style="243" customWidth="1"/>
    <col min="4875" max="4875" width="11.08984375" style="243" customWidth="1"/>
    <col min="4876" max="4876" width="12.90625" style="243" customWidth="1"/>
    <col min="4877" max="4877" width="12.54296875" style="243" customWidth="1"/>
    <col min="4878" max="4878" width="9.6328125" style="243" customWidth="1"/>
    <col min="4879" max="4879" width="9.90625" style="243" customWidth="1"/>
    <col min="4880" max="4880" width="11.36328125" style="243" customWidth="1"/>
    <col min="4881" max="4881" width="11.54296875" style="243" customWidth="1"/>
    <col min="4882" max="4882" width="11.6328125" style="243" customWidth="1"/>
    <col min="4883" max="4883" width="10.36328125" style="243" customWidth="1"/>
    <col min="4884" max="4884" width="11.81640625" style="243" customWidth="1"/>
    <col min="4885" max="4885" width="12.08984375" style="243" customWidth="1"/>
    <col min="4886" max="4886" width="11" style="243" customWidth="1"/>
    <col min="4887" max="4887" width="12.08984375" style="243" customWidth="1"/>
    <col min="4888" max="4888" width="10.54296875" style="243" customWidth="1"/>
    <col min="4889" max="4889" width="9.90625" style="243" customWidth="1"/>
    <col min="4890" max="4890" width="10.81640625" style="243" customWidth="1"/>
    <col min="4891" max="4891" width="9.81640625" style="243" customWidth="1"/>
    <col min="4892" max="4892" width="11.1796875" style="243" customWidth="1"/>
    <col min="4893" max="4893" width="10.36328125" style="243" customWidth="1"/>
    <col min="4894" max="4894" width="11.90625" style="243" customWidth="1"/>
    <col min="4895" max="4895" width="8.81640625" style="243"/>
    <col min="4896" max="4896" width="13.90625" style="243" customWidth="1"/>
    <col min="4897" max="4897" width="10.90625" style="243" customWidth="1"/>
    <col min="4898" max="4898" width="11.453125" style="243" customWidth="1"/>
    <col min="4899" max="4899" width="11.81640625" style="243" customWidth="1"/>
    <col min="4900" max="4900" width="11.08984375" style="243" customWidth="1"/>
    <col min="4901" max="4901" width="10.90625" style="243" customWidth="1"/>
    <col min="4902" max="4905" width="8.81640625" style="243"/>
    <col min="4906" max="4906" width="11.453125" style="243" bestFit="1" customWidth="1"/>
    <col min="4907" max="4907" width="10.1796875" style="243" customWidth="1"/>
    <col min="4908" max="4908" width="11.54296875" style="243" customWidth="1"/>
    <col min="4909" max="4909" width="12.08984375" style="243" customWidth="1"/>
    <col min="4910" max="4910" width="13.1796875" style="243" customWidth="1"/>
    <col min="4911" max="4911" width="14.08984375" style="243" customWidth="1"/>
    <col min="4912" max="4912" width="11.81640625" style="243" customWidth="1"/>
    <col min="4913" max="4913" width="9.6328125" style="243" customWidth="1"/>
    <col min="4914" max="4917" width="8.81640625" style="243"/>
    <col min="4918" max="4918" width="28.81640625" style="243" customWidth="1"/>
    <col min="4919" max="4919" width="11.81640625" style="243" customWidth="1"/>
    <col min="4920" max="4920" width="10" style="243" customWidth="1"/>
    <col min="4921" max="4921" width="10.453125" style="243" customWidth="1"/>
    <col min="4922" max="4923" width="8.81640625" style="243"/>
    <col min="4924" max="4924" width="9.36328125" style="243" customWidth="1"/>
    <col min="4925" max="4925" width="18.453125" style="243" customWidth="1"/>
    <col min="4926" max="4926" width="11" style="243" customWidth="1"/>
    <col min="4927" max="4927" width="9.54296875" style="243" customWidth="1"/>
    <col min="4928" max="4928" width="10.6328125" style="243" customWidth="1"/>
    <col min="4929" max="4929" width="9.90625" style="243" customWidth="1"/>
    <col min="4930" max="4930" width="11.453125" style="243" customWidth="1"/>
    <col min="4931" max="4931" width="9.90625" style="243" customWidth="1"/>
    <col min="4932" max="4932" width="10" style="243" customWidth="1"/>
    <col min="4933" max="4933" width="6.81640625" style="243" customWidth="1"/>
    <col min="4934" max="4934" width="12.54296875" style="243" customWidth="1"/>
    <col min="4935" max="4935" width="9.54296875" style="243" customWidth="1"/>
    <col min="4936" max="4936" width="10.36328125" style="243" customWidth="1"/>
    <col min="4937" max="4937" width="7.81640625" style="243" customWidth="1"/>
    <col min="4938" max="4938" width="7.1796875" style="243" customWidth="1"/>
    <col min="4939" max="4939" width="17.6328125" style="243" customWidth="1"/>
    <col min="4940" max="4940" width="8.81640625" style="243" customWidth="1"/>
    <col min="4941" max="4941" width="13.08984375" style="243" bestFit="1" customWidth="1"/>
    <col min="4942" max="4942" width="13.81640625" style="243" customWidth="1"/>
    <col min="4943" max="4944" width="8.81640625" style="243"/>
    <col min="4945" max="4945" width="9" style="243" bestFit="1" customWidth="1"/>
    <col min="4946" max="4954" width="8.81640625" style="243"/>
    <col min="4955" max="4955" width="13.08984375" style="243" customWidth="1"/>
    <col min="4956" max="4956" width="8.81640625" style="243"/>
    <col min="4957" max="4957" width="9.90625" style="243" customWidth="1"/>
    <col min="4958" max="4961" width="8.81640625" style="243"/>
    <col min="4962" max="4962" width="8.54296875" style="243" customWidth="1"/>
    <col min="4963" max="4963" width="30.36328125" style="243" customWidth="1"/>
    <col min="4964" max="4964" width="9" style="243" bestFit="1" customWidth="1"/>
    <col min="4965" max="4965" width="8.81640625" style="243"/>
    <col min="4966" max="4966" width="5.90625" style="243" customWidth="1"/>
    <col min="4967" max="4967" width="6.90625" style="243" customWidth="1"/>
    <col min="4968" max="4968" width="23.90625" style="243" customWidth="1"/>
    <col min="4969" max="4975" width="8.81640625" style="243"/>
    <col min="4976" max="4976" width="9" style="243" bestFit="1" customWidth="1"/>
    <col min="4977" max="4978" width="8.81640625" style="243"/>
    <col min="4979" max="4979" width="32.90625" style="243" customWidth="1"/>
    <col min="4980" max="4980" width="16.6328125" style="243" customWidth="1"/>
    <col min="4981" max="4981" width="10.1796875" style="243" customWidth="1"/>
    <col min="4982" max="4982" width="12.453125" style="243" customWidth="1"/>
    <col min="4983" max="4983" width="10" style="243" bestFit="1" customWidth="1"/>
    <col min="4984" max="4984" width="8.81640625" style="243"/>
    <col min="4985" max="4985" width="9" style="243" bestFit="1" customWidth="1"/>
    <col min="4986" max="4987" width="8.81640625" style="243"/>
    <col min="4988" max="4988" width="11.6328125" style="243" customWidth="1"/>
    <col min="4989" max="4989" width="8.81640625" style="243"/>
    <col min="4990" max="4990" width="28.81640625" style="243" customWidth="1"/>
    <col min="4991" max="4991" width="12.36328125" style="243" customWidth="1"/>
    <col min="4992" max="4992" width="11.1796875" style="243" customWidth="1"/>
    <col min="4993" max="5120" width="8.81640625" style="243"/>
    <col min="5121" max="5121" width="5.6328125" style="243" customWidth="1"/>
    <col min="5122" max="5122" width="26.54296875" style="243" customWidth="1"/>
    <col min="5123" max="5123" width="11.453125" style="243" customWidth="1"/>
    <col min="5124" max="5124" width="7.453125" style="243" customWidth="1"/>
    <col min="5125" max="5125" width="8.54296875" style="243" customWidth="1"/>
    <col min="5126" max="5126" width="12.36328125" style="243" customWidth="1"/>
    <col min="5127" max="5127" width="11.81640625" style="243" customWidth="1"/>
    <col min="5128" max="5128" width="8.1796875" style="243" customWidth="1"/>
    <col min="5129" max="5129" width="12" style="243" customWidth="1"/>
    <col min="5130" max="5130" width="8.81640625" style="243" customWidth="1"/>
    <col min="5131" max="5131" width="11.08984375" style="243" customWidth="1"/>
    <col min="5132" max="5132" width="12.90625" style="243" customWidth="1"/>
    <col min="5133" max="5133" width="12.54296875" style="243" customWidth="1"/>
    <col min="5134" max="5134" width="9.6328125" style="243" customWidth="1"/>
    <col min="5135" max="5135" width="9.90625" style="243" customWidth="1"/>
    <col min="5136" max="5136" width="11.36328125" style="243" customWidth="1"/>
    <col min="5137" max="5137" width="11.54296875" style="243" customWidth="1"/>
    <col min="5138" max="5138" width="11.6328125" style="243" customWidth="1"/>
    <col min="5139" max="5139" width="10.36328125" style="243" customWidth="1"/>
    <col min="5140" max="5140" width="11.81640625" style="243" customWidth="1"/>
    <col min="5141" max="5141" width="12.08984375" style="243" customWidth="1"/>
    <col min="5142" max="5142" width="11" style="243" customWidth="1"/>
    <col min="5143" max="5143" width="12.08984375" style="243" customWidth="1"/>
    <col min="5144" max="5144" width="10.54296875" style="243" customWidth="1"/>
    <col min="5145" max="5145" width="9.90625" style="243" customWidth="1"/>
    <col min="5146" max="5146" width="10.81640625" style="243" customWidth="1"/>
    <col min="5147" max="5147" width="9.81640625" style="243" customWidth="1"/>
    <col min="5148" max="5148" width="11.1796875" style="243" customWidth="1"/>
    <col min="5149" max="5149" width="10.36328125" style="243" customWidth="1"/>
    <col min="5150" max="5150" width="11.90625" style="243" customWidth="1"/>
    <col min="5151" max="5151" width="8.81640625" style="243"/>
    <col min="5152" max="5152" width="13.90625" style="243" customWidth="1"/>
    <col min="5153" max="5153" width="10.90625" style="243" customWidth="1"/>
    <col min="5154" max="5154" width="11.453125" style="243" customWidth="1"/>
    <col min="5155" max="5155" width="11.81640625" style="243" customWidth="1"/>
    <col min="5156" max="5156" width="11.08984375" style="243" customWidth="1"/>
    <col min="5157" max="5157" width="10.90625" style="243" customWidth="1"/>
    <col min="5158" max="5161" width="8.81640625" style="243"/>
    <col min="5162" max="5162" width="11.453125" style="243" bestFit="1" customWidth="1"/>
    <col min="5163" max="5163" width="10.1796875" style="243" customWidth="1"/>
    <col min="5164" max="5164" width="11.54296875" style="243" customWidth="1"/>
    <col min="5165" max="5165" width="12.08984375" style="243" customWidth="1"/>
    <col min="5166" max="5166" width="13.1796875" style="243" customWidth="1"/>
    <col min="5167" max="5167" width="14.08984375" style="243" customWidth="1"/>
    <col min="5168" max="5168" width="11.81640625" style="243" customWidth="1"/>
    <col min="5169" max="5169" width="9.6328125" style="243" customWidth="1"/>
    <col min="5170" max="5173" width="8.81640625" style="243"/>
    <col min="5174" max="5174" width="28.81640625" style="243" customWidth="1"/>
    <col min="5175" max="5175" width="11.81640625" style="243" customWidth="1"/>
    <col min="5176" max="5176" width="10" style="243" customWidth="1"/>
    <col min="5177" max="5177" width="10.453125" style="243" customWidth="1"/>
    <col min="5178" max="5179" width="8.81640625" style="243"/>
    <col min="5180" max="5180" width="9.36328125" style="243" customWidth="1"/>
    <col min="5181" max="5181" width="18.453125" style="243" customWidth="1"/>
    <col min="5182" max="5182" width="11" style="243" customWidth="1"/>
    <col min="5183" max="5183" width="9.54296875" style="243" customWidth="1"/>
    <col min="5184" max="5184" width="10.6328125" style="243" customWidth="1"/>
    <col min="5185" max="5185" width="9.90625" style="243" customWidth="1"/>
    <col min="5186" max="5186" width="11.453125" style="243" customWidth="1"/>
    <col min="5187" max="5187" width="9.90625" style="243" customWidth="1"/>
    <col min="5188" max="5188" width="10" style="243" customWidth="1"/>
    <col min="5189" max="5189" width="6.81640625" style="243" customWidth="1"/>
    <col min="5190" max="5190" width="12.54296875" style="243" customWidth="1"/>
    <col min="5191" max="5191" width="9.54296875" style="243" customWidth="1"/>
    <col min="5192" max="5192" width="10.36328125" style="243" customWidth="1"/>
    <col min="5193" max="5193" width="7.81640625" style="243" customWidth="1"/>
    <col min="5194" max="5194" width="7.1796875" style="243" customWidth="1"/>
    <col min="5195" max="5195" width="17.6328125" style="243" customWidth="1"/>
    <col min="5196" max="5196" width="8.81640625" style="243" customWidth="1"/>
    <col min="5197" max="5197" width="13.08984375" style="243" bestFit="1" customWidth="1"/>
    <col min="5198" max="5198" width="13.81640625" style="243" customWidth="1"/>
    <col min="5199" max="5200" width="8.81640625" style="243"/>
    <col min="5201" max="5201" width="9" style="243" bestFit="1" customWidth="1"/>
    <col min="5202" max="5210" width="8.81640625" style="243"/>
    <col min="5211" max="5211" width="13.08984375" style="243" customWidth="1"/>
    <col min="5212" max="5212" width="8.81640625" style="243"/>
    <col min="5213" max="5213" width="9.90625" style="243" customWidth="1"/>
    <col min="5214" max="5217" width="8.81640625" style="243"/>
    <col min="5218" max="5218" width="8.54296875" style="243" customWidth="1"/>
    <col min="5219" max="5219" width="30.36328125" style="243" customWidth="1"/>
    <col min="5220" max="5220" width="9" style="243" bestFit="1" customWidth="1"/>
    <col min="5221" max="5221" width="8.81640625" style="243"/>
    <col min="5222" max="5222" width="5.90625" style="243" customWidth="1"/>
    <col min="5223" max="5223" width="6.90625" style="243" customWidth="1"/>
    <col min="5224" max="5224" width="23.90625" style="243" customWidth="1"/>
    <col min="5225" max="5231" width="8.81640625" style="243"/>
    <col min="5232" max="5232" width="9" style="243" bestFit="1" customWidth="1"/>
    <col min="5233" max="5234" width="8.81640625" style="243"/>
    <col min="5235" max="5235" width="32.90625" style="243" customWidth="1"/>
    <col min="5236" max="5236" width="16.6328125" style="243" customWidth="1"/>
    <col min="5237" max="5237" width="10.1796875" style="243" customWidth="1"/>
    <col min="5238" max="5238" width="12.453125" style="243" customWidth="1"/>
    <col min="5239" max="5239" width="10" style="243" bestFit="1" customWidth="1"/>
    <col min="5240" max="5240" width="8.81640625" style="243"/>
    <col min="5241" max="5241" width="9" style="243" bestFit="1" customWidth="1"/>
    <col min="5242" max="5243" width="8.81640625" style="243"/>
    <col min="5244" max="5244" width="11.6328125" style="243" customWidth="1"/>
    <col min="5245" max="5245" width="8.81640625" style="243"/>
    <col min="5246" max="5246" width="28.81640625" style="243" customWidth="1"/>
    <col min="5247" max="5247" width="12.36328125" style="243" customWidth="1"/>
    <col min="5248" max="5248" width="11.1796875" style="243" customWidth="1"/>
    <col min="5249" max="5376" width="8.81640625" style="243"/>
    <col min="5377" max="5377" width="5.6328125" style="243" customWidth="1"/>
    <col min="5378" max="5378" width="26.54296875" style="243" customWidth="1"/>
    <col min="5379" max="5379" width="11.453125" style="243" customWidth="1"/>
    <col min="5380" max="5380" width="7.453125" style="243" customWidth="1"/>
    <col min="5381" max="5381" width="8.54296875" style="243" customWidth="1"/>
    <col min="5382" max="5382" width="12.36328125" style="243" customWidth="1"/>
    <col min="5383" max="5383" width="11.81640625" style="243" customWidth="1"/>
    <col min="5384" max="5384" width="8.1796875" style="243" customWidth="1"/>
    <col min="5385" max="5385" width="12" style="243" customWidth="1"/>
    <col min="5386" max="5386" width="8.81640625" style="243" customWidth="1"/>
    <col min="5387" max="5387" width="11.08984375" style="243" customWidth="1"/>
    <col min="5388" max="5388" width="12.90625" style="243" customWidth="1"/>
    <col min="5389" max="5389" width="12.54296875" style="243" customWidth="1"/>
    <col min="5390" max="5390" width="9.6328125" style="243" customWidth="1"/>
    <col min="5391" max="5391" width="9.90625" style="243" customWidth="1"/>
    <col min="5392" max="5392" width="11.36328125" style="243" customWidth="1"/>
    <col min="5393" max="5393" width="11.54296875" style="243" customWidth="1"/>
    <col min="5394" max="5394" width="11.6328125" style="243" customWidth="1"/>
    <col min="5395" max="5395" width="10.36328125" style="243" customWidth="1"/>
    <col min="5396" max="5396" width="11.81640625" style="243" customWidth="1"/>
    <col min="5397" max="5397" width="12.08984375" style="243" customWidth="1"/>
    <col min="5398" max="5398" width="11" style="243" customWidth="1"/>
    <col min="5399" max="5399" width="12.08984375" style="243" customWidth="1"/>
    <col min="5400" max="5400" width="10.54296875" style="243" customWidth="1"/>
    <col min="5401" max="5401" width="9.90625" style="243" customWidth="1"/>
    <col min="5402" max="5402" width="10.81640625" style="243" customWidth="1"/>
    <col min="5403" max="5403" width="9.81640625" style="243" customWidth="1"/>
    <col min="5404" max="5404" width="11.1796875" style="243" customWidth="1"/>
    <col min="5405" max="5405" width="10.36328125" style="243" customWidth="1"/>
    <col min="5406" max="5406" width="11.90625" style="243" customWidth="1"/>
    <col min="5407" max="5407" width="8.81640625" style="243"/>
    <col min="5408" max="5408" width="13.90625" style="243" customWidth="1"/>
    <col min="5409" max="5409" width="10.90625" style="243" customWidth="1"/>
    <col min="5410" max="5410" width="11.453125" style="243" customWidth="1"/>
    <col min="5411" max="5411" width="11.81640625" style="243" customWidth="1"/>
    <col min="5412" max="5412" width="11.08984375" style="243" customWidth="1"/>
    <col min="5413" max="5413" width="10.90625" style="243" customWidth="1"/>
    <col min="5414" max="5417" width="8.81640625" style="243"/>
    <col min="5418" max="5418" width="11.453125" style="243" bestFit="1" customWidth="1"/>
    <col min="5419" max="5419" width="10.1796875" style="243" customWidth="1"/>
    <col min="5420" max="5420" width="11.54296875" style="243" customWidth="1"/>
    <col min="5421" max="5421" width="12.08984375" style="243" customWidth="1"/>
    <col min="5422" max="5422" width="13.1796875" style="243" customWidth="1"/>
    <col min="5423" max="5423" width="14.08984375" style="243" customWidth="1"/>
    <col min="5424" max="5424" width="11.81640625" style="243" customWidth="1"/>
    <col min="5425" max="5425" width="9.6328125" style="243" customWidth="1"/>
    <col min="5426" max="5429" width="8.81640625" style="243"/>
    <col min="5430" max="5430" width="28.81640625" style="243" customWidth="1"/>
    <col min="5431" max="5431" width="11.81640625" style="243" customWidth="1"/>
    <col min="5432" max="5432" width="10" style="243" customWidth="1"/>
    <col min="5433" max="5433" width="10.453125" style="243" customWidth="1"/>
    <col min="5434" max="5435" width="8.81640625" style="243"/>
    <col min="5436" max="5436" width="9.36328125" style="243" customWidth="1"/>
    <col min="5437" max="5437" width="18.453125" style="243" customWidth="1"/>
    <col min="5438" max="5438" width="11" style="243" customWidth="1"/>
    <col min="5439" max="5439" width="9.54296875" style="243" customWidth="1"/>
    <col min="5440" max="5440" width="10.6328125" style="243" customWidth="1"/>
    <col min="5441" max="5441" width="9.90625" style="243" customWidth="1"/>
    <col min="5442" max="5442" width="11.453125" style="243" customWidth="1"/>
    <col min="5443" max="5443" width="9.90625" style="243" customWidth="1"/>
    <col min="5444" max="5444" width="10" style="243" customWidth="1"/>
    <col min="5445" max="5445" width="6.81640625" style="243" customWidth="1"/>
    <col min="5446" max="5446" width="12.54296875" style="243" customWidth="1"/>
    <col min="5447" max="5447" width="9.54296875" style="243" customWidth="1"/>
    <col min="5448" max="5448" width="10.36328125" style="243" customWidth="1"/>
    <col min="5449" max="5449" width="7.81640625" style="243" customWidth="1"/>
    <col min="5450" max="5450" width="7.1796875" style="243" customWidth="1"/>
    <col min="5451" max="5451" width="17.6328125" style="243" customWidth="1"/>
    <col min="5452" max="5452" width="8.81640625" style="243" customWidth="1"/>
    <col min="5453" max="5453" width="13.08984375" style="243" bestFit="1" customWidth="1"/>
    <col min="5454" max="5454" width="13.81640625" style="243" customWidth="1"/>
    <col min="5455" max="5456" width="8.81640625" style="243"/>
    <col min="5457" max="5457" width="9" style="243" bestFit="1" customWidth="1"/>
    <col min="5458" max="5466" width="8.81640625" style="243"/>
    <col min="5467" max="5467" width="13.08984375" style="243" customWidth="1"/>
    <col min="5468" max="5468" width="8.81640625" style="243"/>
    <col min="5469" max="5469" width="9.90625" style="243" customWidth="1"/>
    <col min="5470" max="5473" width="8.81640625" style="243"/>
    <col min="5474" max="5474" width="8.54296875" style="243" customWidth="1"/>
    <col min="5475" max="5475" width="30.36328125" style="243" customWidth="1"/>
    <col min="5476" max="5476" width="9" style="243" bestFit="1" customWidth="1"/>
    <col min="5477" max="5477" width="8.81640625" style="243"/>
    <col min="5478" max="5478" width="5.90625" style="243" customWidth="1"/>
    <col min="5479" max="5479" width="6.90625" style="243" customWidth="1"/>
    <col min="5480" max="5480" width="23.90625" style="243" customWidth="1"/>
    <col min="5481" max="5487" width="8.81640625" style="243"/>
    <col min="5488" max="5488" width="9" style="243" bestFit="1" customWidth="1"/>
    <col min="5489" max="5490" width="8.81640625" style="243"/>
    <col min="5491" max="5491" width="32.90625" style="243" customWidth="1"/>
    <col min="5492" max="5492" width="16.6328125" style="243" customWidth="1"/>
    <col min="5493" max="5493" width="10.1796875" style="243" customWidth="1"/>
    <col min="5494" max="5494" width="12.453125" style="243" customWidth="1"/>
    <col min="5495" max="5495" width="10" style="243" bestFit="1" customWidth="1"/>
    <col min="5496" max="5496" width="8.81640625" style="243"/>
    <col min="5497" max="5497" width="9" style="243" bestFit="1" customWidth="1"/>
    <col min="5498" max="5499" width="8.81640625" style="243"/>
    <col min="5500" max="5500" width="11.6328125" style="243" customWidth="1"/>
    <col min="5501" max="5501" width="8.81640625" style="243"/>
    <col min="5502" max="5502" width="28.81640625" style="243" customWidth="1"/>
    <col min="5503" max="5503" width="12.36328125" style="243" customWidth="1"/>
    <col min="5504" max="5504" width="11.1796875" style="243" customWidth="1"/>
    <col min="5505" max="5632" width="8.81640625" style="243"/>
    <col min="5633" max="5633" width="5.6328125" style="243" customWidth="1"/>
    <col min="5634" max="5634" width="26.54296875" style="243" customWidth="1"/>
    <col min="5635" max="5635" width="11.453125" style="243" customWidth="1"/>
    <col min="5636" max="5636" width="7.453125" style="243" customWidth="1"/>
    <col min="5637" max="5637" width="8.54296875" style="243" customWidth="1"/>
    <col min="5638" max="5638" width="12.36328125" style="243" customWidth="1"/>
    <col min="5639" max="5639" width="11.81640625" style="243" customWidth="1"/>
    <col min="5640" max="5640" width="8.1796875" style="243" customWidth="1"/>
    <col min="5641" max="5641" width="12" style="243" customWidth="1"/>
    <col min="5642" max="5642" width="8.81640625" style="243" customWidth="1"/>
    <col min="5643" max="5643" width="11.08984375" style="243" customWidth="1"/>
    <col min="5644" max="5644" width="12.90625" style="243" customWidth="1"/>
    <col min="5645" max="5645" width="12.54296875" style="243" customWidth="1"/>
    <col min="5646" max="5646" width="9.6328125" style="243" customWidth="1"/>
    <col min="5647" max="5647" width="9.90625" style="243" customWidth="1"/>
    <col min="5648" max="5648" width="11.36328125" style="243" customWidth="1"/>
    <col min="5649" max="5649" width="11.54296875" style="243" customWidth="1"/>
    <col min="5650" max="5650" width="11.6328125" style="243" customWidth="1"/>
    <col min="5651" max="5651" width="10.36328125" style="243" customWidth="1"/>
    <col min="5652" max="5652" width="11.81640625" style="243" customWidth="1"/>
    <col min="5653" max="5653" width="12.08984375" style="243" customWidth="1"/>
    <col min="5654" max="5654" width="11" style="243" customWidth="1"/>
    <col min="5655" max="5655" width="12.08984375" style="243" customWidth="1"/>
    <col min="5656" max="5656" width="10.54296875" style="243" customWidth="1"/>
    <col min="5657" max="5657" width="9.90625" style="243" customWidth="1"/>
    <col min="5658" max="5658" width="10.81640625" style="243" customWidth="1"/>
    <col min="5659" max="5659" width="9.81640625" style="243" customWidth="1"/>
    <col min="5660" max="5660" width="11.1796875" style="243" customWidth="1"/>
    <col min="5661" max="5661" width="10.36328125" style="243" customWidth="1"/>
    <col min="5662" max="5662" width="11.90625" style="243" customWidth="1"/>
    <col min="5663" max="5663" width="8.81640625" style="243"/>
    <col min="5664" max="5664" width="13.90625" style="243" customWidth="1"/>
    <col min="5665" max="5665" width="10.90625" style="243" customWidth="1"/>
    <col min="5666" max="5666" width="11.453125" style="243" customWidth="1"/>
    <col min="5667" max="5667" width="11.81640625" style="243" customWidth="1"/>
    <col min="5668" max="5668" width="11.08984375" style="243" customWidth="1"/>
    <col min="5669" max="5669" width="10.90625" style="243" customWidth="1"/>
    <col min="5670" max="5673" width="8.81640625" style="243"/>
    <col min="5674" max="5674" width="11.453125" style="243" bestFit="1" customWidth="1"/>
    <col min="5675" max="5675" width="10.1796875" style="243" customWidth="1"/>
    <col min="5676" max="5676" width="11.54296875" style="243" customWidth="1"/>
    <col min="5677" max="5677" width="12.08984375" style="243" customWidth="1"/>
    <col min="5678" max="5678" width="13.1796875" style="243" customWidth="1"/>
    <col min="5679" max="5679" width="14.08984375" style="243" customWidth="1"/>
    <col min="5680" max="5680" width="11.81640625" style="243" customWidth="1"/>
    <col min="5681" max="5681" width="9.6328125" style="243" customWidth="1"/>
    <col min="5682" max="5685" width="8.81640625" style="243"/>
    <col min="5686" max="5686" width="28.81640625" style="243" customWidth="1"/>
    <col min="5687" max="5687" width="11.81640625" style="243" customWidth="1"/>
    <col min="5688" max="5688" width="10" style="243" customWidth="1"/>
    <col min="5689" max="5689" width="10.453125" style="243" customWidth="1"/>
    <col min="5690" max="5691" width="8.81640625" style="243"/>
    <col min="5692" max="5692" width="9.36328125" style="243" customWidth="1"/>
    <col min="5693" max="5693" width="18.453125" style="243" customWidth="1"/>
    <col min="5694" max="5694" width="11" style="243" customWidth="1"/>
    <col min="5695" max="5695" width="9.54296875" style="243" customWidth="1"/>
    <col min="5696" max="5696" width="10.6328125" style="243" customWidth="1"/>
    <col min="5697" max="5697" width="9.90625" style="243" customWidth="1"/>
    <col min="5698" max="5698" width="11.453125" style="243" customWidth="1"/>
    <col min="5699" max="5699" width="9.90625" style="243" customWidth="1"/>
    <col min="5700" max="5700" width="10" style="243" customWidth="1"/>
    <col min="5701" max="5701" width="6.81640625" style="243" customWidth="1"/>
    <col min="5702" max="5702" width="12.54296875" style="243" customWidth="1"/>
    <col min="5703" max="5703" width="9.54296875" style="243" customWidth="1"/>
    <col min="5704" max="5704" width="10.36328125" style="243" customWidth="1"/>
    <col min="5705" max="5705" width="7.81640625" style="243" customWidth="1"/>
    <col min="5706" max="5706" width="7.1796875" style="243" customWidth="1"/>
    <col min="5707" max="5707" width="17.6328125" style="243" customWidth="1"/>
    <col min="5708" max="5708" width="8.81640625" style="243" customWidth="1"/>
    <col min="5709" max="5709" width="13.08984375" style="243" bestFit="1" customWidth="1"/>
    <col min="5710" max="5710" width="13.81640625" style="243" customWidth="1"/>
    <col min="5711" max="5712" width="8.81640625" style="243"/>
    <col min="5713" max="5713" width="9" style="243" bestFit="1" customWidth="1"/>
    <col min="5714" max="5722" width="8.81640625" style="243"/>
    <col min="5723" max="5723" width="13.08984375" style="243" customWidth="1"/>
    <col min="5724" max="5724" width="8.81640625" style="243"/>
    <col min="5725" max="5725" width="9.90625" style="243" customWidth="1"/>
    <col min="5726" max="5729" width="8.81640625" style="243"/>
    <col min="5730" max="5730" width="8.54296875" style="243" customWidth="1"/>
    <col min="5731" max="5731" width="30.36328125" style="243" customWidth="1"/>
    <col min="5732" max="5732" width="9" style="243" bestFit="1" customWidth="1"/>
    <col min="5733" max="5733" width="8.81640625" style="243"/>
    <col min="5734" max="5734" width="5.90625" style="243" customWidth="1"/>
    <col min="5735" max="5735" width="6.90625" style="243" customWidth="1"/>
    <col min="5736" max="5736" width="23.90625" style="243" customWidth="1"/>
    <col min="5737" max="5743" width="8.81640625" style="243"/>
    <col min="5744" max="5744" width="9" style="243" bestFit="1" customWidth="1"/>
    <col min="5745" max="5746" width="8.81640625" style="243"/>
    <col min="5747" max="5747" width="32.90625" style="243" customWidth="1"/>
    <col min="5748" max="5748" width="16.6328125" style="243" customWidth="1"/>
    <col min="5749" max="5749" width="10.1796875" style="243" customWidth="1"/>
    <col min="5750" max="5750" width="12.453125" style="243" customWidth="1"/>
    <col min="5751" max="5751" width="10" style="243" bestFit="1" customWidth="1"/>
    <col min="5752" max="5752" width="8.81640625" style="243"/>
    <col min="5753" max="5753" width="9" style="243" bestFit="1" customWidth="1"/>
    <col min="5754" max="5755" width="8.81640625" style="243"/>
    <col min="5756" max="5756" width="11.6328125" style="243" customWidth="1"/>
    <col min="5757" max="5757" width="8.81640625" style="243"/>
    <col min="5758" max="5758" width="28.81640625" style="243" customWidth="1"/>
    <col min="5759" max="5759" width="12.36328125" style="243" customWidth="1"/>
    <col min="5760" max="5760" width="11.1796875" style="243" customWidth="1"/>
    <col min="5761" max="5888" width="8.81640625" style="243"/>
    <col min="5889" max="5889" width="5.6328125" style="243" customWidth="1"/>
    <col min="5890" max="5890" width="26.54296875" style="243" customWidth="1"/>
    <col min="5891" max="5891" width="11.453125" style="243" customWidth="1"/>
    <col min="5892" max="5892" width="7.453125" style="243" customWidth="1"/>
    <col min="5893" max="5893" width="8.54296875" style="243" customWidth="1"/>
    <col min="5894" max="5894" width="12.36328125" style="243" customWidth="1"/>
    <col min="5895" max="5895" width="11.81640625" style="243" customWidth="1"/>
    <col min="5896" max="5896" width="8.1796875" style="243" customWidth="1"/>
    <col min="5897" max="5897" width="12" style="243" customWidth="1"/>
    <col min="5898" max="5898" width="8.81640625" style="243" customWidth="1"/>
    <col min="5899" max="5899" width="11.08984375" style="243" customWidth="1"/>
    <col min="5900" max="5900" width="12.90625" style="243" customWidth="1"/>
    <col min="5901" max="5901" width="12.54296875" style="243" customWidth="1"/>
    <col min="5902" max="5902" width="9.6328125" style="243" customWidth="1"/>
    <col min="5903" max="5903" width="9.90625" style="243" customWidth="1"/>
    <col min="5904" max="5904" width="11.36328125" style="243" customWidth="1"/>
    <col min="5905" max="5905" width="11.54296875" style="243" customWidth="1"/>
    <col min="5906" max="5906" width="11.6328125" style="243" customWidth="1"/>
    <col min="5907" max="5907" width="10.36328125" style="243" customWidth="1"/>
    <col min="5908" max="5908" width="11.81640625" style="243" customWidth="1"/>
    <col min="5909" max="5909" width="12.08984375" style="243" customWidth="1"/>
    <col min="5910" max="5910" width="11" style="243" customWidth="1"/>
    <col min="5911" max="5911" width="12.08984375" style="243" customWidth="1"/>
    <col min="5912" max="5912" width="10.54296875" style="243" customWidth="1"/>
    <col min="5913" max="5913" width="9.90625" style="243" customWidth="1"/>
    <col min="5914" max="5914" width="10.81640625" style="243" customWidth="1"/>
    <col min="5915" max="5915" width="9.81640625" style="243" customWidth="1"/>
    <col min="5916" max="5916" width="11.1796875" style="243" customWidth="1"/>
    <col min="5917" max="5917" width="10.36328125" style="243" customWidth="1"/>
    <col min="5918" max="5918" width="11.90625" style="243" customWidth="1"/>
    <col min="5919" max="5919" width="8.81640625" style="243"/>
    <col min="5920" max="5920" width="13.90625" style="243" customWidth="1"/>
    <col min="5921" max="5921" width="10.90625" style="243" customWidth="1"/>
    <col min="5922" max="5922" width="11.453125" style="243" customWidth="1"/>
    <col min="5923" max="5923" width="11.81640625" style="243" customWidth="1"/>
    <col min="5924" max="5924" width="11.08984375" style="243" customWidth="1"/>
    <col min="5925" max="5925" width="10.90625" style="243" customWidth="1"/>
    <col min="5926" max="5929" width="8.81640625" style="243"/>
    <col min="5930" max="5930" width="11.453125" style="243" bestFit="1" customWidth="1"/>
    <col min="5931" max="5931" width="10.1796875" style="243" customWidth="1"/>
    <col min="5932" max="5932" width="11.54296875" style="243" customWidth="1"/>
    <col min="5933" max="5933" width="12.08984375" style="243" customWidth="1"/>
    <col min="5934" max="5934" width="13.1796875" style="243" customWidth="1"/>
    <col min="5935" max="5935" width="14.08984375" style="243" customWidth="1"/>
    <col min="5936" max="5936" width="11.81640625" style="243" customWidth="1"/>
    <col min="5937" max="5937" width="9.6328125" style="243" customWidth="1"/>
    <col min="5938" max="5941" width="8.81640625" style="243"/>
    <col min="5942" max="5942" width="28.81640625" style="243" customWidth="1"/>
    <col min="5943" max="5943" width="11.81640625" style="243" customWidth="1"/>
    <col min="5944" max="5944" width="10" style="243" customWidth="1"/>
    <col min="5945" max="5945" width="10.453125" style="243" customWidth="1"/>
    <col min="5946" max="5947" width="8.81640625" style="243"/>
    <col min="5948" max="5948" width="9.36328125" style="243" customWidth="1"/>
    <col min="5949" max="5949" width="18.453125" style="243" customWidth="1"/>
    <col min="5950" max="5950" width="11" style="243" customWidth="1"/>
    <col min="5951" max="5951" width="9.54296875" style="243" customWidth="1"/>
    <col min="5952" max="5952" width="10.6328125" style="243" customWidth="1"/>
    <col min="5953" max="5953" width="9.90625" style="243" customWidth="1"/>
    <col min="5954" max="5954" width="11.453125" style="243" customWidth="1"/>
    <col min="5955" max="5955" width="9.90625" style="243" customWidth="1"/>
    <col min="5956" max="5956" width="10" style="243" customWidth="1"/>
    <col min="5957" max="5957" width="6.81640625" style="243" customWidth="1"/>
    <col min="5958" max="5958" width="12.54296875" style="243" customWidth="1"/>
    <col min="5959" max="5959" width="9.54296875" style="243" customWidth="1"/>
    <col min="5960" max="5960" width="10.36328125" style="243" customWidth="1"/>
    <col min="5961" max="5961" width="7.81640625" style="243" customWidth="1"/>
    <col min="5962" max="5962" width="7.1796875" style="243" customWidth="1"/>
    <col min="5963" max="5963" width="17.6328125" style="243" customWidth="1"/>
    <col min="5964" max="5964" width="8.81640625" style="243" customWidth="1"/>
    <col min="5965" max="5965" width="13.08984375" style="243" bestFit="1" customWidth="1"/>
    <col min="5966" max="5966" width="13.81640625" style="243" customWidth="1"/>
    <col min="5967" max="5968" width="8.81640625" style="243"/>
    <col min="5969" max="5969" width="9" style="243" bestFit="1" customWidth="1"/>
    <col min="5970" max="5978" width="8.81640625" style="243"/>
    <col min="5979" max="5979" width="13.08984375" style="243" customWidth="1"/>
    <col min="5980" max="5980" width="8.81640625" style="243"/>
    <col min="5981" max="5981" width="9.90625" style="243" customWidth="1"/>
    <col min="5982" max="5985" width="8.81640625" style="243"/>
    <col min="5986" max="5986" width="8.54296875" style="243" customWidth="1"/>
    <col min="5987" max="5987" width="30.36328125" style="243" customWidth="1"/>
    <col min="5988" max="5988" width="9" style="243" bestFit="1" customWidth="1"/>
    <col min="5989" max="5989" width="8.81640625" style="243"/>
    <col min="5990" max="5990" width="5.90625" style="243" customWidth="1"/>
    <col min="5991" max="5991" width="6.90625" style="243" customWidth="1"/>
    <col min="5992" max="5992" width="23.90625" style="243" customWidth="1"/>
    <col min="5993" max="5999" width="8.81640625" style="243"/>
    <col min="6000" max="6000" width="9" style="243" bestFit="1" customWidth="1"/>
    <col min="6001" max="6002" width="8.81640625" style="243"/>
    <col min="6003" max="6003" width="32.90625" style="243" customWidth="1"/>
    <col min="6004" max="6004" width="16.6328125" style="243" customWidth="1"/>
    <col min="6005" max="6005" width="10.1796875" style="243" customWidth="1"/>
    <col min="6006" max="6006" width="12.453125" style="243" customWidth="1"/>
    <col min="6007" max="6007" width="10" style="243" bestFit="1" customWidth="1"/>
    <col min="6008" max="6008" width="8.81640625" style="243"/>
    <col min="6009" max="6009" width="9" style="243" bestFit="1" customWidth="1"/>
    <col min="6010" max="6011" width="8.81640625" style="243"/>
    <col min="6012" max="6012" width="11.6328125" style="243" customWidth="1"/>
    <col min="6013" max="6013" width="8.81640625" style="243"/>
    <col min="6014" max="6014" width="28.81640625" style="243" customWidth="1"/>
    <col min="6015" max="6015" width="12.36328125" style="243" customWidth="1"/>
    <col min="6016" max="6016" width="11.1796875" style="243" customWidth="1"/>
    <col min="6017" max="6144" width="8.81640625" style="243"/>
    <col min="6145" max="6145" width="5.6328125" style="243" customWidth="1"/>
    <col min="6146" max="6146" width="26.54296875" style="243" customWidth="1"/>
    <col min="6147" max="6147" width="11.453125" style="243" customWidth="1"/>
    <col min="6148" max="6148" width="7.453125" style="243" customWidth="1"/>
    <col min="6149" max="6149" width="8.54296875" style="243" customWidth="1"/>
    <col min="6150" max="6150" width="12.36328125" style="243" customWidth="1"/>
    <col min="6151" max="6151" width="11.81640625" style="243" customWidth="1"/>
    <col min="6152" max="6152" width="8.1796875" style="243" customWidth="1"/>
    <col min="6153" max="6153" width="12" style="243" customWidth="1"/>
    <col min="6154" max="6154" width="8.81640625" style="243" customWidth="1"/>
    <col min="6155" max="6155" width="11.08984375" style="243" customWidth="1"/>
    <col min="6156" max="6156" width="12.90625" style="243" customWidth="1"/>
    <col min="6157" max="6157" width="12.54296875" style="243" customWidth="1"/>
    <col min="6158" max="6158" width="9.6328125" style="243" customWidth="1"/>
    <col min="6159" max="6159" width="9.90625" style="243" customWidth="1"/>
    <col min="6160" max="6160" width="11.36328125" style="243" customWidth="1"/>
    <col min="6161" max="6161" width="11.54296875" style="243" customWidth="1"/>
    <col min="6162" max="6162" width="11.6328125" style="243" customWidth="1"/>
    <col min="6163" max="6163" width="10.36328125" style="243" customWidth="1"/>
    <col min="6164" max="6164" width="11.81640625" style="243" customWidth="1"/>
    <col min="6165" max="6165" width="12.08984375" style="243" customWidth="1"/>
    <col min="6166" max="6166" width="11" style="243" customWidth="1"/>
    <col min="6167" max="6167" width="12.08984375" style="243" customWidth="1"/>
    <col min="6168" max="6168" width="10.54296875" style="243" customWidth="1"/>
    <col min="6169" max="6169" width="9.90625" style="243" customWidth="1"/>
    <col min="6170" max="6170" width="10.81640625" style="243" customWidth="1"/>
    <col min="6171" max="6171" width="9.81640625" style="243" customWidth="1"/>
    <col min="6172" max="6172" width="11.1796875" style="243" customWidth="1"/>
    <col min="6173" max="6173" width="10.36328125" style="243" customWidth="1"/>
    <col min="6174" max="6174" width="11.90625" style="243" customWidth="1"/>
    <col min="6175" max="6175" width="8.81640625" style="243"/>
    <col min="6176" max="6176" width="13.90625" style="243" customWidth="1"/>
    <col min="6177" max="6177" width="10.90625" style="243" customWidth="1"/>
    <col min="6178" max="6178" width="11.453125" style="243" customWidth="1"/>
    <col min="6179" max="6179" width="11.81640625" style="243" customWidth="1"/>
    <col min="6180" max="6180" width="11.08984375" style="243" customWidth="1"/>
    <col min="6181" max="6181" width="10.90625" style="243" customWidth="1"/>
    <col min="6182" max="6185" width="8.81640625" style="243"/>
    <col min="6186" max="6186" width="11.453125" style="243" bestFit="1" customWidth="1"/>
    <col min="6187" max="6187" width="10.1796875" style="243" customWidth="1"/>
    <col min="6188" max="6188" width="11.54296875" style="243" customWidth="1"/>
    <col min="6189" max="6189" width="12.08984375" style="243" customWidth="1"/>
    <col min="6190" max="6190" width="13.1796875" style="243" customWidth="1"/>
    <col min="6191" max="6191" width="14.08984375" style="243" customWidth="1"/>
    <col min="6192" max="6192" width="11.81640625" style="243" customWidth="1"/>
    <col min="6193" max="6193" width="9.6328125" style="243" customWidth="1"/>
    <col min="6194" max="6197" width="8.81640625" style="243"/>
    <col min="6198" max="6198" width="28.81640625" style="243" customWidth="1"/>
    <col min="6199" max="6199" width="11.81640625" style="243" customWidth="1"/>
    <col min="6200" max="6200" width="10" style="243" customWidth="1"/>
    <col min="6201" max="6201" width="10.453125" style="243" customWidth="1"/>
    <col min="6202" max="6203" width="8.81640625" style="243"/>
    <col min="6204" max="6204" width="9.36328125" style="243" customWidth="1"/>
    <col min="6205" max="6205" width="18.453125" style="243" customWidth="1"/>
    <col min="6206" max="6206" width="11" style="243" customWidth="1"/>
    <col min="6207" max="6207" width="9.54296875" style="243" customWidth="1"/>
    <col min="6208" max="6208" width="10.6328125" style="243" customWidth="1"/>
    <col min="6209" max="6209" width="9.90625" style="243" customWidth="1"/>
    <col min="6210" max="6210" width="11.453125" style="243" customWidth="1"/>
    <col min="6211" max="6211" width="9.90625" style="243" customWidth="1"/>
    <col min="6212" max="6212" width="10" style="243" customWidth="1"/>
    <col min="6213" max="6213" width="6.81640625" style="243" customWidth="1"/>
    <col min="6214" max="6214" width="12.54296875" style="243" customWidth="1"/>
    <col min="6215" max="6215" width="9.54296875" style="243" customWidth="1"/>
    <col min="6216" max="6216" width="10.36328125" style="243" customWidth="1"/>
    <col min="6217" max="6217" width="7.81640625" style="243" customWidth="1"/>
    <col min="6218" max="6218" width="7.1796875" style="243" customWidth="1"/>
    <col min="6219" max="6219" width="17.6328125" style="243" customWidth="1"/>
    <col min="6220" max="6220" width="8.81640625" style="243" customWidth="1"/>
    <col min="6221" max="6221" width="13.08984375" style="243" bestFit="1" customWidth="1"/>
    <col min="6222" max="6222" width="13.81640625" style="243" customWidth="1"/>
    <col min="6223" max="6224" width="8.81640625" style="243"/>
    <col min="6225" max="6225" width="9" style="243" bestFit="1" customWidth="1"/>
    <col min="6226" max="6234" width="8.81640625" style="243"/>
    <col min="6235" max="6235" width="13.08984375" style="243" customWidth="1"/>
    <col min="6236" max="6236" width="8.81640625" style="243"/>
    <col min="6237" max="6237" width="9.90625" style="243" customWidth="1"/>
    <col min="6238" max="6241" width="8.81640625" style="243"/>
    <col min="6242" max="6242" width="8.54296875" style="243" customWidth="1"/>
    <col min="6243" max="6243" width="30.36328125" style="243" customWidth="1"/>
    <col min="6244" max="6244" width="9" style="243" bestFit="1" customWidth="1"/>
    <col min="6245" max="6245" width="8.81640625" style="243"/>
    <col min="6246" max="6246" width="5.90625" style="243" customWidth="1"/>
    <col min="6247" max="6247" width="6.90625" style="243" customWidth="1"/>
    <col min="6248" max="6248" width="23.90625" style="243" customWidth="1"/>
    <col min="6249" max="6255" width="8.81640625" style="243"/>
    <col min="6256" max="6256" width="9" style="243" bestFit="1" customWidth="1"/>
    <col min="6257" max="6258" width="8.81640625" style="243"/>
    <col min="6259" max="6259" width="32.90625" style="243" customWidth="1"/>
    <col min="6260" max="6260" width="16.6328125" style="243" customWidth="1"/>
    <col min="6261" max="6261" width="10.1796875" style="243" customWidth="1"/>
    <col min="6262" max="6262" width="12.453125" style="243" customWidth="1"/>
    <col min="6263" max="6263" width="10" style="243" bestFit="1" customWidth="1"/>
    <col min="6264" max="6264" width="8.81640625" style="243"/>
    <col min="6265" max="6265" width="9" style="243" bestFit="1" customWidth="1"/>
    <col min="6266" max="6267" width="8.81640625" style="243"/>
    <col min="6268" max="6268" width="11.6328125" style="243" customWidth="1"/>
    <col min="6269" max="6269" width="8.81640625" style="243"/>
    <col min="6270" max="6270" width="28.81640625" style="243" customWidth="1"/>
    <col min="6271" max="6271" width="12.36328125" style="243" customWidth="1"/>
    <col min="6272" max="6272" width="11.1796875" style="243" customWidth="1"/>
    <col min="6273" max="6400" width="8.81640625" style="243"/>
    <col min="6401" max="6401" width="5.6328125" style="243" customWidth="1"/>
    <col min="6402" max="6402" width="26.54296875" style="243" customWidth="1"/>
    <col min="6403" max="6403" width="11.453125" style="243" customWidth="1"/>
    <col min="6404" max="6404" width="7.453125" style="243" customWidth="1"/>
    <col min="6405" max="6405" width="8.54296875" style="243" customWidth="1"/>
    <col min="6406" max="6406" width="12.36328125" style="243" customWidth="1"/>
    <col min="6407" max="6407" width="11.81640625" style="243" customWidth="1"/>
    <col min="6408" max="6408" width="8.1796875" style="243" customWidth="1"/>
    <col min="6409" max="6409" width="12" style="243" customWidth="1"/>
    <col min="6410" max="6410" width="8.81640625" style="243" customWidth="1"/>
    <col min="6411" max="6411" width="11.08984375" style="243" customWidth="1"/>
    <col min="6412" max="6412" width="12.90625" style="243" customWidth="1"/>
    <col min="6413" max="6413" width="12.54296875" style="243" customWidth="1"/>
    <col min="6414" max="6414" width="9.6328125" style="243" customWidth="1"/>
    <col min="6415" max="6415" width="9.90625" style="243" customWidth="1"/>
    <col min="6416" max="6416" width="11.36328125" style="243" customWidth="1"/>
    <col min="6417" max="6417" width="11.54296875" style="243" customWidth="1"/>
    <col min="6418" max="6418" width="11.6328125" style="243" customWidth="1"/>
    <col min="6419" max="6419" width="10.36328125" style="243" customWidth="1"/>
    <col min="6420" max="6420" width="11.81640625" style="243" customWidth="1"/>
    <col min="6421" max="6421" width="12.08984375" style="243" customWidth="1"/>
    <col min="6422" max="6422" width="11" style="243" customWidth="1"/>
    <col min="6423" max="6423" width="12.08984375" style="243" customWidth="1"/>
    <col min="6424" max="6424" width="10.54296875" style="243" customWidth="1"/>
    <col min="6425" max="6425" width="9.90625" style="243" customWidth="1"/>
    <col min="6426" max="6426" width="10.81640625" style="243" customWidth="1"/>
    <col min="6427" max="6427" width="9.81640625" style="243" customWidth="1"/>
    <col min="6428" max="6428" width="11.1796875" style="243" customWidth="1"/>
    <col min="6429" max="6429" width="10.36328125" style="243" customWidth="1"/>
    <col min="6430" max="6430" width="11.90625" style="243" customWidth="1"/>
    <col min="6431" max="6431" width="8.81640625" style="243"/>
    <col min="6432" max="6432" width="13.90625" style="243" customWidth="1"/>
    <col min="6433" max="6433" width="10.90625" style="243" customWidth="1"/>
    <col min="6434" max="6434" width="11.453125" style="243" customWidth="1"/>
    <col min="6435" max="6435" width="11.81640625" style="243" customWidth="1"/>
    <col min="6436" max="6436" width="11.08984375" style="243" customWidth="1"/>
    <col min="6437" max="6437" width="10.90625" style="243" customWidth="1"/>
    <col min="6438" max="6441" width="8.81640625" style="243"/>
    <col min="6442" max="6442" width="11.453125" style="243" bestFit="1" customWidth="1"/>
    <col min="6443" max="6443" width="10.1796875" style="243" customWidth="1"/>
    <col min="6444" max="6444" width="11.54296875" style="243" customWidth="1"/>
    <col min="6445" max="6445" width="12.08984375" style="243" customWidth="1"/>
    <col min="6446" max="6446" width="13.1796875" style="243" customWidth="1"/>
    <col min="6447" max="6447" width="14.08984375" style="243" customWidth="1"/>
    <col min="6448" max="6448" width="11.81640625" style="243" customWidth="1"/>
    <col min="6449" max="6449" width="9.6328125" style="243" customWidth="1"/>
    <col min="6450" max="6453" width="8.81640625" style="243"/>
    <col min="6454" max="6454" width="28.81640625" style="243" customWidth="1"/>
    <col min="6455" max="6455" width="11.81640625" style="243" customWidth="1"/>
    <col min="6456" max="6456" width="10" style="243" customWidth="1"/>
    <col min="6457" max="6457" width="10.453125" style="243" customWidth="1"/>
    <col min="6458" max="6459" width="8.81640625" style="243"/>
    <col min="6460" max="6460" width="9.36328125" style="243" customWidth="1"/>
    <col min="6461" max="6461" width="18.453125" style="243" customWidth="1"/>
    <col min="6462" max="6462" width="11" style="243" customWidth="1"/>
    <col min="6463" max="6463" width="9.54296875" style="243" customWidth="1"/>
    <col min="6464" max="6464" width="10.6328125" style="243" customWidth="1"/>
    <col min="6465" max="6465" width="9.90625" style="243" customWidth="1"/>
    <col min="6466" max="6466" width="11.453125" style="243" customWidth="1"/>
    <col min="6467" max="6467" width="9.90625" style="243" customWidth="1"/>
    <col min="6468" max="6468" width="10" style="243" customWidth="1"/>
    <col min="6469" max="6469" width="6.81640625" style="243" customWidth="1"/>
    <col min="6470" max="6470" width="12.54296875" style="243" customWidth="1"/>
    <col min="6471" max="6471" width="9.54296875" style="243" customWidth="1"/>
    <col min="6472" max="6472" width="10.36328125" style="243" customWidth="1"/>
    <col min="6473" max="6473" width="7.81640625" style="243" customWidth="1"/>
    <col min="6474" max="6474" width="7.1796875" style="243" customWidth="1"/>
    <col min="6475" max="6475" width="17.6328125" style="243" customWidth="1"/>
    <col min="6476" max="6476" width="8.81640625" style="243" customWidth="1"/>
    <col min="6477" max="6477" width="13.08984375" style="243" bestFit="1" customWidth="1"/>
    <col min="6478" max="6478" width="13.81640625" style="243" customWidth="1"/>
    <col min="6479" max="6480" width="8.81640625" style="243"/>
    <col min="6481" max="6481" width="9" style="243" bestFit="1" customWidth="1"/>
    <col min="6482" max="6490" width="8.81640625" style="243"/>
    <col min="6491" max="6491" width="13.08984375" style="243" customWidth="1"/>
    <col min="6492" max="6492" width="8.81640625" style="243"/>
    <col min="6493" max="6493" width="9.90625" style="243" customWidth="1"/>
    <col min="6494" max="6497" width="8.81640625" style="243"/>
    <col min="6498" max="6498" width="8.54296875" style="243" customWidth="1"/>
    <col min="6499" max="6499" width="30.36328125" style="243" customWidth="1"/>
    <col min="6500" max="6500" width="9" style="243" bestFit="1" customWidth="1"/>
    <col min="6501" max="6501" width="8.81640625" style="243"/>
    <col min="6502" max="6502" width="5.90625" style="243" customWidth="1"/>
    <col min="6503" max="6503" width="6.90625" style="243" customWidth="1"/>
    <col min="6504" max="6504" width="23.90625" style="243" customWidth="1"/>
    <col min="6505" max="6511" width="8.81640625" style="243"/>
    <col min="6512" max="6512" width="9" style="243" bestFit="1" customWidth="1"/>
    <col min="6513" max="6514" width="8.81640625" style="243"/>
    <col min="6515" max="6515" width="32.90625" style="243" customWidth="1"/>
    <col min="6516" max="6516" width="16.6328125" style="243" customWidth="1"/>
    <col min="6517" max="6517" width="10.1796875" style="243" customWidth="1"/>
    <col min="6518" max="6518" width="12.453125" style="243" customWidth="1"/>
    <col min="6519" max="6519" width="10" style="243" bestFit="1" customWidth="1"/>
    <col min="6520" max="6520" width="8.81640625" style="243"/>
    <col min="6521" max="6521" width="9" style="243" bestFit="1" customWidth="1"/>
    <col min="6522" max="6523" width="8.81640625" style="243"/>
    <col min="6524" max="6524" width="11.6328125" style="243" customWidth="1"/>
    <col min="6525" max="6525" width="8.81640625" style="243"/>
    <col min="6526" max="6526" width="28.81640625" style="243" customWidth="1"/>
    <col min="6527" max="6527" width="12.36328125" style="243" customWidth="1"/>
    <col min="6528" max="6528" width="11.1796875" style="243" customWidth="1"/>
    <col min="6529" max="6656" width="8.81640625" style="243"/>
    <col min="6657" max="6657" width="5.6328125" style="243" customWidth="1"/>
    <col min="6658" max="6658" width="26.54296875" style="243" customWidth="1"/>
    <col min="6659" max="6659" width="11.453125" style="243" customWidth="1"/>
    <col min="6660" max="6660" width="7.453125" style="243" customWidth="1"/>
    <col min="6661" max="6661" width="8.54296875" style="243" customWidth="1"/>
    <col min="6662" max="6662" width="12.36328125" style="243" customWidth="1"/>
    <col min="6663" max="6663" width="11.81640625" style="243" customWidth="1"/>
    <col min="6664" max="6664" width="8.1796875" style="243" customWidth="1"/>
    <col min="6665" max="6665" width="12" style="243" customWidth="1"/>
    <col min="6666" max="6666" width="8.81640625" style="243" customWidth="1"/>
    <col min="6667" max="6667" width="11.08984375" style="243" customWidth="1"/>
    <col min="6668" max="6668" width="12.90625" style="243" customWidth="1"/>
    <col min="6669" max="6669" width="12.54296875" style="243" customWidth="1"/>
    <col min="6670" max="6670" width="9.6328125" style="243" customWidth="1"/>
    <col min="6671" max="6671" width="9.90625" style="243" customWidth="1"/>
    <col min="6672" max="6672" width="11.36328125" style="243" customWidth="1"/>
    <col min="6673" max="6673" width="11.54296875" style="243" customWidth="1"/>
    <col min="6674" max="6674" width="11.6328125" style="243" customWidth="1"/>
    <col min="6675" max="6675" width="10.36328125" style="243" customWidth="1"/>
    <col min="6676" max="6676" width="11.81640625" style="243" customWidth="1"/>
    <col min="6677" max="6677" width="12.08984375" style="243" customWidth="1"/>
    <col min="6678" max="6678" width="11" style="243" customWidth="1"/>
    <col min="6679" max="6679" width="12.08984375" style="243" customWidth="1"/>
    <col min="6680" max="6680" width="10.54296875" style="243" customWidth="1"/>
    <col min="6681" max="6681" width="9.90625" style="243" customWidth="1"/>
    <col min="6682" max="6682" width="10.81640625" style="243" customWidth="1"/>
    <col min="6683" max="6683" width="9.81640625" style="243" customWidth="1"/>
    <col min="6684" max="6684" width="11.1796875" style="243" customWidth="1"/>
    <col min="6685" max="6685" width="10.36328125" style="243" customWidth="1"/>
    <col min="6686" max="6686" width="11.90625" style="243" customWidth="1"/>
    <col min="6687" max="6687" width="8.81640625" style="243"/>
    <col min="6688" max="6688" width="13.90625" style="243" customWidth="1"/>
    <col min="6689" max="6689" width="10.90625" style="243" customWidth="1"/>
    <col min="6690" max="6690" width="11.453125" style="243" customWidth="1"/>
    <col min="6691" max="6691" width="11.81640625" style="243" customWidth="1"/>
    <col min="6692" max="6692" width="11.08984375" style="243" customWidth="1"/>
    <col min="6693" max="6693" width="10.90625" style="243" customWidth="1"/>
    <col min="6694" max="6697" width="8.81640625" style="243"/>
    <col min="6698" max="6698" width="11.453125" style="243" bestFit="1" customWidth="1"/>
    <col min="6699" max="6699" width="10.1796875" style="243" customWidth="1"/>
    <col min="6700" max="6700" width="11.54296875" style="243" customWidth="1"/>
    <col min="6701" max="6701" width="12.08984375" style="243" customWidth="1"/>
    <col min="6702" max="6702" width="13.1796875" style="243" customWidth="1"/>
    <col min="6703" max="6703" width="14.08984375" style="243" customWidth="1"/>
    <col min="6704" max="6704" width="11.81640625" style="243" customWidth="1"/>
    <col min="6705" max="6705" width="9.6328125" style="243" customWidth="1"/>
    <col min="6706" max="6709" width="8.81640625" style="243"/>
    <col min="6710" max="6710" width="28.81640625" style="243" customWidth="1"/>
    <col min="6711" max="6711" width="11.81640625" style="243" customWidth="1"/>
    <col min="6712" max="6712" width="10" style="243" customWidth="1"/>
    <col min="6713" max="6713" width="10.453125" style="243" customWidth="1"/>
    <col min="6714" max="6715" width="8.81640625" style="243"/>
    <col min="6716" max="6716" width="9.36328125" style="243" customWidth="1"/>
    <col min="6717" max="6717" width="18.453125" style="243" customWidth="1"/>
    <col min="6718" max="6718" width="11" style="243" customWidth="1"/>
    <col min="6719" max="6719" width="9.54296875" style="243" customWidth="1"/>
    <col min="6720" max="6720" width="10.6328125" style="243" customWidth="1"/>
    <col min="6721" max="6721" width="9.90625" style="243" customWidth="1"/>
    <col min="6722" max="6722" width="11.453125" style="243" customWidth="1"/>
    <col min="6723" max="6723" width="9.90625" style="243" customWidth="1"/>
    <col min="6724" max="6724" width="10" style="243" customWidth="1"/>
    <col min="6725" max="6725" width="6.81640625" style="243" customWidth="1"/>
    <col min="6726" max="6726" width="12.54296875" style="243" customWidth="1"/>
    <col min="6727" max="6727" width="9.54296875" style="243" customWidth="1"/>
    <col min="6728" max="6728" width="10.36328125" style="243" customWidth="1"/>
    <col min="6729" max="6729" width="7.81640625" style="243" customWidth="1"/>
    <col min="6730" max="6730" width="7.1796875" style="243" customWidth="1"/>
    <col min="6731" max="6731" width="17.6328125" style="243" customWidth="1"/>
    <col min="6732" max="6732" width="8.81640625" style="243" customWidth="1"/>
    <col min="6733" max="6733" width="13.08984375" style="243" bestFit="1" customWidth="1"/>
    <col min="6734" max="6734" width="13.81640625" style="243" customWidth="1"/>
    <col min="6735" max="6736" width="8.81640625" style="243"/>
    <col min="6737" max="6737" width="9" style="243" bestFit="1" customWidth="1"/>
    <col min="6738" max="6746" width="8.81640625" style="243"/>
    <col min="6747" max="6747" width="13.08984375" style="243" customWidth="1"/>
    <col min="6748" max="6748" width="8.81640625" style="243"/>
    <col min="6749" max="6749" width="9.90625" style="243" customWidth="1"/>
    <col min="6750" max="6753" width="8.81640625" style="243"/>
    <col min="6754" max="6754" width="8.54296875" style="243" customWidth="1"/>
    <col min="6755" max="6755" width="30.36328125" style="243" customWidth="1"/>
    <col min="6756" max="6756" width="9" style="243" bestFit="1" customWidth="1"/>
    <col min="6757" max="6757" width="8.81640625" style="243"/>
    <col min="6758" max="6758" width="5.90625" style="243" customWidth="1"/>
    <col min="6759" max="6759" width="6.90625" style="243" customWidth="1"/>
    <col min="6760" max="6760" width="23.90625" style="243" customWidth="1"/>
    <col min="6761" max="6767" width="8.81640625" style="243"/>
    <col min="6768" max="6768" width="9" style="243" bestFit="1" customWidth="1"/>
    <col min="6769" max="6770" width="8.81640625" style="243"/>
    <col min="6771" max="6771" width="32.90625" style="243" customWidth="1"/>
    <col min="6772" max="6772" width="16.6328125" style="243" customWidth="1"/>
    <col min="6773" max="6773" width="10.1796875" style="243" customWidth="1"/>
    <col min="6774" max="6774" width="12.453125" style="243" customWidth="1"/>
    <col min="6775" max="6775" width="10" style="243" bestFit="1" customWidth="1"/>
    <col min="6776" max="6776" width="8.81640625" style="243"/>
    <col min="6777" max="6777" width="9" style="243" bestFit="1" customWidth="1"/>
    <col min="6778" max="6779" width="8.81640625" style="243"/>
    <col min="6780" max="6780" width="11.6328125" style="243" customWidth="1"/>
    <col min="6781" max="6781" width="8.81640625" style="243"/>
    <col min="6782" max="6782" width="28.81640625" style="243" customWidth="1"/>
    <col min="6783" max="6783" width="12.36328125" style="243" customWidth="1"/>
    <col min="6784" max="6784" width="11.1796875" style="243" customWidth="1"/>
    <col min="6785" max="6912" width="8.81640625" style="243"/>
    <col min="6913" max="6913" width="5.6328125" style="243" customWidth="1"/>
    <col min="6914" max="6914" width="26.54296875" style="243" customWidth="1"/>
    <col min="6915" max="6915" width="11.453125" style="243" customWidth="1"/>
    <col min="6916" max="6916" width="7.453125" style="243" customWidth="1"/>
    <col min="6917" max="6917" width="8.54296875" style="243" customWidth="1"/>
    <col min="6918" max="6918" width="12.36328125" style="243" customWidth="1"/>
    <col min="6919" max="6919" width="11.81640625" style="243" customWidth="1"/>
    <col min="6920" max="6920" width="8.1796875" style="243" customWidth="1"/>
    <col min="6921" max="6921" width="12" style="243" customWidth="1"/>
    <col min="6922" max="6922" width="8.81640625" style="243" customWidth="1"/>
    <col min="6923" max="6923" width="11.08984375" style="243" customWidth="1"/>
    <col min="6924" max="6924" width="12.90625" style="243" customWidth="1"/>
    <col min="6925" max="6925" width="12.54296875" style="243" customWidth="1"/>
    <col min="6926" max="6926" width="9.6328125" style="243" customWidth="1"/>
    <col min="6927" max="6927" width="9.90625" style="243" customWidth="1"/>
    <col min="6928" max="6928" width="11.36328125" style="243" customWidth="1"/>
    <col min="6929" max="6929" width="11.54296875" style="243" customWidth="1"/>
    <col min="6930" max="6930" width="11.6328125" style="243" customWidth="1"/>
    <col min="6931" max="6931" width="10.36328125" style="243" customWidth="1"/>
    <col min="6932" max="6932" width="11.81640625" style="243" customWidth="1"/>
    <col min="6933" max="6933" width="12.08984375" style="243" customWidth="1"/>
    <col min="6934" max="6934" width="11" style="243" customWidth="1"/>
    <col min="6935" max="6935" width="12.08984375" style="243" customWidth="1"/>
    <col min="6936" max="6936" width="10.54296875" style="243" customWidth="1"/>
    <col min="6937" max="6937" width="9.90625" style="243" customWidth="1"/>
    <col min="6938" max="6938" width="10.81640625" style="243" customWidth="1"/>
    <col min="6939" max="6939" width="9.81640625" style="243" customWidth="1"/>
    <col min="6940" max="6940" width="11.1796875" style="243" customWidth="1"/>
    <col min="6941" max="6941" width="10.36328125" style="243" customWidth="1"/>
    <col min="6942" max="6942" width="11.90625" style="243" customWidth="1"/>
    <col min="6943" max="6943" width="8.81640625" style="243"/>
    <col min="6944" max="6944" width="13.90625" style="243" customWidth="1"/>
    <col min="6945" max="6945" width="10.90625" style="243" customWidth="1"/>
    <col min="6946" max="6946" width="11.453125" style="243" customWidth="1"/>
    <col min="6947" max="6947" width="11.81640625" style="243" customWidth="1"/>
    <col min="6948" max="6948" width="11.08984375" style="243" customWidth="1"/>
    <col min="6949" max="6949" width="10.90625" style="243" customWidth="1"/>
    <col min="6950" max="6953" width="8.81640625" style="243"/>
    <col min="6954" max="6954" width="11.453125" style="243" bestFit="1" customWidth="1"/>
    <col min="6955" max="6955" width="10.1796875" style="243" customWidth="1"/>
    <col min="6956" max="6956" width="11.54296875" style="243" customWidth="1"/>
    <col min="6957" max="6957" width="12.08984375" style="243" customWidth="1"/>
    <col min="6958" max="6958" width="13.1796875" style="243" customWidth="1"/>
    <col min="6959" max="6959" width="14.08984375" style="243" customWidth="1"/>
    <col min="6960" max="6960" width="11.81640625" style="243" customWidth="1"/>
    <col min="6961" max="6961" width="9.6328125" style="243" customWidth="1"/>
    <col min="6962" max="6965" width="8.81640625" style="243"/>
    <col min="6966" max="6966" width="28.81640625" style="243" customWidth="1"/>
    <col min="6967" max="6967" width="11.81640625" style="243" customWidth="1"/>
    <col min="6968" max="6968" width="10" style="243" customWidth="1"/>
    <col min="6969" max="6969" width="10.453125" style="243" customWidth="1"/>
    <col min="6970" max="6971" width="8.81640625" style="243"/>
    <col min="6972" max="6972" width="9.36328125" style="243" customWidth="1"/>
    <col min="6973" max="6973" width="18.453125" style="243" customWidth="1"/>
    <col min="6974" max="6974" width="11" style="243" customWidth="1"/>
    <col min="6975" max="6975" width="9.54296875" style="243" customWidth="1"/>
    <col min="6976" max="6976" width="10.6328125" style="243" customWidth="1"/>
    <col min="6977" max="6977" width="9.90625" style="243" customWidth="1"/>
    <col min="6978" max="6978" width="11.453125" style="243" customWidth="1"/>
    <col min="6979" max="6979" width="9.90625" style="243" customWidth="1"/>
    <col min="6980" max="6980" width="10" style="243" customWidth="1"/>
    <col min="6981" max="6981" width="6.81640625" style="243" customWidth="1"/>
    <col min="6982" max="6982" width="12.54296875" style="243" customWidth="1"/>
    <col min="6983" max="6983" width="9.54296875" style="243" customWidth="1"/>
    <col min="6984" max="6984" width="10.36328125" style="243" customWidth="1"/>
    <col min="6985" max="6985" width="7.81640625" style="243" customWidth="1"/>
    <col min="6986" max="6986" width="7.1796875" style="243" customWidth="1"/>
    <col min="6987" max="6987" width="17.6328125" style="243" customWidth="1"/>
    <col min="6988" max="6988" width="8.81640625" style="243" customWidth="1"/>
    <col min="6989" max="6989" width="13.08984375" style="243" bestFit="1" customWidth="1"/>
    <col min="6990" max="6990" width="13.81640625" style="243" customWidth="1"/>
    <col min="6991" max="6992" width="8.81640625" style="243"/>
    <col min="6993" max="6993" width="9" style="243" bestFit="1" customWidth="1"/>
    <col min="6994" max="7002" width="8.81640625" style="243"/>
    <col min="7003" max="7003" width="13.08984375" style="243" customWidth="1"/>
    <col min="7004" max="7004" width="8.81640625" style="243"/>
    <col min="7005" max="7005" width="9.90625" style="243" customWidth="1"/>
    <col min="7006" max="7009" width="8.81640625" style="243"/>
    <col min="7010" max="7010" width="8.54296875" style="243" customWidth="1"/>
    <col min="7011" max="7011" width="30.36328125" style="243" customWidth="1"/>
    <col min="7012" max="7012" width="9" style="243" bestFit="1" customWidth="1"/>
    <col min="7013" max="7013" width="8.81640625" style="243"/>
    <col min="7014" max="7014" width="5.90625" style="243" customWidth="1"/>
    <col min="7015" max="7015" width="6.90625" style="243" customWidth="1"/>
    <col min="7016" max="7016" width="23.90625" style="243" customWidth="1"/>
    <col min="7017" max="7023" width="8.81640625" style="243"/>
    <col min="7024" max="7024" width="9" style="243" bestFit="1" customWidth="1"/>
    <col min="7025" max="7026" width="8.81640625" style="243"/>
    <col min="7027" max="7027" width="32.90625" style="243" customWidth="1"/>
    <col min="7028" max="7028" width="16.6328125" style="243" customWidth="1"/>
    <col min="7029" max="7029" width="10.1796875" style="243" customWidth="1"/>
    <col min="7030" max="7030" width="12.453125" style="243" customWidth="1"/>
    <col min="7031" max="7031" width="10" style="243" bestFit="1" customWidth="1"/>
    <col min="7032" max="7032" width="8.81640625" style="243"/>
    <col min="7033" max="7033" width="9" style="243" bestFit="1" customWidth="1"/>
    <col min="7034" max="7035" width="8.81640625" style="243"/>
    <col min="7036" max="7036" width="11.6328125" style="243" customWidth="1"/>
    <col min="7037" max="7037" width="8.81640625" style="243"/>
    <col min="7038" max="7038" width="28.81640625" style="243" customWidth="1"/>
    <col min="7039" max="7039" width="12.36328125" style="243" customWidth="1"/>
    <col min="7040" max="7040" width="11.1796875" style="243" customWidth="1"/>
    <col min="7041" max="7168" width="8.81640625" style="243"/>
    <col min="7169" max="7169" width="5.6328125" style="243" customWidth="1"/>
    <col min="7170" max="7170" width="26.54296875" style="243" customWidth="1"/>
    <col min="7171" max="7171" width="11.453125" style="243" customWidth="1"/>
    <col min="7172" max="7172" width="7.453125" style="243" customWidth="1"/>
    <col min="7173" max="7173" width="8.54296875" style="243" customWidth="1"/>
    <col min="7174" max="7174" width="12.36328125" style="243" customWidth="1"/>
    <col min="7175" max="7175" width="11.81640625" style="243" customWidth="1"/>
    <col min="7176" max="7176" width="8.1796875" style="243" customWidth="1"/>
    <col min="7177" max="7177" width="12" style="243" customWidth="1"/>
    <col min="7178" max="7178" width="8.81640625" style="243" customWidth="1"/>
    <col min="7179" max="7179" width="11.08984375" style="243" customWidth="1"/>
    <col min="7180" max="7180" width="12.90625" style="243" customWidth="1"/>
    <col min="7181" max="7181" width="12.54296875" style="243" customWidth="1"/>
    <col min="7182" max="7182" width="9.6328125" style="243" customWidth="1"/>
    <col min="7183" max="7183" width="9.90625" style="243" customWidth="1"/>
    <col min="7184" max="7184" width="11.36328125" style="243" customWidth="1"/>
    <col min="7185" max="7185" width="11.54296875" style="243" customWidth="1"/>
    <col min="7186" max="7186" width="11.6328125" style="243" customWidth="1"/>
    <col min="7187" max="7187" width="10.36328125" style="243" customWidth="1"/>
    <col min="7188" max="7188" width="11.81640625" style="243" customWidth="1"/>
    <col min="7189" max="7189" width="12.08984375" style="243" customWidth="1"/>
    <col min="7190" max="7190" width="11" style="243" customWidth="1"/>
    <col min="7191" max="7191" width="12.08984375" style="243" customWidth="1"/>
    <col min="7192" max="7192" width="10.54296875" style="243" customWidth="1"/>
    <col min="7193" max="7193" width="9.90625" style="243" customWidth="1"/>
    <col min="7194" max="7194" width="10.81640625" style="243" customWidth="1"/>
    <col min="7195" max="7195" width="9.81640625" style="243" customWidth="1"/>
    <col min="7196" max="7196" width="11.1796875" style="243" customWidth="1"/>
    <col min="7197" max="7197" width="10.36328125" style="243" customWidth="1"/>
    <col min="7198" max="7198" width="11.90625" style="243" customWidth="1"/>
    <col min="7199" max="7199" width="8.81640625" style="243"/>
    <col min="7200" max="7200" width="13.90625" style="243" customWidth="1"/>
    <col min="7201" max="7201" width="10.90625" style="243" customWidth="1"/>
    <col min="7202" max="7202" width="11.453125" style="243" customWidth="1"/>
    <col min="7203" max="7203" width="11.81640625" style="243" customWidth="1"/>
    <col min="7204" max="7204" width="11.08984375" style="243" customWidth="1"/>
    <col min="7205" max="7205" width="10.90625" style="243" customWidth="1"/>
    <col min="7206" max="7209" width="8.81640625" style="243"/>
    <col min="7210" max="7210" width="11.453125" style="243" bestFit="1" customWidth="1"/>
    <col min="7211" max="7211" width="10.1796875" style="243" customWidth="1"/>
    <col min="7212" max="7212" width="11.54296875" style="243" customWidth="1"/>
    <col min="7213" max="7213" width="12.08984375" style="243" customWidth="1"/>
    <col min="7214" max="7214" width="13.1796875" style="243" customWidth="1"/>
    <col min="7215" max="7215" width="14.08984375" style="243" customWidth="1"/>
    <col min="7216" max="7216" width="11.81640625" style="243" customWidth="1"/>
    <col min="7217" max="7217" width="9.6328125" style="243" customWidth="1"/>
    <col min="7218" max="7221" width="8.81640625" style="243"/>
    <col min="7222" max="7222" width="28.81640625" style="243" customWidth="1"/>
    <col min="7223" max="7223" width="11.81640625" style="243" customWidth="1"/>
    <col min="7224" max="7224" width="10" style="243" customWidth="1"/>
    <col min="7225" max="7225" width="10.453125" style="243" customWidth="1"/>
    <col min="7226" max="7227" width="8.81640625" style="243"/>
    <col min="7228" max="7228" width="9.36328125" style="243" customWidth="1"/>
    <col min="7229" max="7229" width="18.453125" style="243" customWidth="1"/>
    <col min="7230" max="7230" width="11" style="243" customWidth="1"/>
    <col min="7231" max="7231" width="9.54296875" style="243" customWidth="1"/>
    <col min="7232" max="7232" width="10.6328125" style="243" customWidth="1"/>
    <col min="7233" max="7233" width="9.90625" style="243" customWidth="1"/>
    <col min="7234" max="7234" width="11.453125" style="243" customWidth="1"/>
    <col min="7235" max="7235" width="9.90625" style="243" customWidth="1"/>
    <col min="7236" max="7236" width="10" style="243" customWidth="1"/>
    <col min="7237" max="7237" width="6.81640625" style="243" customWidth="1"/>
    <col min="7238" max="7238" width="12.54296875" style="243" customWidth="1"/>
    <col min="7239" max="7239" width="9.54296875" style="243" customWidth="1"/>
    <col min="7240" max="7240" width="10.36328125" style="243" customWidth="1"/>
    <col min="7241" max="7241" width="7.81640625" style="243" customWidth="1"/>
    <col min="7242" max="7242" width="7.1796875" style="243" customWidth="1"/>
    <col min="7243" max="7243" width="17.6328125" style="243" customWidth="1"/>
    <col min="7244" max="7244" width="8.81640625" style="243" customWidth="1"/>
    <col min="7245" max="7245" width="13.08984375" style="243" bestFit="1" customWidth="1"/>
    <col min="7246" max="7246" width="13.81640625" style="243" customWidth="1"/>
    <col min="7247" max="7248" width="8.81640625" style="243"/>
    <col min="7249" max="7249" width="9" style="243" bestFit="1" customWidth="1"/>
    <col min="7250" max="7258" width="8.81640625" style="243"/>
    <col min="7259" max="7259" width="13.08984375" style="243" customWidth="1"/>
    <col min="7260" max="7260" width="8.81640625" style="243"/>
    <col min="7261" max="7261" width="9.90625" style="243" customWidth="1"/>
    <col min="7262" max="7265" width="8.81640625" style="243"/>
    <col min="7266" max="7266" width="8.54296875" style="243" customWidth="1"/>
    <col min="7267" max="7267" width="30.36328125" style="243" customWidth="1"/>
    <col min="7268" max="7268" width="9" style="243" bestFit="1" customWidth="1"/>
    <col min="7269" max="7269" width="8.81640625" style="243"/>
    <col min="7270" max="7270" width="5.90625" style="243" customWidth="1"/>
    <col min="7271" max="7271" width="6.90625" style="243" customWidth="1"/>
    <col min="7272" max="7272" width="23.90625" style="243" customWidth="1"/>
    <col min="7273" max="7279" width="8.81640625" style="243"/>
    <col min="7280" max="7280" width="9" style="243" bestFit="1" customWidth="1"/>
    <col min="7281" max="7282" width="8.81640625" style="243"/>
    <col min="7283" max="7283" width="32.90625" style="243" customWidth="1"/>
    <col min="7284" max="7284" width="16.6328125" style="243" customWidth="1"/>
    <col min="7285" max="7285" width="10.1796875" style="243" customWidth="1"/>
    <col min="7286" max="7286" width="12.453125" style="243" customWidth="1"/>
    <col min="7287" max="7287" width="10" style="243" bestFit="1" customWidth="1"/>
    <col min="7288" max="7288" width="8.81640625" style="243"/>
    <col min="7289" max="7289" width="9" style="243" bestFit="1" customWidth="1"/>
    <col min="7290" max="7291" width="8.81640625" style="243"/>
    <col min="7292" max="7292" width="11.6328125" style="243" customWidth="1"/>
    <col min="7293" max="7293" width="8.81640625" style="243"/>
    <col min="7294" max="7294" width="28.81640625" style="243" customWidth="1"/>
    <col min="7295" max="7295" width="12.36328125" style="243" customWidth="1"/>
    <col min="7296" max="7296" width="11.1796875" style="243" customWidth="1"/>
    <col min="7297" max="7424" width="8.81640625" style="243"/>
    <col min="7425" max="7425" width="5.6328125" style="243" customWidth="1"/>
    <col min="7426" max="7426" width="26.54296875" style="243" customWidth="1"/>
    <col min="7427" max="7427" width="11.453125" style="243" customWidth="1"/>
    <col min="7428" max="7428" width="7.453125" style="243" customWidth="1"/>
    <col min="7429" max="7429" width="8.54296875" style="243" customWidth="1"/>
    <col min="7430" max="7430" width="12.36328125" style="243" customWidth="1"/>
    <col min="7431" max="7431" width="11.81640625" style="243" customWidth="1"/>
    <col min="7432" max="7432" width="8.1796875" style="243" customWidth="1"/>
    <col min="7433" max="7433" width="12" style="243" customWidth="1"/>
    <col min="7434" max="7434" width="8.81640625" style="243" customWidth="1"/>
    <col min="7435" max="7435" width="11.08984375" style="243" customWidth="1"/>
    <col min="7436" max="7436" width="12.90625" style="243" customWidth="1"/>
    <col min="7437" max="7437" width="12.54296875" style="243" customWidth="1"/>
    <col min="7438" max="7438" width="9.6328125" style="243" customWidth="1"/>
    <col min="7439" max="7439" width="9.90625" style="243" customWidth="1"/>
    <col min="7440" max="7440" width="11.36328125" style="243" customWidth="1"/>
    <col min="7441" max="7441" width="11.54296875" style="243" customWidth="1"/>
    <col min="7442" max="7442" width="11.6328125" style="243" customWidth="1"/>
    <col min="7443" max="7443" width="10.36328125" style="243" customWidth="1"/>
    <col min="7444" max="7444" width="11.81640625" style="243" customWidth="1"/>
    <col min="7445" max="7445" width="12.08984375" style="243" customWidth="1"/>
    <col min="7446" max="7446" width="11" style="243" customWidth="1"/>
    <col min="7447" max="7447" width="12.08984375" style="243" customWidth="1"/>
    <col min="7448" max="7448" width="10.54296875" style="243" customWidth="1"/>
    <col min="7449" max="7449" width="9.90625" style="243" customWidth="1"/>
    <col min="7450" max="7450" width="10.81640625" style="243" customWidth="1"/>
    <col min="7451" max="7451" width="9.81640625" style="243" customWidth="1"/>
    <col min="7452" max="7452" width="11.1796875" style="243" customWidth="1"/>
    <col min="7453" max="7453" width="10.36328125" style="243" customWidth="1"/>
    <col min="7454" max="7454" width="11.90625" style="243" customWidth="1"/>
    <col min="7455" max="7455" width="8.81640625" style="243"/>
    <col min="7456" max="7456" width="13.90625" style="243" customWidth="1"/>
    <col min="7457" max="7457" width="10.90625" style="243" customWidth="1"/>
    <col min="7458" max="7458" width="11.453125" style="243" customWidth="1"/>
    <col min="7459" max="7459" width="11.81640625" style="243" customWidth="1"/>
    <col min="7460" max="7460" width="11.08984375" style="243" customWidth="1"/>
    <col min="7461" max="7461" width="10.90625" style="243" customWidth="1"/>
    <col min="7462" max="7465" width="8.81640625" style="243"/>
    <col min="7466" max="7466" width="11.453125" style="243" bestFit="1" customWidth="1"/>
    <col min="7467" max="7467" width="10.1796875" style="243" customWidth="1"/>
    <col min="7468" max="7468" width="11.54296875" style="243" customWidth="1"/>
    <col min="7469" max="7469" width="12.08984375" style="243" customWidth="1"/>
    <col min="7470" max="7470" width="13.1796875" style="243" customWidth="1"/>
    <col min="7471" max="7471" width="14.08984375" style="243" customWidth="1"/>
    <col min="7472" max="7472" width="11.81640625" style="243" customWidth="1"/>
    <col min="7473" max="7473" width="9.6328125" style="243" customWidth="1"/>
    <col min="7474" max="7477" width="8.81640625" style="243"/>
    <col min="7478" max="7478" width="28.81640625" style="243" customWidth="1"/>
    <col min="7479" max="7479" width="11.81640625" style="243" customWidth="1"/>
    <col min="7480" max="7480" width="10" style="243" customWidth="1"/>
    <col min="7481" max="7481" width="10.453125" style="243" customWidth="1"/>
    <col min="7482" max="7483" width="8.81640625" style="243"/>
    <col min="7484" max="7484" width="9.36328125" style="243" customWidth="1"/>
    <col min="7485" max="7485" width="18.453125" style="243" customWidth="1"/>
    <col min="7486" max="7486" width="11" style="243" customWidth="1"/>
    <col min="7487" max="7487" width="9.54296875" style="243" customWidth="1"/>
    <col min="7488" max="7488" width="10.6328125" style="243" customWidth="1"/>
    <col min="7489" max="7489" width="9.90625" style="243" customWidth="1"/>
    <col min="7490" max="7490" width="11.453125" style="243" customWidth="1"/>
    <col min="7491" max="7491" width="9.90625" style="243" customWidth="1"/>
    <col min="7492" max="7492" width="10" style="243" customWidth="1"/>
    <col min="7493" max="7493" width="6.81640625" style="243" customWidth="1"/>
    <col min="7494" max="7494" width="12.54296875" style="243" customWidth="1"/>
    <col min="7495" max="7495" width="9.54296875" style="243" customWidth="1"/>
    <col min="7496" max="7496" width="10.36328125" style="243" customWidth="1"/>
    <col min="7497" max="7497" width="7.81640625" style="243" customWidth="1"/>
    <col min="7498" max="7498" width="7.1796875" style="243" customWidth="1"/>
    <col min="7499" max="7499" width="17.6328125" style="243" customWidth="1"/>
    <col min="7500" max="7500" width="8.81640625" style="243" customWidth="1"/>
    <col min="7501" max="7501" width="13.08984375" style="243" bestFit="1" customWidth="1"/>
    <col min="7502" max="7502" width="13.81640625" style="243" customWidth="1"/>
    <col min="7503" max="7504" width="8.81640625" style="243"/>
    <col min="7505" max="7505" width="9" style="243" bestFit="1" customWidth="1"/>
    <col min="7506" max="7514" width="8.81640625" style="243"/>
    <col min="7515" max="7515" width="13.08984375" style="243" customWidth="1"/>
    <col min="7516" max="7516" width="8.81640625" style="243"/>
    <col min="7517" max="7517" width="9.90625" style="243" customWidth="1"/>
    <col min="7518" max="7521" width="8.81640625" style="243"/>
    <col min="7522" max="7522" width="8.54296875" style="243" customWidth="1"/>
    <col min="7523" max="7523" width="30.36328125" style="243" customWidth="1"/>
    <col min="7524" max="7524" width="9" style="243" bestFit="1" customWidth="1"/>
    <col min="7525" max="7525" width="8.81640625" style="243"/>
    <col min="7526" max="7526" width="5.90625" style="243" customWidth="1"/>
    <col min="7527" max="7527" width="6.90625" style="243" customWidth="1"/>
    <col min="7528" max="7528" width="23.90625" style="243" customWidth="1"/>
    <col min="7529" max="7535" width="8.81640625" style="243"/>
    <col min="7536" max="7536" width="9" style="243" bestFit="1" customWidth="1"/>
    <col min="7537" max="7538" width="8.81640625" style="243"/>
    <col min="7539" max="7539" width="32.90625" style="243" customWidth="1"/>
    <col min="7540" max="7540" width="16.6328125" style="243" customWidth="1"/>
    <col min="7541" max="7541" width="10.1796875" style="243" customWidth="1"/>
    <col min="7542" max="7542" width="12.453125" style="243" customWidth="1"/>
    <col min="7543" max="7543" width="10" style="243" bestFit="1" customWidth="1"/>
    <col min="7544" max="7544" width="8.81640625" style="243"/>
    <col min="7545" max="7545" width="9" style="243" bestFit="1" customWidth="1"/>
    <col min="7546" max="7547" width="8.81640625" style="243"/>
    <col min="7548" max="7548" width="11.6328125" style="243" customWidth="1"/>
    <col min="7549" max="7549" width="8.81640625" style="243"/>
    <col min="7550" max="7550" width="28.81640625" style="243" customWidth="1"/>
    <col min="7551" max="7551" width="12.36328125" style="243" customWidth="1"/>
    <col min="7552" max="7552" width="11.1796875" style="243" customWidth="1"/>
    <col min="7553" max="7680" width="8.81640625" style="243"/>
    <col min="7681" max="7681" width="5.6328125" style="243" customWidth="1"/>
    <col min="7682" max="7682" width="26.54296875" style="243" customWidth="1"/>
    <col min="7683" max="7683" width="11.453125" style="243" customWidth="1"/>
    <col min="7684" max="7684" width="7.453125" style="243" customWidth="1"/>
    <col min="7685" max="7685" width="8.54296875" style="243" customWidth="1"/>
    <col min="7686" max="7686" width="12.36328125" style="243" customWidth="1"/>
    <col min="7687" max="7687" width="11.81640625" style="243" customWidth="1"/>
    <col min="7688" max="7688" width="8.1796875" style="243" customWidth="1"/>
    <col min="7689" max="7689" width="12" style="243" customWidth="1"/>
    <col min="7690" max="7690" width="8.81640625" style="243" customWidth="1"/>
    <col min="7691" max="7691" width="11.08984375" style="243" customWidth="1"/>
    <col min="7692" max="7692" width="12.90625" style="243" customWidth="1"/>
    <col min="7693" max="7693" width="12.54296875" style="243" customWidth="1"/>
    <col min="7694" max="7694" width="9.6328125" style="243" customWidth="1"/>
    <col min="7695" max="7695" width="9.90625" style="243" customWidth="1"/>
    <col min="7696" max="7696" width="11.36328125" style="243" customWidth="1"/>
    <col min="7697" max="7697" width="11.54296875" style="243" customWidth="1"/>
    <col min="7698" max="7698" width="11.6328125" style="243" customWidth="1"/>
    <col min="7699" max="7699" width="10.36328125" style="243" customWidth="1"/>
    <col min="7700" max="7700" width="11.81640625" style="243" customWidth="1"/>
    <col min="7701" max="7701" width="12.08984375" style="243" customWidth="1"/>
    <col min="7702" max="7702" width="11" style="243" customWidth="1"/>
    <col min="7703" max="7703" width="12.08984375" style="243" customWidth="1"/>
    <col min="7704" max="7704" width="10.54296875" style="243" customWidth="1"/>
    <col min="7705" max="7705" width="9.90625" style="243" customWidth="1"/>
    <col min="7706" max="7706" width="10.81640625" style="243" customWidth="1"/>
    <col min="7707" max="7707" width="9.81640625" style="243" customWidth="1"/>
    <col min="7708" max="7708" width="11.1796875" style="243" customWidth="1"/>
    <col min="7709" max="7709" width="10.36328125" style="243" customWidth="1"/>
    <col min="7710" max="7710" width="11.90625" style="243" customWidth="1"/>
    <col min="7711" max="7711" width="8.81640625" style="243"/>
    <col min="7712" max="7712" width="13.90625" style="243" customWidth="1"/>
    <col min="7713" max="7713" width="10.90625" style="243" customWidth="1"/>
    <col min="7714" max="7714" width="11.453125" style="243" customWidth="1"/>
    <col min="7715" max="7715" width="11.81640625" style="243" customWidth="1"/>
    <col min="7716" max="7716" width="11.08984375" style="243" customWidth="1"/>
    <col min="7717" max="7717" width="10.90625" style="243" customWidth="1"/>
    <col min="7718" max="7721" width="8.81640625" style="243"/>
    <col min="7722" max="7722" width="11.453125" style="243" bestFit="1" customWidth="1"/>
    <col min="7723" max="7723" width="10.1796875" style="243" customWidth="1"/>
    <col min="7724" max="7724" width="11.54296875" style="243" customWidth="1"/>
    <col min="7725" max="7725" width="12.08984375" style="243" customWidth="1"/>
    <col min="7726" max="7726" width="13.1796875" style="243" customWidth="1"/>
    <col min="7727" max="7727" width="14.08984375" style="243" customWidth="1"/>
    <col min="7728" max="7728" width="11.81640625" style="243" customWidth="1"/>
    <col min="7729" max="7729" width="9.6328125" style="243" customWidth="1"/>
    <col min="7730" max="7733" width="8.81640625" style="243"/>
    <col min="7734" max="7734" width="28.81640625" style="243" customWidth="1"/>
    <col min="7735" max="7735" width="11.81640625" style="243" customWidth="1"/>
    <col min="7736" max="7736" width="10" style="243" customWidth="1"/>
    <col min="7737" max="7737" width="10.453125" style="243" customWidth="1"/>
    <col min="7738" max="7739" width="8.81640625" style="243"/>
    <col min="7740" max="7740" width="9.36328125" style="243" customWidth="1"/>
    <col min="7741" max="7741" width="18.453125" style="243" customWidth="1"/>
    <col min="7742" max="7742" width="11" style="243" customWidth="1"/>
    <col min="7743" max="7743" width="9.54296875" style="243" customWidth="1"/>
    <col min="7744" max="7744" width="10.6328125" style="243" customWidth="1"/>
    <col min="7745" max="7745" width="9.90625" style="243" customWidth="1"/>
    <col min="7746" max="7746" width="11.453125" style="243" customWidth="1"/>
    <col min="7747" max="7747" width="9.90625" style="243" customWidth="1"/>
    <col min="7748" max="7748" width="10" style="243" customWidth="1"/>
    <col min="7749" max="7749" width="6.81640625" style="243" customWidth="1"/>
    <col min="7750" max="7750" width="12.54296875" style="243" customWidth="1"/>
    <col min="7751" max="7751" width="9.54296875" style="243" customWidth="1"/>
    <col min="7752" max="7752" width="10.36328125" style="243" customWidth="1"/>
    <col min="7753" max="7753" width="7.81640625" style="243" customWidth="1"/>
    <col min="7754" max="7754" width="7.1796875" style="243" customWidth="1"/>
    <col min="7755" max="7755" width="17.6328125" style="243" customWidth="1"/>
    <col min="7756" max="7756" width="8.81640625" style="243" customWidth="1"/>
    <col min="7757" max="7757" width="13.08984375" style="243" bestFit="1" customWidth="1"/>
    <col min="7758" max="7758" width="13.81640625" style="243" customWidth="1"/>
    <col min="7759" max="7760" width="8.81640625" style="243"/>
    <col min="7761" max="7761" width="9" style="243" bestFit="1" customWidth="1"/>
    <col min="7762" max="7770" width="8.81640625" style="243"/>
    <col min="7771" max="7771" width="13.08984375" style="243" customWidth="1"/>
    <col min="7772" max="7772" width="8.81640625" style="243"/>
    <col min="7773" max="7773" width="9.90625" style="243" customWidth="1"/>
    <col min="7774" max="7777" width="8.81640625" style="243"/>
    <col min="7778" max="7778" width="8.54296875" style="243" customWidth="1"/>
    <col min="7779" max="7779" width="30.36328125" style="243" customWidth="1"/>
    <col min="7780" max="7780" width="9" style="243" bestFit="1" customWidth="1"/>
    <col min="7781" max="7781" width="8.81640625" style="243"/>
    <col min="7782" max="7782" width="5.90625" style="243" customWidth="1"/>
    <col min="7783" max="7783" width="6.90625" style="243" customWidth="1"/>
    <col min="7784" max="7784" width="23.90625" style="243" customWidth="1"/>
    <col min="7785" max="7791" width="8.81640625" style="243"/>
    <col min="7792" max="7792" width="9" style="243" bestFit="1" customWidth="1"/>
    <col min="7793" max="7794" width="8.81640625" style="243"/>
    <col min="7795" max="7795" width="32.90625" style="243" customWidth="1"/>
    <col min="7796" max="7796" width="16.6328125" style="243" customWidth="1"/>
    <col min="7797" max="7797" width="10.1796875" style="243" customWidth="1"/>
    <col min="7798" max="7798" width="12.453125" style="243" customWidth="1"/>
    <col min="7799" max="7799" width="10" style="243" bestFit="1" customWidth="1"/>
    <col min="7800" max="7800" width="8.81640625" style="243"/>
    <col min="7801" max="7801" width="9" style="243" bestFit="1" customWidth="1"/>
    <col min="7802" max="7803" width="8.81640625" style="243"/>
    <col min="7804" max="7804" width="11.6328125" style="243" customWidth="1"/>
    <col min="7805" max="7805" width="8.81640625" style="243"/>
    <col min="7806" max="7806" width="28.81640625" style="243" customWidth="1"/>
    <col min="7807" max="7807" width="12.36328125" style="243" customWidth="1"/>
    <col min="7808" max="7808" width="11.1796875" style="243" customWidth="1"/>
    <col min="7809" max="7936" width="8.81640625" style="243"/>
    <col min="7937" max="7937" width="5.6328125" style="243" customWidth="1"/>
    <col min="7938" max="7938" width="26.54296875" style="243" customWidth="1"/>
    <col min="7939" max="7939" width="11.453125" style="243" customWidth="1"/>
    <col min="7940" max="7940" width="7.453125" style="243" customWidth="1"/>
    <col min="7941" max="7941" width="8.54296875" style="243" customWidth="1"/>
    <col min="7942" max="7942" width="12.36328125" style="243" customWidth="1"/>
    <col min="7943" max="7943" width="11.81640625" style="243" customWidth="1"/>
    <col min="7944" max="7944" width="8.1796875" style="243" customWidth="1"/>
    <col min="7945" max="7945" width="12" style="243" customWidth="1"/>
    <col min="7946" max="7946" width="8.81640625" style="243" customWidth="1"/>
    <col min="7947" max="7947" width="11.08984375" style="243" customWidth="1"/>
    <col min="7948" max="7948" width="12.90625" style="243" customWidth="1"/>
    <col min="7949" max="7949" width="12.54296875" style="243" customWidth="1"/>
    <col min="7950" max="7950" width="9.6328125" style="243" customWidth="1"/>
    <col min="7951" max="7951" width="9.90625" style="243" customWidth="1"/>
    <col min="7952" max="7952" width="11.36328125" style="243" customWidth="1"/>
    <col min="7953" max="7953" width="11.54296875" style="243" customWidth="1"/>
    <col min="7954" max="7954" width="11.6328125" style="243" customWidth="1"/>
    <col min="7955" max="7955" width="10.36328125" style="243" customWidth="1"/>
    <col min="7956" max="7956" width="11.81640625" style="243" customWidth="1"/>
    <col min="7957" max="7957" width="12.08984375" style="243" customWidth="1"/>
    <col min="7958" max="7958" width="11" style="243" customWidth="1"/>
    <col min="7959" max="7959" width="12.08984375" style="243" customWidth="1"/>
    <col min="7960" max="7960" width="10.54296875" style="243" customWidth="1"/>
    <col min="7961" max="7961" width="9.90625" style="243" customWidth="1"/>
    <col min="7962" max="7962" width="10.81640625" style="243" customWidth="1"/>
    <col min="7963" max="7963" width="9.81640625" style="243" customWidth="1"/>
    <col min="7964" max="7964" width="11.1796875" style="243" customWidth="1"/>
    <col min="7965" max="7965" width="10.36328125" style="243" customWidth="1"/>
    <col min="7966" max="7966" width="11.90625" style="243" customWidth="1"/>
    <col min="7967" max="7967" width="8.81640625" style="243"/>
    <col min="7968" max="7968" width="13.90625" style="243" customWidth="1"/>
    <col min="7969" max="7969" width="10.90625" style="243" customWidth="1"/>
    <col min="7970" max="7970" width="11.453125" style="243" customWidth="1"/>
    <col min="7971" max="7971" width="11.81640625" style="243" customWidth="1"/>
    <col min="7972" max="7972" width="11.08984375" style="243" customWidth="1"/>
    <col min="7973" max="7973" width="10.90625" style="243" customWidth="1"/>
    <col min="7974" max="7977" width="8.81640625" style="243"/>
    <col min="7978" max="7978" width="11.453125" style="243" bestFit="1" customWidth="1"/>
    <col min="7979" max="7979" width="10.1796875" style="243" customWidth="1"/>
    <col min="7980" max="7980" width="11.54296875" style="243" customWidth="1"/>
    <col min="7981" max="7981" width="12.08984375" style="243" customWidth="1"/>
    <col min="7982" max="7982" width="13.1796875" style="243" customWidth="1"/>
    <col min="7983" max="7983" width="14.08984375" style="243" customWidth="1"/>
    <col min="7984" max="7984" width="11.81640625" style="243" customWidth="1"/>
    <col min="7985" max="7985" width="9.6328125" style="243" customWidth="1"/>
    <col min="7986" max="7989" width="8.81640625" style="243"/>
    <col min="7990" max="7990" width="28.81640625" style="243" customWidth="1"/>
    <col min="7991" max="7991" width="11.81640625" style="243" customWidth="1"/>
    <col min="7992" max="7992" width="10" style="243" customWidth="1"/>
    <col min="7993" max="7993" width="10.453125" style="243" customWidth="1"/>
    <col min="7994" max="7995" width="8.81640625" style="243"/>
    <col min="7996" max="7996" width="9.36328125" style="243" customWidth="1"/>
    <col min="7997" max="7997" width="18.453125" style="243" customWidth="1"/>
    <col min="7998" max="7998" width="11" style="243" customWidth="1"/>
    <col min="7999" max="7999" width="9.54296875" style="243" customWidth="1"/>
    <col min="8000" max="8000" width="10.6328125" style="243" customWidth="1"/>
    <col min="8001" max="8001" width="9.90625" style="243" customWidth="1"/>
    <col min="8002" max="8002" width="11.453125" style="243" customWidth="1"/>
    <col min="8003" max="8003" width="9.90625" style="243" customWidth="1"/>
    <col min="8004" max="8004" width="10" style="243" customWidth="1"/>
    <col min="8005" max="8005" width="6.81640625" style="243" customWidth="1"/>
    <col min="8006" max="8006" width="12.54296875" style="243" customWidth="1"/>
    <col min="8007" max="8007" width="9.54296875" style="243" customWidth="1"/>
    <col min="8008" max="8008" width="10.36328125" style="243" customWidth="1"/>
    <col min="8009" max="8009" width="7.81640625" style="243" customWidth="1"/>
    <col min="8010" max="8010" width="7.1796875" style="243" customWidth="1"/>
    <col min="8011" max="8011" width="17.6328125" style="243" customWidth="1"/>
    <col min="8012" max="8012" width="8.81640625" style="243" customWidth="1"/>
    <col min="8013" max="8013" width="13.08984375" style="243" bestFit="1" customWidth="1"/>
    <col min="8014" max="8014" width="13.81640625" style="243" customWidth="1"/>
    <col min="8015" max="8016" width="8.81640625" style="243"/>
    <col min="8017" max="8017" width="9" style="243" bestFit="1" customWidth="1"/>
    <col min="8018" max="8026" width="8.81640625" style="243"/>
    <col min="8027" max="8027" width="13.08984375" style="243" customWidth="1"/>
    <col min="8028" max="8028" width="8.81640625" style="243"/>
    <col min="8029" max="8029" width="9.90625" style="243" customWidth="1"/>
    <col min="8030" max="8033" width="8.81640625" style="243"/>
    <col min="8034" max="8034" width="8.54296875" style="243" customWidth="1"/>
    <col min="8035" max="8035" width="30.36328125" style="243" customWidth="1"/>
    <col min="8036" max="8036" width="9" style="243" bestFit="1" customWidth="1"/>
    <col min="8037" max="8037" width="8.81640625" style="243"/>
    <col min="8038" max="8038" width="5.90625" style="243" customWidth="1"/>
    <col min="8039" max="8039" width="6.90625" style="243" customWidth="1"/>
    <col min="8040" max="8040" width="23.90625" style="243" customWidth="1"/>
    <col min="8041" max="8047" width="8.81640625" style="243"/>
    <col min="8048" max="8048" width="9" style="243" bestFit="1" customWidth="1"/>
    <col min="8049" max="8050" width="8.81640625" style="243"/>
    <col min="8051" max="8051" width="32.90625" style="243" customWidth="1"/>
    <col min="8052" max="8052" width="16.6328125" style="243" customWidth="1"/>
    <col min="8053" max="8053" width="10.1796875" style="243" customWidth="1"/>
    <col min="8054" max="8054" width="12.453125" style="243" customWidth="1"/>
    <col min="8055" max="8055" width="10" style="243" bestFit="1" customWidth="1"/>
    <col min="8056" max="8056" width="8.81640625" style="243"/>
    <col min="8057" max="8057" width="9" style="243" bestFit="1" customWidth="1"/>
    <col min="8058" max="8059" width="8.81640625" style="243"/>
    <col min="8060" max="8060" width="11.6328125" style="243" customWidth="1"/>
    <col min="8061" max="8061" width="8.81640625" style="243"/>
    <col min="8062" max="8062" width="28.81640625" style="243" customWidth="1"/>
    <col min="8063" max="8063" width="12.36328125" style="243" customWidth="1"/>
    <col min="8064" max="8064" width="11.1796875" style="243" customWidth="1"/>
    <col min="8065" max="8192" width="8.81640625" style="243"/>
    <col min="8193" max="8193" width="5.6328125" style="243" customWidth="1"/>
    <col min="8194" max="8194" width="26.54296875" style="243" customWidth="1"/>
    <col min="8195" max="8195" width="11.453125" style="243" customWidth="1"/>
    <col min="8196" max="8196" width="7.453125" style="243" customWidth="1"/>
    <col min="8197" max="8197" width="8.54296875" style="243" customWidth="1"/>
    <col min="8198" max="8198" width="12.36328125" style="243" customWidth="1"/>
    <col min="8199" max="8199" width="11.81640625" style="243" customWidth="1"/>
    <col min="8200" max="8200" width="8.1796875" style="243" customWidth="1"/>
    <col min="8201" max="8201" width="12" style="243" customWidth="1"/>
    <col min="8202" max="8202" width="8.81640625" style="243" customWidth="1"/>
    <col min="8203" max="8203" width="11.08984375" style="243" customWidth="1"/>
    <col min="8204" max="8204" width="12.90625" style="243" customWidth="1"/>
    <col min="8205" max="8205" width="12.54296875" style="243" customWidth="1"/>
    <col min="8206" max="8206" width="9.6328125" style="243" customWidth="1"/>
    <col min="8207" max="8207" width="9.90625" style="243" customWidth="1"/>
    <col min="8208" max="8208" width="11.36328125" style="243" customWidth="1"/>
    <col min="8209" max="8209" width="11.54296875" style="243" customWidth="1"/>
    <col min="8210" max="8210" width="11.6328125" style="243" customWidth="1"/>
    <col min="8211" max="8211" width="10.36328125" style="243" customWidth="1"/>
    <col min="8212" max="8212" width="11.81640625" style="243" customWidth="1"/>
    <col min="8213" max="8213" width="12.08984375" style="243" customWidth="1"/>
    <col min="8214" max="8214" width="11" style="243" customWidth="1"/>
    <col min="8215" max="8215" width="12.08984375" style="243" customWidth="1"/>
    <col min="8216" max="8216" width="10.54296875" style="243" customWidth="1"/>
    <col min="8217" max="8217" width="9.90625" style="243" customWidth="1"/>
    <col min="8218" max="8218" width="10.81640625" style="243" customWidth="1"/>
    <col min="8219" max="8219" width="9.81640625" style="243" customWidth="1"/>
    <col min="8220" max="8220" width="11.1796875" style="243" customWidth="1"/>
    <col min="8221" max="8221" width="10.36328125" style="243" customWidth="1"/>
    <col min="8222" max="8222" width="11.90625" style="243" customWidth="1"/>
    <col min="8223" max="8223" width="8.81640625" style="243"/>
    <col min="8224" max="8224" width="13.90625" style="243" customWidth="1"/>
    <col min="8225" max="8225" width="10.90625" style="243" customWidth="1"/>
    <col min="8226" max="8226" width="11.453125" style="243" customWidth="1"/>
    <col min="8227" max="8227" width="11.81640625" style="243" customWidth="1"/>
    <col min="8228" max="8228" width="11.08984375" style="243" customWidth="1"/>
    <col min="8229" max="8229" width="10.90625" style="243" customWidth="1"/>
    <col min="8230" max="8233" width="8.81640625" style="243"/>
    <col min="8234" max="8234" width="11.453125" style="243" bestFit="1" customWidth="1"/>
    <col min="8235" max="8235" width="10.1796875" style="243" customWidth="1"/>
    <col min="8236" max="8236" width="11.54296875" style="243" customWidth="1"/>
    <col min="8237" max="8237" width="12.08984375" style="243" customWidth="1"/>
    <col min="8238" max="8238" width="13.1796875" style="243" customWidth="1"/>
    <col min="8239" max="8239" width="14.08984375" style="243" customWidth="1"/>
    <col min="8240" max="8240" width="11.81640625" style="243" customWidth="1"/>
    <col min="8241" max="8241" width="9.6328125" style="243" customWidth="1"/>
    <col min="8242" max="8245" width="8.81640625" style="243"/>
    <col min="8246" max="8246" width="28.81640625" style="243" customWidth="1"/>
    <col min="8247" max="8247" width="11.81640625" style="243" customWidth="1"/>
    <col min="8248" max="8248" width="10" style="243" customWidth="1"/>
    <col min="8249" max="8249" width="10.453125" style="243" customWidth="1"/>
    <col min="8250" max="8251" width="8.81640625" style="243"/>
    <col min="8252" max="8252" width="9.36328125" style="243" customWidth="1"/>
    <col min="8253" max="8253" width="18.453125" style="243" customWidth="1"/>
    <col min="8254" max="8254" width="11" style="243" customWidth="1"/>
    <col min="8255" max="8255" width="9.54296875" style="243" customWidth="1"/>
    <col min="8256" max="8256" width="10.6328125" style="243" customWidth="1"/>
    <col min="8257" max="8257" width="9.90625" style="243" customWidth="1"/>
    <col min="8258" max="8258" width="11.453125" style="243" customWidth="1"/>
    <col min="8259" max="8259" width="9.90625" style="243" customWidth="1"/>
    <col min="8260" max="8260" width="10" style="243" customWidth="1"/>
    <col min="8261" max="8261" width="6.81640625" style="243" customWidth="1"/>
    <col min="8262" max="8262" width="12.54296875" style="243" customWidth="1"/>
    <col min="8263" max="8263" width="9.54296875" style="243" customWidth="1"/>
    <col min="8264" max="8264" width="10.36328125" style="243" customWidth="1"/>
    <col min="8265" max="8265" width="7.81640625" style="243" customWidth="1"/>
    <col min="8266" max="8266" width="7.1796875" style="243" customWidth="1"/>
    <col min="8267" max="8267" width="17.6328125" style="243" customWidth="1"/>
    <col min="8268" max="8268" width="8.81640625" style="243" customWidth="1"/>
    <col min="8269" max="8269" width="13.08984375" style="243" bestFit="1" customWidth="1"/>
    <col min="8270" max="8270" width="13.81640625" style="243" customWidth="1"/>
    <col min="8271" max="8272" width="8.81640625" style="243"/>
    <col min="8273" max="8273" width="9" style="243" bestFit="1" customWidth="1"/>
    <col min="8274" max="8282" width="8.81640625" style="243"/>
    <col min="8283" max="8283" width="13.08984375" style="243" customWidth="1"/>
    <col min="8284" max="8284" width="8.81640625" style="243"/>
    <col min="8285" max="8285" width="9.90625" style="243" customWidth="1"/>
    <col min="8286" max="8289" width="8.81640625" style="243"/>
    <col min="8290" max="8290" width="8.54296875" style="243" customWidth="1"/>
    <col min="8291" max="8291" width="30.36328125" style="243" customWidth="1"/>
    <col min="8292" max="8292" width="9" style="243" bestFit="1" customWidth="1"/>
    <col min="8293" max="8293" width="8.81640625" style="243"/>
    <col min="8294" max="8294" width="5.90625" style="243" customWidth="1"/>
    <col min="8295" max="8295" width="6.90625" style="243" customWidth="1"/>
    <col min="8296" max="8296" width="23.90625" style="243" customWidth="1"/>
    <col min="8297" max="8303" width="8.81640625" style="243"/>
    <col min="8304" max="8304" width="9" style="243" bestFit="1" customWidth="1"/>
    <col min="8305" max="8306" width="8.81640625" style="243"/>
    <col min="8307" max="8307" width="32.90625" style="243" customWidth="1"/>
    <col min="8308" max="8308" width="16.6328125" style="243" customWidth="1"/>
    <col min="8309" max="8309" width="10.1796875" style="243" customWidth="1"/>
    <col min="8310" max="8310" width="12.453125" style="243" customWidth="1"/>
    <col min="8311" max="8311" width="10" style="243" bestFit="1" customWidth="1"/>
    <col min="8312" max="8312" width="8.81640625" style="243"/>
    <col min="8313" max="8313" width="9" style="243" bestFit="1" customWidth="1"/>
    <col min="8314" max="8315" width="8.81640625" style="243"/>
    <col min="8316" max="8316" width="11.6328125" style="243" customWidth="1"/>
    <col min="8317" max="8317" width="8.81640625" style="243"/>
    <col min="8318" max="8318" width="28.81640625" style="243" customWidth="1"/>
    <col min="8319" max="8319" width="12.36328125" style="243" customWidth="1"/>
    <col min="8320" max="8320" width="11.1796875" style="243" customWidth="1"/>
    <col min="8321" max="8448" width="8.81640625" style="243"/>
    <col min="8449" max="8449" width="5.6328125" style="243" customWidth="1"/>
    <col min="8450" max="8450" width="26.54296875" style="243" customWidth="1"/>
    <col min="8451" max="8451" width="11.453125" style="243" customWidth="1"/>
    <col min="8452" max="8452" width="7.453125" style="243" customWidth="1"/>
    <col min="8453" max="8453" width="8.54296875" style="243" customWidth="1"/>
    <col min="8454" max="8454" width="12.36328125" style="243" customWidth="1"/>
    <col min="8455" max="8455" width="11.81640625" style="243" customWidth="1"/>
    <col min="8456" max="8456" width="8.1796875" style="243" customWidth="1"/>
    <col min="8457" max="8457" width="12" style="243" customWidth="1"/>
    <col min="8458" max="8458" width="8.81640625" style="243" customWidth="1"/>
    <col min="8459" max="8459" width="11.08984375" style="243" customWidth="1"/>
    <col min="8460" max="8460" width="12.90625" style="243" customWidth="1"/>
    <col min="8461" max="8461" width="12.54296875" style="243" customWidth="1"/>
    <col min="8462" max="8462" width="9.6328125" style="243" customWidth="1"/>
    <col min="8463" max="8463" width="9.90625" style="243" customWidth="1"/>
    <col min="8464" max="8464" width="11.36328125" style="243" customWidth="1"/>
    <col min="8465" max="8465" width="11.54296875" style="243" customWidth="1"/>
    <col min="8466" max="8466" width="11.6328125" style="243" customWidth="1"/>
    <col min="8467" max="8467" width="10.36328125" style="243" customWidth="1"/>
    <col min="8468" max="8468" width="11.81640625" style="243" customWidth="1"/>
    <col min="8469" max="8469" width="12.08984375" style="243" customWidth="1"/>
    <col min="8470" max="8470" width="11" style="243" customWidth="1"/>
    <col min="8471" max="8471" width="12.08984375" style="243" customWidth="1"/>
    <col min="8472" max="8472" width="10.54296875" style="243" customWidth="1"/>
    <col min="8473" max="8473" width="9.90625" style="243" customWidth="1"/>
    <col min="8474" max="8474" width="10.81640625" style="243" customWidth="1"/>
    <col min="8475" max="8475" width="9.81640625" style="243" customWidth="1"/>
    <col min="8476" max="8476" width="11.1796875" style="243" customWidth="1"/>
    <col min="8477" max="8477" width="10.36328125" style="243" customWidth="1"/>
    <col min="8478" max="8478" width="11.90625" style="243" customWidth="1"/>
    <col min="8479" max="8479" width="8.81640625" style="243"/>
    <col min="8480" max="8480" width="13.90625" style="243" customWidth="1"/>
    <col min="8481" max="8481" width="10.90625" style="243" customWidth="1"/>
    <col min="8482" max="8482" width="11.453125" style="243" customWidth="1"/>
    <col min="8483" max="8483" width="11.81640625" style="243" customWidth="1"/>
    <col min="8484" max="8484" width="11.08984375" style="243" customWidth="1"/>
    <col min="8485" max="8485" width="10.90625" style="243" customWidth="1"/>
    <col min="8486" max="8489" width="8.81640625" style="243"/>
    <col min="8490" max="8490" width="11.453125" style="243" bestFit="1" customWidth="1"/>
    <col min="8491" max="8491" width="10.1796875" style="243" customWidth="1"/>
    <col min="8492" max="8492" width="11.54296875" style="243" customWidth="1"/>
    <col min="8493" max="8493" width="12.08984375" style="243" customWidth="1"/>
    <col min="8494" max="8494" width="13.1796875" style="243" customWidth="1"/>
    <col min="8495" max="8495" width="14.08984375" style="243" customWidth="1"/>
    <col min="8496" max="8496" width="11.81640625" style="243" customWidth="1"/>
    <col min="8497" max="8497" width="9.6328125" style="243" customWidth="1"/>
    <col min="8498" max="8501" width="8.81640625" style="243"/>
    <col min="8502" max="8502" width="28.81640625" style="243" customWidth="1"/>
    <col min="8503" max="8503" width="11.81640625" style="243" customWidth="1"/>
    <col min="8504" max="8504" width="10" style="243" customWidth="1"/>
    <col min="8505" max="8505" width="10.453125" style="243" customWidth="1"/>
    <col min="8506" max="8507" width="8.81640625" style="243"/>
    <col min="8508" max="8508" width="9.36328125" style="243" customWidth="1"/>
    <col min="8509" max="8509" width="18.453125" style="243" customWidth="1"/>
    <col min="8510" max="8510" width="11" style="243" customWidth="1"/>
    <col min="8511" max="8511" width="9.54296875" style="243" customWidth="1"/>
    <col min="8512" max="8512" width="10.6328125" style="243" customWidth="1"/>
    <col min="8513" max="8513" width="9.90625" style="243" customWidth="1"/>
    <col min="8514" max="8514" width="11.453125" style="243" customWidth="1"/>
    <col min="8515" max="8515" width="9.90625" style="243" customWidth="1"/>
    <col min="8516" max="8516" width="10" style="243" customWidth="1"/>
    <col min="8517" max="8517" width="6.81640625" style="243" customWidth="1"/>
    <col min="8518" max="8518" width="12.54296875" style="243" customWidth="1"/>
    <col min="8519" max="8519" width="9.54296875" style="243" customWidth="1"/>
    <col min="8520" max="8520" width="10.36328125" style="243" customWidth="1"/>
    <col min="8521" max="8521" width="7.81640625" style="243" customWidth="1"/>
    <col min="8522" max="8522" width="7.1796875" style="243" customWidth="1"/>
    <col min="8523" max="8523" width="17.6328125" style="243" customWidth="1"/>
    <col min="8524" max="8524" width="8.81640625" style="243" customWidth="1"/>
    <col min="8525" max="8525" width="13.08984375" style="243" bestFit="1" customWidth="1"/>
    <col min="8526" max="8526" width="13.81640625" style="243" customWidth="1"/>
    <col min="8527" max="8528" width="8.81640625" style="243"/>
    <col min="8529" max="8529" width="9" style="243" bestFit="1" customWidth="1"/>
    <col min="8530" max="8538" width="8.81640625" style="243"/>
    <col min="8539" max="8539" width="13.08984375" style="243" customWidth="1"/>
    <col min="8540" max="8540" width="8.81640625" style="243"/>
    <col min="8541" max="8541" width="9.90625" style="243" customWidth="1"/>
    <col min="8542" max="8545" width="8.81640625" style="243"/>
    <col min="8546" max="8546" width="8.54296875" style="243" customWidth="1"/>
    <col min="8547" max="8547" width="30.36328125" style="243" customWidth="1"/>
    <col min="8548" max="8548" width="9" style="243" bestFit="1" customWidth="1"/>
    <col min="8549" max="8549" width="8.81640625" style="243"/>
    <col min="8550" max="8550" width="5.90625" style="243" customWidth="1"/>
    <col min="8551" max="8551" width="6.90625" style="243" customWidth="1"/>
    <col min="8552" max="8552" width="23.90625" style="243" customWidth="1"/>
    <col min="8553" max="8559" width="8.81640625" style="243"/>
    <col min="8560" max="8560" width="9" style="243" bestFit="1" customWidth="1"/>
    <col min="8561" max="8562" width="8.81640625" style="243"/>
    <col min="8563" max="8563" width="32.90625" style="243" customWidth="1"/>
    <col min="8564" max="8564" width="16.6328125" style="243" customWidth="1"/>
    <col min="8565" max="8565" width="10.1796875" style="243" customWidth="1"/>
    <col min="8566" max="8566" width="12.453125" style="243" customWidth="1"/>
    <col min="8567" max="8567" width="10" style="243" bestFit="1" customWidth="1"/>
    <col min="8568" max="8568" width="8.81640625" style="243"/>
    <col min="8569" max="8569" width="9" style="243" bestFit="1" customWidth="1"/>
    <col min="8570" max="8571" width="8.81640625" style="243"/>
    <col min="8572" max="8572" width="11.6328125" style="243" customWidth="1"/>
    <col min="8573" max="8573" width="8.81640625" style="243"/>
    <col min="8574" max="8574" width="28.81640625" style="243" customWidth="1"/>
    <col min="8575" max="8575" width="12.36328125" style="243" customWidth="1"/>
    <col min="8576" max="8576" width="11.1796875" style="243" customWidth="1"/>
    <col min="8577" max="8704" width="8.81640625" style="243"/>
    <col min="8705" max="8705" width="5.6328125" style="243" customWidth="1"/>
    <col min="8706" max="8706" width="26.54296875" style="243" customWidth="1"/>
    <col min="8707" max="8707" width="11.453125" style="243" customWidth="1"/>
    <col min="8708" max="8708" width="7.453125" style="243" customWidth="1"/>
    <col min="8709" max="8709" width="8.54296875" style="243" customWidth="1"/>
    <col min="8710" max="8710" width="12.36328125" style="243" customWidth="1"/>
    <col min="8711" max="8711" width="11.81640625" style="243" customWidth="1"/>
    <col min="8712" max="8712" width="8.1796875" style="243" customWidth="1"/>
    <col min="8713" max="8713" width="12" style="243" customWidth="1"/>
    <col min="8714" max="8714" width="8.81640625" style="243" customWidth="1"/>
    <col min="8715" max="8715" width="11.08984375" style="243" customWidth="1"/>
    <col min="8716" max="8716" width="12.90625" style="243" customWidth="1"/>
    <col min="8717" max="8717" width="12.54296875" style="243" customWidth="1"/>
    <col min="8718" max="8718" width="9.6328125" style="243" customWidth="1"/>
    <col min="8719" max="8719" width="9.90625" style="243" customWidth="1"/>
    <col min="8720" max="8720" width="11.36328125" style="243" customWidth="1"/>
    <col min="8721" max="8721" width="11.54296875" style="243" customWidth="1"/>
    <col min="8722" max="8722" width="11.6328125" style="243" customWidth="1"/>
    <col min="8723" max="8723" width="10.36328125" style="243" customWidth="1"/>
    <col min="8724" max="8724" width="11.81640625" style="243" customWidth="1"/>
    <col min="8725" max="8725" width="12.08984375" style="243" customWidth="1"/>
    <col min="8726" max="8726" width="11" style="243" customWidth="1"/>
    <col min="8727" max="8727" width="12.08984375" style="243" customWidth="1"/>
    <col min="8728" max="8728" width="10.54296875" style="243" customWidth="1"/>
    <col min="8729" max="8729" width="9.90625" style="243" customWidth="1"/>
    <col min="8730" max="8730" width="10.81640625" style="243" customWidth="1"/>
    <col min="8731" max="8731" width="9.81640625" style="243" customWidth="1"/>
    <col min="8732" max="8732" width="11.1796875" style="243" customWidth="1"/>
    <col min="8733" max="8733" width="10.36328125" style="243" customWidth="1"/>
    <col min="8734" max="8734" width="11.90625" style="243" customWidth="1"/>
    <col min="8735" max="8735" width="8.81640625" style="243"/>
    <col min="8736" max="8736" width="13.90625" style="243" customWidth="1"/>
    <col min="8737" max="8737" width="10.90625" style="243" customWidth="1"/>
    <col min="8738" max="8738" width="11.453125" style="243" customWidth="1"/>
    <col min="8739" max="8739" width="11.81640625" style="243" customWidth="1"/>
    <col min="8740" max="8740" width="11.08984375" style="243" customWidth="1"/>
    <col min="8741" max="8741" width="10.90625" style="243" customWidth="1"/>
    <col min="8742" max="8745" width="8.81640625" style="243"/>
    <col min="8746" max="8746" width="11.453125" style="243" bestFit="1" customWidth="1"/>
    <col min="8747" max="8747" width="10.1796875" style="243" customWidth="1"/>
    <col min="8748" max="8748" width="11.54296875" style="243" customWidth="1"/>
    <col min="8749" max="8749" width="12.08984375" style="243" customWidth="1"/>
    <col min="8750" max="8750" width="13.1796875" style="243" customWidth="1"/>
    <col min="8751" max="8751" width="14.08984375" style="243" customWidth="1"/>
    <col min="8752" max="8752" width="11.81640625" style="243" customWidth="1"/>
    <col min="8753" max="8753" width="9.6328125" style="243" customWidth="1"/>
    <col min="8754" max="8757" width="8.81640625" style="243"/>
    <col min="8758" max="8758" width="28.81640625" style="243" customWidth="1"/>
    <col min="8759" max="8759" width="11.81640625" style="243" customWidth="1"/>
    <col min="8760" max="8760" width="10" style="243" customWidth="1"/>
    <col min="8761" max="8761" width="10.453125" style="243" customWidth="1"/>
    <col min="8762" max="8763" width="8.81640625" style="243"/>
    <col min="8764" max="8764" width="9.36328125" style="243" customWidth="1"/>
    <col min="8765" max="8765" width="18.453125" style="243" customWidth="1"/>
    <col min="8766" max="8766" width="11" style="243" customWidth="1"/>
    <col min="8767" max="8767" width="9.54296875" style="243" customWidth="1"/>
    <col min="8768" max="8768" width="10.6328125" style="243" customWidth="1"/>
    <col min="8769" max="8769" width="9.90625" style="243" customWidth="1"/>
    <col min="8770" max="8770" width="11.453125" style="243" customWidth="1"/>
    <col min="8771" max="8771" width="9.90625" style="243" customWidth="1"/>
    <col min="8772" max="8772" width="10" style="243" customWidth="1"/>
    <col min="8773" max="8773" width="6.81640625" style="243" customWidth="1"/>
    <col min="8774" max="8774" width="12.54296875" style="243" customWidth="1"/>
    <col min="8775" max="8775" width="9.54296875" style="243" customWidth="1"/>
    <col min="8776" max="8776" width="10.36328125" style="243" customWidth="1"/>
    <col min="8777" max="8777" width="7.81640625" style="243" customWidth="1"/>
    <col min="8778" max="8778" width="7.1796875" style="243" customWidth="1"/>
    <col min="8779" max="8779" width="17.6328125" style="243" customWidth="1"/>
    <col min="8780" max="8780" width="8.81640625" style="243" customWidth="1"/>
    <col min="8781" max="8781" width="13.08984375" style="243" bestFit="1" customWidth="1"/>
    <col min="8782" max="8782" width="13.81640625" style="243" customWidth="1"/>
    <col min="8783" max="8784" width="8.81640625" style="243"/>
    <col min="8785" max="8785" width="9" style="243" bestFit="1" customWidth="1"/>
    <col min="8786" max="8794" width="8.81640625" style="243"/>
    <col min="8795" max="8795" width="13.08984375" style="243" customWidth="1"/>
    <col min="8796" max="8796" width="8.81640625" style="243"/>
    <col min="8797" max="8797" width="9.90625" style="243" customWidth="1"/>
    <col min="8798" max="8801" width="8.81640625" style="243"/>
    <col min="8802" max="8802" width="8.54296875" style="243" customWidth="1"/>
    <col min="8803" max="8803" width="30.36328125" style="243" customWidth="1"/>
    <col min="8804" max="8804" width="9" style="243" bestFit="1" customWidth="1"/>
    <col min="8805" max="8805" width="8.81640625" style="243"/>
    <col min="8806" max="8806" width="5.90625" style="243" customWidth="1"/>
    <col min="8807" max="8807" width="6.90625" style="243" customWidth="1"/>
    <col min="8808" max="8808" width="23.90625" style="243" customWidth="1"/>
    <col min="8809" max="8815" width="8.81640625" style="243"/>
    <col min="8816" max="8816" width="9" style="243" bestFit="1" customWidth="1"/>
    <col min="8817" max="8818" width="8.81640625" style="243"/>
    <col min="8819" max="8819" width="32.90625" style="243" customWidth="1"/>
    <col min="8820" max="8820" width="16.6328125" style="243" customWidth="1"/>
    <col min="8821" max="8821" width="10.1796875" style="243" customWidth="1"/>
    <col min="8822" max="8822" width="12.453125" style="243" customWidth="1"/>
    <col min="8823" max="8823" width="10" style="243" bestFit="1" customWidth="1"/>
    <col min="8824" max="8824" width="8.81640625" style="243"/>
    <col min="8825" max="8825" width="9" style="243" bestFit="1" customWidth="1"/>
    <col min="8826" max="8827" width="8.81640625" style="243"/>
    <col min="8828" max="8828" width="11.6328125" style="243" customWidth="1"/>
    <col min="8829" max="8829" width="8.81640625" style="243"/>
    <col min="8830" max="8830" width="28.81640625" style="243" customWidth="1"/>
    <col min="8831" max="8831" width="12.36328125" style="243" customWidth="1"/>
    <col min="8832" max="8832" width="11.1796875" style="243" customWidth="1"/>
    <col min="8833" max="8960" width="8.81640625" style="243"/>
    <col min="8961" max="8961" width="5.6328125" style="243" customWidth="1"/>
    <col min="8962" max="8962" width="26.54296875" style="243" customWidth="1"/>
    <col min="8963" max="8963" width="11.453125" style="243" customWidth="1"/>
    <col min="8964" max="8964" width="7.453125" style="243" customWidth="1"/>
    <col min="8965" max="8965" width="8.54296875" style="243" customWidth="1"/>
    <col min="8966" max="8966" width="12.36328125" style="243" customWidth="1"/>
    <col min="8967" max="8967" width="11.81640625" style="243" customWidth="1"/>
    <col min="8968" max="8968" width="8.1796875" style="243" customWidth="1"/>
    <col min="8969" max="8969" width="12" style="243" customWidth="1"/>
    <col min="8970" max="8970" width="8.81640625" style="243" customWidth="1"/>
    <col min="8971" max="8971" width="11.08984375" style="243" customWidth="1"/>
    <col min="8972" max="8972" width="12.90625" style="243" customWidth="1"/>
    <col min="8973" max="8973" width="12.54296875" style="243" customWidth="1"/>
    <col min="8974" max="8974" width="9.6328125" style="243" customWidth="1"/>
    <col min="8975" max="8975" width="9.90625" style="243" customWidth="1"/>
    <col min="8976" max="8976" width="11.36328125" style="243" customWidth="1"/>
    <col min="8977" max="8977" width="11.54296875" style="243" customWidth="1"/>
    <col min="8978" max="8978" width="11.6328125" style="243" customWidth="1"/>
    <col min="8979" max="8979" width="10.36328125" style="243" customWidth="1"/>
    <col min="8980" max="8980" width="11.81640625" style="243" customWidth="1"/>
    <col min="8981" max="8981" width="12.08984375" style="243" customWidth="1"/>
    <col min="8982" max="8982" width="11" style="243" customWidth="1"/>
    <col min="8983" max="8983" width="12.08984375" style="243" customWidth="1"/>
    <col min="8984" max="8984" width="10.54296875" style="243" customWidth="1"/>
    <col min="8985" max="8985" width="9.90625" style="243" customWidth="1"/>
    <col min="8986" max="8986" width="10.81640625" style="243" customWidth="1"/>
    <col min="8987" max="8987" width="9.81640625" style="243" customWidth="1"/>
    <col min="8988" max="8988" width="11.1796875" style="243" customWidth="1"/>
    <col min="8989" max="8989" width="10.36328125" style="243" customWidth="1"/>
    <col min="8990" max="8990" width="11.90625" style="243" customWidth="1"/>
    <col min="8991" max="8991" width="8.81640625" style="243"/>
    <col min="8992" max="8992" width="13.90625" style="243" customWidth="1"/>
    <col min="8993" max="8993" width="10.90625" style="243" customWidth="1"/>
    <col min="8994" max="8994" width="11.453125" style="243" customWidth="1"/>
    <col min="8995" max="8995" width="11.81640625" style="243" customWidth="1"/>
    <col min="8996" max="8996" width="11.08984375" style="243" customWidth="1"/>
    <col min="8997" max="8997" width="10.90625" style="243" customWidth="1"/>
    <col min="8998" max="9001" width="8.81640625" style="243"/>
    <col min="9002" max="9002" width="11.453125" style="243" bestFit="1" customWidth="1"/>
    <col min="9003" max="9003" width="10.1796875" style="243" customWidth="1"/>
    <col min="9004" max="9004" width="11.54296875" style="243" customWidth="1"/>
    <col min="9005" max="9005" width="12.08984375" style="243" customWidth="1"/>
    <col min="9006" max="9006" width="13.1796875" style="243" customWidth="1"/>
    <col min="9007" max="9007" width="14.08984375" style="243" customWidth="1"/>
    <col min="9008" max="9008" width="11.81640625" style="243" customWidth="1"/>
    <col min="9009" max="9009" width="9.6328125" style="243" customWidth="1"/>
    <col min="9010" max="9013" width="8.81640625" style="243"/>
    <col min="9014" max="9014" width="28.81640625" style="243" customWidth="1"/>
    <col min="9015" max="9015" width="11.81640625" style="243" customWidth="1"/>
    <col min="9016" max="9016" width="10" style="243" customWidth="1"/>
    <col min="9017" max="9017" width="10.453125" style="243" customWidth="1"/>
    <col min="9018" max="9019" width="8.81640625" style="243"/>
    <col min="9020" max="9020" width="9.36328125" style="243" customWidth="1"/>
    <col min="9021" max="9021" width="18.453125" style="243" customWidth="1"/>
    <col min="9022" max="9022" width="11" style="243" customWidth="1"/>
    <col min="9023" max="9023" width="9.54296875" style="243" customWidth="1"/>
    <col min="9024" max="9024" width="10.6328125" style="243" customWidth="1"/>
    <col min="9025" max="9025" width="9.90625" style="243" customWidth="1"/>
    <col min="9026" max="9026" width="11.453125" style="243" customWidth="1"/>
    <col min="9027" max="9027" width="9.90625" style="243" customWidth="1"/>
    <col min="9028" max="9028" width="10" style="243" customWidth="1"/>
    <col min="9029" max="9029" width="6.81640625" style="243" customWidth="1"/>
    <col min="9030" max="9030" width="12.54296875" style="243" customWidth="1"/>
    <col min="9031" max="9031" width="9.54296875" style="243" customWidth="1"/>
    <col min="9032" max="9032" width="10.36328125" style="243" customWidth="1"/>
    <col min="9033" max="9033" width="7.81640625" style="243" customWidth="1"/>
    <col min="9034" max="9034" width="7.1796875" style="243" customWidth="1"/>
    <col min="9035" max="9035" width="17.6328125" style="243" customWidth="1"/>
    <col min="9036" max="9036" width="8.81640625" style="243" customWidth="1"/>
    <col min="9037" max="9037" width="13.08984375" style="243" bestFit="1" customWidth="1"/>
    <col min="9038" max="9038" width="13.81640625" style="243" customWidth="1"/>
    <col min="9039" max="9040" width="8.81640625" style="243"/>
    <col min="9041" max="9041" width="9" style="243" bestFit="1" customWidth="1"/>
    <col min="9042" max="9050" width="8.81640625" style="243"/>
    <col min="9051" max="9051" width="13.08984375" style="243" customWidth="1"/>
    <col min="9052" max="9052" width="8.81640625" style="243"/>
    <col min="9053" max="9053" width="9.90625" style="243" customWidth="1"/>
    <col min="9054" max="9057" width="8.81640625" style="243"/>
    <col min="9058" max="9058" width="8.54296875" style="243" customWidth="1"/>
    <col min="9059" max="9059" width="30.36328125" style="243" customWidth="1"/>
    <col min="9060" max="9060" width="9" style="243" bestFit="1" customWidth="1"/>
    <col min="9061" max="9061" width="8.81640625" style="243"/>
    <col min="9062" max="9062" width="5.90625" style="243" customWidth="1"/>
    <col min="9063" max="9063" width="6.90625" style="243" customWidth="1"/>
    <col min="9064" max="9064" width="23.90625" style="243" customWidth="1"/>
    <col min="9065" max="9071" width="8.81640625" style="243"/>
    <col min="9072" max="9072" width="9" style="243" bestFit="1" customWidth="1"/>
    <col min="9073" max="9074" width="8.81640625" style="243"/>
    <col min="9075" max="9075" width="32.90625" style="243" customWidth="1"/>
    <col min="9076" max="9076" width="16.6328125" style="243" customWidth="1"/>
    <col min="9077" max="9077" width="10.1796875" style="243" customWidth="1"/>
    <col min="9078" max="9078" width="12.453125" style="243" customWidth="1"/>
    <col min="9079" max="9079" width="10" style="243" bestFit="1" customWidth="1"/>
    <col min="9080" max="9080" width="8.81640625" style="243"/>
    <col min="9081" max="9081" width="9" style="243" bestFit="1" customWidth="1"/>
    <col min="9082" max="9083" width="8.81640625" style="243"/>
    <col min="9084" max="9084" width="11.6328125" style="243" customWidth="1"/>
    <col min="9085" max="9085" width="8.81640625" style="243"/>
    <col min="9086" max="9086" width="28.81640625" style="243" customWidth="1"/>
    <col min="9087" max="9087" width="12.36328125" style="243" customWidth="1"/>
    <col min="9088" max="9088" width="11.1796875" style="243" customWidth="1"/>
    <col min="9089" max="9216" width="8.81640625" style="243"/>
    <col min="9217" max="9217" width="5.6328125" style="243" customWidth="1"/>
    <col min="9218" max="9218" width="26.54296875" style="243" customWidth="1"/>
    <col min="9219" max="9219" width="11.453125" style="243" customWidth="1"/>
    <col min="9220" max="9220" width="7.453125" style="243" customWidth="1"/>
    <col min="9221" max="9221" width="8.54296875" style="243" customWidth="1"/>
    <col min="9222" max="9222" width="12.36328125" style="243" customWidth="1"/>
    <col min="9223" max="9223" width="11.81640625" style="243" customWidth="1"/>
    <col min="9224" max="9224" width="8.1796875" style="243" customWidth="1"/>
    <col min="9225" max="9225" width="12" style="243" customWidth="1"/>
    <col min="9226" max="9226" width="8.81640625" style="243" customWidth="1"/>
    <col min="9227" max="9227" width="11.08984375" style="243" customWidth="1"/>
    <col min="9228" max="9228" width="12.90625" style="243" customWidth="1"/>
    <col min="9229" max="9229" width="12.54296875" style="243" customWidth="1"/>
    <col min="9230" max="9230" width="9.6328125" style="243" customWidth="1"/>
    <col min="9231" max="9231" width="9.90625" style="243" customWidth="1"/>
    <col min="9232" max="9232" width="11.36328125" style="243" customWidth="1"/>
    <col min="9233" max="9233" width="11.54296875" style="243" customWidth="1"/>
    <col min="9234" max="9234" width="11.6328125" style="243" customWidth="1"/>
    <col min="9235" max="9235" width="10.36328125" style="243" customWidth="1"/>
    <col min="9236" max="9236" width="11.81640625" style="243" customWidth="1"/>
    <col min="9237" max="9237" width="12.08984375" style="243" customWidth="1"/>
    <col min="9238" max="9238" width="11" style="243" customWidth="1"/>
    <col min="9239" max="9239" width="12.08984375" style="243" customWidth="1"/>
    <col min="9240" max="9240" width="10.54296875" style="243" customWidth="1"/>
    <col min="9241" max="9241" width="9.90625" style="243" customWidth="1"/>
    <col min="9242" max="9242" width="10.81640625" style="243" customWidth="1"/>
    <col min="9243" max="9243" width="9.81640625" style="243" customWidth="1"/>
    <col min="9244" max="9244" width="11.1796875" style="243" customWidth="1"/>
    <col min="9245" max="9245" width="10.36328125" style="243" customWidth="1"/>
    <col min="9246" max="9246" width="11.90625" style="243" customWidth="1"/>
    <col min="9247" max="9247" width="8.81640625" style="243"/>
    <col min="9248" max="9248" width="13.90625" style="243" customWidth="1"/>
    <col min="9249" max="9249" width="10.90625" style="243" customWidth="1"/>
    <col min="9250" max="9250" width="11.453125" style="243" customWidth="1"/>
    <col min="9251" max="9251" width="11.81640625" style="243" customWidth="1"/>
    <col min="9252" max="9252" width="11.08984375" style="243" customWidth="1"/>
    <col min="9253" max="9253" width="10.90625" style="243" customWidth="1"/>
    <col min="9254" max="9257" width="8.81640625" style="243"/>
    <col min="9258" max="9258" width="11.453125" style="243" bestFit="1" customWidth="1"/>
    <col min="9259" max="9259" width="10.1796875" style="243" customWidth="1"/>
    <col min="9260" max="9260" width="11.54296875" style="243" customWidth="1"/>
    <col min="9261" max="9261" width="12.08984375" style="243" customWidth="1"/>
    <col min="9262" max="9262" width="13.1796875" style="243" customWidth="1"/>
    <col min="9263" max="9263" width="14.08984375" style="243" customWidth="1"/>
    <col min="9264" max="9264" width="11.81640625" style="243" customWidth="1"/>
    <col min="9265" max="9265" width="9.6328125" style="243" customWidth="1"/>
    <col min="9266" max="9269" width="8.81640625" style="243"/>
    <col min="9270" max="9270" width="28.81640625" style="243" customWidth="1"/>
    <col min="9271" max="9271" width="11.81640625" style="243" customWidth="1"/>
    <col min="9272" max="9272" width="10" style="243" customWidth="1"/>
    <col min="9273" max="9273" width="10.453125" style="243" customWidth="1"/>
    <col min="9274" max="9275" width="8.81640625" style="243"/>
    <col min="9276" max="9276" width="9.36328125" style="243" customWidth="1"/>
    <col min="9277" max="9277" width="18.453125" style="243" customWidth="1"/>
    <col min="9278" max="9278" width="11" style="243" customWidth="1"/>
    <col min="9279" max="9279" width="9.54296875" style="243" customWidth="1"/>
    <col min="9280" max="9280" width="10.6328125" style="243" customWidth="1"/>
    <col min="9281" max="9281" width="9.90625" style="243" customWidth="1"/>
    <col min="9282" max="9282" width="11.453125" style="243" customWidth="1"/>
    <col min="9283" max="9283" width="9.90625" style="243" customWidth="1"/>
    <col min="9284" max="9284" width="10" style="243" customWidth="1"/>
    <col min="9285" max="9285" width="6.81640625" style="243" customWidth="1"/>
    <col min="9286" max="9286" width="12.54296875" style="243" customWidth="1"/>
    <col min="9287" max="9287" width="9.54296875" style="243" customWidth="1"/>
    <col min="9288" max="9288" width="10.36328125" style="243" customWidth="1"/>
    <col min="9289" max="9289" width="7.81640625" style="243" customWidth="1"/>
    <col min="9290" max="9290" width="7.1796875" style="243" customWidth="1"/>
    <col min="9291" max="9291" width="17.6328125" style="243" customWidth="1"/>
    <col min="9292" max="9292" width="8.81640625" style="243" customWidth="1"/>
    <col min="9293" max="9293" width="13.08984375" style="243" bestFit="1" customWidth="1"/>
    <col min="9294" max="9294" width="13.81640625" style="243" customWidth="1"/>
    <col min="9295" max="9296" width="8.81640625" style="243"/>
    <col min="9297" max="9297" width="9" style="243" bestFit="1" customWidth="1"/>
    <col min="9298" max="9306" width="8.81640625" style="243"/>
    <col min="9307" max="9307" width="13.08984375" style="243" customWidth="1"/>
    <col min="9308" max="9308" width="8.81640625" style="243"/>
    <col min="9309" max="9309" width="9.90625" style="243" customWidth="1"/>
    <col min="9310" max="9313" width="8.81640625" style="243"/>
    <col min="9314" max="9314" width="8.54296875" style="243" customWidth="1"/>
    <col min="9315" max="9315" width="30.36328125" style="243" customWidth="1"/>
    <col min="9316" max="9316" width="9" style="243" bestFit="1" customWidth="1"/>
    <col min="9317" max="9317" width="8.81640625" style="243"/>
    <col min="9318" max="9318" width="5.90625" style="243" customWidth="1"/>
    <col min="9319" max="9319" width="6.90625" style="243" customWidth="1"/>
    <col min="9320" max="9320" width="23.90625" style="243" customWidth="1"/>
    <col min="9321" max="9327" width="8.81640625" style="243"/>
    <col min="9328" max="9328" width="9" style="243" bestFit="1" customWidth="1"/>
    <col min="9329" max="9330" width="8.81640625" style="243"/>
    <col min="9331" max="9331" width="32.90625" style="243" customWidth="1"/>
    <col min="9332" max="9332" width="16.6328125" style="243" customWidth="1"/>
    <col min="9333" max="9333" width="10.1796875" style="243" customWidth="1"/>
    <col min="9334" max="9334" width="12.453125" style="243" customWidth="1"/>
    <col min="9335" max="9335" width="10" style="243" bestFit="1" customWidth="1"/>
    <col min="9336" max="9336" width="8.81640625" style="243"/>
    <col min="9337" max="9337" width="9" style="243" bestFit="1" customWidth="1"/>
    <col min="9338" max="9339" width="8.81640625" style="243"/>
    <col min="9340" max="9340" width="11.6328125" style="243" customWidth="1"/>
    <col min="9341" max="9341" width="8.81640625" style="243"/>
    <col min="9342" max="9342" width="28.81640625" style="243" customWidth="1"/>
    <col min="9343" max="9343" width="12.36328125" style="243" customWidth="1"/>
    <col min="9344" max="9344" width="11.1796875" style="243" customWidth="1"/>
    <col min="9345" max="9472" width="8.81640625" style="243"/>
    <col min="9473" max="9473" width="5.6328125" style="243" customWidth="1"/>
    <col min="9474" max="9474" width="26.54296875" style="243" customWidth="1"/>
    <col min="9475" max="9475" width="11.453125" style="243" customWidth="1"/>
    <col min="9476" max="9476" width="7.453125" style="243" customWidth="1"/>
    <col min="9477" max="9477" width="8.54296875" style="243" customWidth="1"/>
    <col min="9478" max="9478" width="12.36328125" style="243" customWidth="1"/>
    <col min="9479" max="9479" width="11.81640625" style="243" customWidth="1"/>
    <col min="9480" max="9480" width="8.1796875" style="243" customWidth="1"/>
    <col min="9481" max="9481" width="12" style="243" customWidth="1"/>
    <col min="9482" max="9482" width="8.81640625" style="243" customWidth="1"/>
    <col min="9483" max="9483" width="11.08984375" style="243" customWidth="1"/>
    <col min="9484" max="9484" width="12.90625" style="243" customWidth="1"/>
    <col min="9485" max="9485" width="12.54296875" style="243" customWidth="1"/>
    <col min="9486" max="9486" width="9.6328125" style="243" customWidth="1"/>
    <col min="9487" max="9487" width="9.90625" style="243" customWidth="1"/>
    <col min="9488" max="9488" width="11.36328125" style="243" customWidth="1"/>
    <col min="9489" max="9489" width="11.54296875" style="243" customWidth="1"/>
    <col min="9490" max="9490" width="11.6328125" style="243" customWidth="1"/>
    <col min="9491" max="9491" width="10.36328125" style="243" customWidth="1"/>
    <col min="9492" max="9492" width="11.81640625" style="243" customWidth="1"/>
    <col min="9493" max="9493" width="12.08984375" style="243" customWidth="1"/>
    <col min="9494" max="9494" width="11" style="243" customWidth="1"/>
    <col min="9495" max="9495" width="12.08984375" style="243" customWidth="1"/>
    <col min="9496" max="9496" width="10.54296875" style="243" customWidth="1"/>
    <col min="9497" max="9497" width="9.90625" style="243" customWidth="1"/>
    <col min="9498" max="9498" width="10.81640625" style="243" customWidth="1"/>
    <col min="9499" max="9499" width="9.81640625" style="243" customWidth="1"/>
    <col min="9500" max="9500" width="11.1796875" style="243" customWidth="1"/>
    <col min="9501" max="9501" width="10.36328125" style="243" customWidth="1"/>
    <col min="9502" max="9502" width="11.90625" style="243" customWidth="1"/>
    <col min="9503" max="9503" width="8.81640625" style="243"/>
    <col min="9504" max="9504" width="13.90625" style="243" customWidth="1"/>
    <col min="9505" max="9505" width="10.90625" style="243" customWidth="1"/>
    <col min="9506" max="9506" width="11.453125" style="243" customWidth="1"/>
    <col min="9507" max="9507" width="11.81640625" style="243" customWidth="1"/>
    <col min="9508" max="9508" width="11.08984375" style="243" customWidth="1"/>
    <col min="9509" max="9509" width="10.90625" style="243" customWidth="1"/>
    <col min="9510" max="9513" width="8.81640625" style="243"/>
    <col min="9514" max="9514" width="11.453125" style="243" bestFit="1" customWidth="1"/>
    <col min="9515" max="9515" width="10.1796875" style="243" customWidth="1"/>
    <col min="9516" max="9516" width="11.54296875" style="243" customWidth="1"/>
    <col min="9517" max="9517" width="12.08984375" style="243" customWidth="1"/>
    <col min="9518" max="9518" width="13.1796875" style="243" customWidth="1"/>
    <col min="9519" max="9519" width="14.08984375" style="243" customWidth="1"/>
    <col min="9520" max="9520" width="11.81640625" style="243" customWidth="1"/>
    <col min="9521" max="9521" width="9.6328125" style="243" customWidth="1"/>
    <col min="9522" max="9525" width="8.81640625" style="243"/>
    <col min="9526" max="9526" width="28.81640625" style="243" customWidth="1"/>
    <col min="9527" max="9527" width="11.81640625" style="243" customWidth="1"/>
    <col min="9528" max="9528" width="10" style="243" customWidth="1"/>
    <col min="9529" max="9529" width="10.453125" style="243" customWidth="1"/>
    <col min="9530" max="9531" width="8.81640625" style="243"/>
    <col min="9532" max="9532" width="9.36328125" style="243" customWidth="1"/>
    <col min="9533" max="9533" width="18.453125" style="243" customWidth="1"/>
    <col min="9534" max="9534" width="11" style="243" customWidth="1"/>
    <col min="9535" max="9535" width="9.54296875" style="243" customWidth="1"/>
    <col min="9536" max="9536" width="10.6328125" style="243" customWidth="1"/>
    <col min="9537" max="9537" width="9.90625" style="243" customWidth="1"/>
    <col min="9538" max="9538" width="11.453125" style="243" customWidth="1"/>
    <col min="9539" max="9539" width="9.90625" style="243" customWidth="1"/>
    <col min="9540" max="9540" width="10" style="243" customWidth="1"/>
    <col min="9541" max="9541" width="6.81640625" style="243" customWidth="1"/>
    <col min="9542" max="9542" width="12.54296875" style="243" customWidth="1"/>
    <col min="9543" max="9543" width="9.54296875" style="243" customWidth="1"/>
    <col min="9544" max="9544" width="10.36328125" style="243" customWidth="1"/>
    <col min="9545" max="9545" width="7.81640625" style="243" customWidth="1"/>
    <col min="9546" max="9546" width="7.1796875" style="243" customWidth="1"/>
    <col min="9547" max="9547" width="17.6328125" style="243" customWidth="1"/>
    <col min="9548" max="9548" width="8.81640625" style="243" customWidth="1"/>
    <col min="9549" max="9549" width="13.08984375" style="243" bestFit="1" customWidth="1"/>
    <col min="9550" max="9550" width="13.81640625" style="243" customWidth="1"/>
    <col min="9551" max="9552" width="8.81640625" style="243"/>
    <col min="9553" max="9553" width="9" style="243" bestFit="1" customWidth="1"/>
    <col min="9554" max="9562" width="8.81640625" style="243"/>
    <col min="9563" max="9563" width="13.08984375" style="243" customWidth="1"/>
    <col min="9564" max="9564" width="8.81640625" style="243"/>
    <col min="9565" max="9565" width="9.90625" style="243" customWidth="1"/>
    <col min="9566" max="9569" width="8.81640625" style="243"/>
    <col min="9570" max="9570" width="8.54296875" style="243" customWidth="1"/>
    <col min="9571" max="9571" width="30.36328125" style="243" customWidth="1"/>
    <col min="9572" max="9572" width="9" style="243" bestFit="1" customWidth="1"/>
    <col min="9573" max="9573" width="8.81640625" style="243"/>
    <col min="9574" max="9574" width="5.90625" style="243" customWidth="1"/>
    <col min="9575" max="9575" width="6.90625" style="243" customWidth="1"/>
    <col min="9576" max="9576" width="23.90625" style="243" customWidth="1"/>
    <col min="9577" max="9583" width="8.81640625" style="243"/>
    <col min="9584" max="9584" width="9" style="243" bestFit="1" customWidth="1"/>
    <col min="9585" max="9586" width="8.81640625" style="243"/>
    <col min="9587" max="9587" width="32.90625" style="243" customWidth="1"/>
    <col min="9588" max="9588" width="16.6328125" style="243" customWidth="1"/>
    <col min="9589" max="9589" width="10.1796875" style="243" customWidth="1"/>
    <col min="9590" max="9590" width="12.453125" style="243" customWidth="1"/>
    <col min="9591" max="9591" width="10" style="243" bestFit="1" customWidth="1"/>
    <col min="9592" max="9592" width="8.81640625" style="243"/>
    <col min="9593" max="9593" width="9" style="243" bestFit="1" customWidth="1"/>
    <col min="9594" max="9595" width="8.81640625" style="243"/>
    <col min="9596" max="9596" width="11.6328125" style="243" customWidth="1"/>
    <col min="9597" max="9597" width="8.81640625" style="243"/>
    <col min="9598" max="9598" width="28.81640625" style="243" customWidth="1"/>
    <col min="9599" max="9599" width="12.36328125" style="243" customWidth="1"/>
    <col min="9600" max="9600" width="11.1796875" style="243" customWidth="1"/>
    <col min="9601" max="9728" width="8.81640625" style="243"/>
    <col min="9729" max="9729" width="5.6328125" style="243" customWidth="1"/>
    <col min="9730" max="9730" width="26.54296875" style="243" customWidth="1"/>
    <col min="9731" max="9731" width="11.453125" style="243" customWidth="1"/>
    <col min="9732" max="9732" width="7.453125" style="243" customWidth="1"/>
    <col min="9733" max="9733" width="8.54296875" style="243" customWidth="1"/>
    <col min="9734" max="9734" width="12.36328125" style="243" customWidth="1"/>
    <col min="9735" max="9735" width="11.81640625" style="243" customWidth="1"/>
    <col min="9736" max="9736" width="8.1796875" style="243" customWidth="1"/>
    <col min="9737" max="9737" width="12" style="243" customWidth="1"/>
    <col min="9738" max="9738" width="8.81640625" style="243" customWidth="1"/>
    <col min="9739" max="9739" width="11.08984375" style="243" customWidth="1"/>
    <col min="9740" max="9740" width="12.90625" style="243" customWidth="1"/>
    <col min="9741" max="9741" width="12.54296875" style="243" customWidth="1"/>
    <col min="9742" max="9742" width="9.6328125" style="243" customWidth="1"/>
    <col min="9743" max="9743" width="9.90625" style="243" customWidth="1"/>
    <col min="9744" max="9744" width="11.36328125" style="243" customWidth="1"/>
    <col min="9745" max="9745" width="11.54296875" style="243" customWidth="1"/>
    <col min="9746" max="9746" width="11.6328125" style="243" customWidth="1"/>
    <col min="9747" max="9747" width="10.36328125" style="243" customWidth="1"/>
    <col min="9748" max="9748" width="11.81640625" style="243" customWidth="1"/>
    <col min="9749" max="9749" width="12.08984375" style="243" customWidth="1"/>
    <col min="9750" max="9750" width="11" style="243" customWidth="1"/>
    <col min="9751" max="9751" width="12.08984375" style="243" customWidth="1"/>
    <col min="9752" max="9752" width="10.54296875" style="243" customWidth="1"/>
    <col min="9753" max="9753" width="9.90625" style="243" customWidth="1"/>
    <col min="9754" max="9754" width="10.81640625" style="243" customWidth="1"/>
    <col min="9755" max="9755" width="9.81640625" style="243" customWidth="1"/>
    <col min="9756" max="9756" width="11.1796875" style="243" customWidth="1"/>
    <col min="9757" max="9757" width="10.36328125" style="243" customWidth="1"/>
    <col min="9758" max="9758" width="11.90625" style="243" customWidth="1"/>
    <col min="9759" max="9759" width="8.81640625" style="243"/>
    <col min="9760" max="9760" width="13.90625" style="243" customWidth="1"/>
    <col min="9761" max="9761" width="10.90625" style="243" customWidth="1"/>
    <col min="9762" max="9762" width="11.453125" style="243" customWidth="1"/>
    <col min="9763" max="9763" width="11.81640625" style="243" customWidth="1"/>
    <col min="9764" max="9764" width="11.08984375" style="243" customWidth="1"/>
    <col min="9765" max="9765" width="10.90625" style="243" customWidth="1"/>
    <col min="9766" max="9769" width="8.81640625" style="243"/>
    <col min="9770" max="9770" width="11.453125" style="243" bestFit="1" customWidth="1"/>
    <col min="9771" max="9771" width="10.1796875" style="243" customWidth="1"/>
    <col min="9772" max="9772" width="11.54296875" style="243" customWidth="1"/>
    <col min="9773" max="9773" width="12.08984375" style="243" customWidth="1"/>
    <col min="9774" max="9774" width="13.1796875" style="243" customWidth="1"/>
    <col min="9775" max="9775" width="14.08984375" style="243" customWidth="1"/>
    <col min="9776" max="9776" width="11.81640625" style="243" customWidth="1"/>
    <col min="9777" max="9777" width="9.6328125" style="243" customWidth="1"/>
    <col min="9778" max="9781" width="8.81640625" style="243"/>
    <col min="9782" max="9782" width="28.81640625" style="243" customWidth="1"/>
    <col min="9783" max="9783" width="11.81640625" style="243" customWidth="1"/>
    <col min="9784" max="9784" width="10" style="243" customWidth="1"/>
    <col min="9785" max="9785" width="10.453125" style="243" customWidth="1"/>
    <col min="9786" max="9787" width="8.81640625" style="243"/>
    <col min="9788" max="9788" width="9.36328125" style="243" customWidth="1"/>
    <col min="9789" max="9789" width="18.453125" style="243" customWidth="1"/>
    <col min="9790" max="9790" width="11" style="243" customWidth="1"/>
    <col min="9791" max="9791" width="9.54296875" style="243" customWidth="1"/>
    <col min="9792" max="9792" width="10.6328125" style="243" customWidth="1"/>
    <col min="9793" max="9793" width="9.90625" style="243" customWidth="1"/>
    <col min="9794" max="9794" width="11.453125" style="243" customWidth="1"/>
    <col min="9795" max="9795" width="9.90625" style="243" customWidth="1"/>
    <col min="9796" max="9796" width="10" style="243" customWidth="1"/>
    <col min="9797" max="9797" width="6.81640625" style="243" customWidth="1"/>
    <col min="9798" max="9798" width="12.54296875" style="243" customWidth="1"/>
    <col min="9799" max="9799" width="9.54296875" style="243" customWidth="1"/>
    <col min="9800" max="9800" width="10.36328125" style="243" customWidth="1"/>
    <col min="9801" max="9801" width="7.81640625" style="243" customWidth="1"/>
    <col min="9802" max="9802" width="7.1796875" style="243" customWidth="1"/>
    <col min="9803" max="9803" width="17.6328125" style="243" customWidth="1"/>
    <col min="9804" max="9804" width="8.81640625" style="243" customWidth="1"/>
    <col min="9805" max="9805" width="13.08984375" style="243" bestFit="1" customWidth="1"/>
    <col min="9806" max="9806" width="13.81640625" style="243" customWidth="1"/>
    <col min="9807" max="9808" width="8.81640625" style="243"/>
    <col min="9809" max="9809" width="9" style="243" bestFit="1" customWidth="1"/>
    <col min="9810" max="9818" width="8.81640625" style="243"/>
    <col min="9819" max="9819" width="13.08984375" style="243" customWidth="1"/>
    <col min="9820" max="9820" width="8.81640625" style="243"/>
    <col min="9821" max="9821" width="9.90625" style="243" customWidth="1"/>
    <col min="9822" max="9825" width="8.81640625" style="243"/>
    <col min="9826" max="9826" width="8.54296875" style="243" customWidth="1"/>
    <col min="9827" max="9827" width="30.36328125" style="243" customWidth="1"/>
    <col min="9828" max="9828" width="9" style="243" bestFit="1" customWidth="1"/>
    <col min="9829" max="9829" width="8.81640625" style="243"/>
    <col min="9830" max="9830" width="5.90625" style="243" customWidth="1"/>
    <col min="9831" max="9831" width="6.90625" style="243" customWidth="1"/>
    <col min="9832" max="9832" width="23.90625" style="243" customWidth="1"/>
    <col min="9833" max="9839" width="8.81640625" style="243"/>
    <col min="9840" max="9840" width="9" style="243" bestFit="1" customWidth="1"/>
    <col min="9841" max="9842" width="8.81640625" style="243"/>
    <col min="9843" max="9843" width="32.90625" style="243" customWidth="1"/>
    <col min="9844" max="9844" width="16.6328125" style="243" customWidth="1"/>
    <col min="9845" max="9845" width="10.1796875" style="243" customWidth="1"/>
    <col min="9846" max="9846" width="12.453125" style="243" customWidth="1"/>
    <col min="9847" max="9847" width="10" style="243" bestFit="1" customWidth="1"/>
    <col min="9848" max="9848" width="8.81640625" style="243"/>
    <col min="9849" max="9849" width="9" style="243" bestFit="1" customWidth="1"/>
    <col min="9850" max="9851" width="8.81640625" style="243"/>
    <col min="9852" max="9852" width="11.6328125" style="243" customWidth="1"/>
    <col min="9853" max="9853" width="8.81640625" style="243"/>
    <col min="9854" max="9854" width="28.81640625" style="243" customWidth="1"/>
    <col min="9855" max="9855" width="12.36328125" style="243" customWidth="1"/>
    <col min="9856" max="9856" width="11.1796875" style="243" customWidth="1"/>
    <col min="9857" max="9984" width="8.81640625" style="243"/>
    <col min="9985" max="9985" width="5.6328125" style="243" customWidth="1"/>
    <col min="9986" max="9986" width="26.54296875" style="243" customWidth="1"/>
    <col min="9987" max="9987" width="11.453125" style="243" customWidth="1"/>
    <col min="9988" max="9988" width="7.453125" style="243" customWidth="1"/>
    <col min="9989" max="9989" width="8.54296875" style="243" customWidth="1"/>
    <col min="9990" max="9990" width="12.36328125" style="243" customWidth="1"/>
    <col min="9991" max="9991" width="11.81640625" style="243" customWidth="1"/>
    <col min="9992" max="9992" width="8.1796875" style="243" customWidth="1"/>
    <col min="9993" max="9993" width="12" style="243" customWidth="1"/>
    <col min="9994" max="9994" width="8.81640625" style="243" customWidth="1"/>
    <col min="9995" max="9995" width="11.08984375" style="243" customWidth="1"/>
    <col min="9996" max="9996" width="12.90625" style="243" customWidth="1"/>
    <col min="9997" max="9997" width="12.54296875" style="243" customWidth="1"/>
    <col min="9998" max="9998" width="9.6328125" style="243" customWidth="1"/>
    <col min="9999" max="9999" width="9.90625" style="243" customWidth="1"/>
    <col min="10000" max="10000" width="11.36328125" style="243" customWidth="1"/>
    <col min="10001" max="10001" width="11.54296875" style="243" customWidth="1"/>
    <col min="10002" max="10002" width="11.6328125" style="243" customWidth="1"/>
    <col min="10003" max="10003" width="10.36328125" style="243" customWidth="1"/>
    <col min="10004" max="10004" width="11.81640625" style="243" customWidth="1"/>
    <col min="10005" max="10005" width="12.08984375" style="243" customWidth="1"/>
    <col min="10006" max="10006" width="11" style="243" customWidth="1"/>
    <col min="10007" max="10007" width="12.08984375" style="243" customWidth="1"/>
    <col min="10008" max="10008" width="10.54296875" style="243" customWidth="1"/>
    <col min="10009" max="10009" width="9.90625" style="243" customWidth="1"/>
    <col min="10010" max="10010" width="10.81640625" style="243" customWidth="1"/>
    <col min="10011" max="10011" width="9.81640625" style="243" customWidth="1"/>
    <col min="10012" max="10012" width="11.1796875" style="243" customWidth="1"/>
    <col min="10013" max="10013" width="10.36328125" style="243" customWidth="1"/>
    <col min="10014" max="10014" width="11.90625" style="243" customWidth="1"/>
    <col min="10015" max="10015" width="8.81640625" style="243"/>
    <col min="10016" max="10016" width="13.90625" style="243" customWidth="1"/>
    <col min="10017" max="10017" width="10.90625" style="243" customWidth="1"/>
    <col min="10018" max="10018" width="11.453125" style="243" customWidth="1"/>
    <col min="10019" max="10019" width="11.81640625" style="243" customWidth="1"/>
    <col min="10020" max="10020" width="11.08984375" style="243" customWidth="1"/>
    <col min="10021" max="10021" width="10.90625" style="243" customWidth="1"/>
    <col min="10022" max="10025" width="8.81640625" style="243"/>
    <col min="10026" max="10026" width="11.453125" style="243" bestFit="1" customWidth="1"/>
    <col min="10027" max="10027" width="10.1796875" style="243" customWidth="1"/>
    <col min="10028" max="10028" width="11.54296875" style="243" customWidth="1"/>
    <col min="10029" max="10029" width="12.08984375" style="243" customWidth="1"/>
    <col min="10030" max="10030" width="13.1796875" style="243" customWidth="1"/>
    <col min="10031" max="10031" width="14.08984375" style="243" customWidth="1"/>
    <col min="10032" max="10032" width="11.81640625" style="243" customWidth="1"/>
    <col min="10033" max="10033" width="9.6328125" style="243" customWidth="1"/>
    <col min="10034" max="10037" width="8.81640625" style="243"/>
    <col min="10038" max="10038" width="28.81640625" style="243" customWidth="1"/>
    <col min="10039" max="10039" width="11.81640625" style="243" customWidth="1"/>
    <col min="10040" max="10040" width="10" style="243" customWidth="1"/>
    <col min="10041" max="10041" width="10.453125" style="243" customWidth="1"/>
    <col min="10042" max="10043" width="8.81640625" style="243"/>
    <col min="10044" max="10044" width="9.36328125" style="243" customWidth="1"/>
    <col min="10045" max="10045" width="18.453125" style="243" customWidth="1"/>
    <col min="10046" max="10046" width="11" style="243" customWidth="1"/>
    <col min="10047" max="10047" width="9.54296875" style="243" customWidth="1"/>
    <col min="10048" max="10048" width="10.6328125" style="243" customWidth="1"/>
    <col min="10049" max="10049" width="9.90625" style="243" customWidth="1"/>
    <col min="10050" max="10050" width="11.453125" style="243" customWidth="1"/>
    <col min="10051" max="10051" width="9.90625" style="243" customWidth="1"/>
    <col min="10052" max="10052" width="10" style="243" customWidth="1"/>
    <col min="10053" max="10053" width="6.81640625" style="243" customWidth="1"/>
    <col min="10054" max="10054" width="12.54296875" style="243" customWidth="1"/>
    <col min="10055" max="10055" width="9.54296875" style="243" customWidth="1"/>
    <col min="10056" max="10056" width="10.36328125" style="243" customWidth="1"/>
    <col min="10057" max="10057" width="7.81640625" style="243" customWidth="1"/>
    <col min="10058" max="10058" width="7.1796875" style="243" customWidth="1"/>
    <col min="10059" max="10059" width="17.6328125" style="243" customWidth="1"/>
    <col min="10060" max="10060" width="8.81640625" style="243" customWidth="1"/>
    <col min="10061" max="10061" width="13.08984375" style="243" bestFit="1" customWidth="1"/>
    <col min="10062" max="10062" width="13.81640625" style="243" customWidth="1"/>
    <col min="10063" max="10064" width="8.81640625" style="243"/>
    <col min="10065" max="10065" width="9" style="243" bestFit="1" customWidth="1"/>
    <col min="10066" max="10074" width="8.81640625" style="243"/>
    <col min="10075" max="10075" width="13.08984375" style="243" customWidth="1"/>
    <col min="10076" max="10076" width="8.81640625" style="243"/>
    <col min="10077" max="10077" width="9.90625" style="243" customWidth="1"/>
    <col min="10078" max="10081" width="8.81640625" style="243"/>
    <col min="10082" max="10082" width="8.54296875" style="243" customWidth="1"/>
    <col min="10083" max="10083" width="30.36328125" style="243" customWidth="1"/>
    <col min="10084" max="10084" width="9" style="243" bestFit="1" customWidth="1"/>
    <col min="10085" max="10085" width="8.81640625" style="243"/>
    <col min="10086" max="10086" width="5.90625" style="243" customWidth="1"/>
    <col min="10087" max="10087" width="6.90625" style="243" customWidth="1"/>
    <col min="10088" max="10088" width="23.90625" style="243" customWidth="1"/>
    <col min="10089" max="10095" width="8.81640625" style="243"/>
    <col min="10096" max="10096" width="9" style="243" bestFit="1" customWidth="1"/>
    <col min="10097" max="10098" width="8.81640625" style="243"/>
    <col min="10099" max="10099" width="32.90625" style="243" customWidth="1"/>
    <col min="10100" max="10100" width="16.6328125" style="243" customWidth="1"/>
    <col min="10101" max="10101" width="10.1796875" style="243" customWidth="1"/>
    <col min="10102" max="10102" width="12.453125" style="243" customWidth="1"/>
    <col min="10103" max="10103" width="10" style="243" bestFit="1" customWidth="1"/>
    <col min="10104" max="10104" width="8.81640625" style="243"/>
    <col min="10105" max="10105" width="9" style="243" bestFit="1" customWidth="1"/>
    <col min="10106" max="10107" width="8.81640625" style="243"/>
    <col min="10108" max="10108" width="11.6328125" style="243" customWidth="1"/>
    <col min="10109" max="10109" width="8.81640625" style="243"/>
    <col min="10110" max="10110" width="28.81640625" style="243" customWidth="1"/>
    <col min="10111" max="10111" width="12.36328125" style="243" customWidth="1"/>
    <col min="10112" max="10112" width="11.1796875" style="243" customWidth="1"/>
    <col min="10113" max="10240" width="8.81640625" style="243"/>
    <col min="10241" max="10241" width="5.6328125" style="243" customWidth="1"/>
    <col min="10242" max="10242" width="26.54296875" style="243" customWidth="1"/>
    <col min="10243" max="10243" width="11.453125" style="243" customWidth="1"/>
    <col min="10244" max="10244" width="7.453125" style="243" customWidth="1"/>
    <col min="10245" max="10245" width="8.54296875" style="243" customWidth="1"/>
    <col min="10246" max="10246" width="12.36328125" style="243" customWidth="1"/>
    <col min="10247" max="10247" width="11.81640625" style="243" customWidth="1"/>
    <col min="10248" max="10248" width="8.1796875" style="243" customWidth="1"/>
    <col min="10249" max="10249" width="12" style="243" customWidth="1"/>
    <col min="10250" max="10250" width="8.81640625" style="243" customWidth="1"/>
    <col min="10251" max="10251" width="11.08984375" style="243" customWidth="1"/>
    <col min="10252" max="10252" width="12.90625" style="243" customWidth="1"/>
    <col min="10253" max="10253" width="12.54296875" style="243" customWidth="1"/>
    <col min="10254" max="10254" width="9.6328125" style="243" customWidth="1"/>
    <col min="10255" max="10255" width="9.90625" style="243" customWidth="1"/>
    <col min="10256" max="10256" width="11.36328125" style="243" customWidth="1"/>
    <col min="10257" max="10257" width="11.54296875" style="243" customWidth="1"/>
    <col min="10258" max="10258" width="11.6328125" style="243" customWidth="1"/>
    <col min="10259" max="10259" width="10.36328125" style="243" customWidth="1"/>
    <col min="10260" max="10260" width="11.81640625" style="243" customWidth="1"/>
    <col min="10261" max="10261" width="12.08984375" style="243" customWidth="1"/>
    <col min="10262" max="10262" width="11" style="243" customWidth="1"/>
    <col min="10263" max="10263" width="12.08984375" style="243" customWidth="1"/>
    <col min="10264" max="10264" width="10.54296875" style="243" customWidth="1"/>
    <col min="10265" max="10265" width="9.90625" style="243" customWidth="1"/>
    <col min="10266" max="10266" width="10.81640625" style="243" customWidth="1"/>
    <col min="10267" max="10267" width="9.81640625" style="243" customWidth="1"/>
    <col min="10268" max="10268" width="11.1796875" style="243" customWidth="1"/>
    <col min="10269" max="10269" width="10.36328125" style="243" customWidth="1"/>
    <col min="10270" max="10270" width="11.90625" style="243" customWidth="1"/>
    <col min="10271" max="10271" width="8.81640625" style="243"/>
    <col min="10272" max="10272" width="13.90625" style="243" customWidth="1"/>
    <col min="10273" max="10273" width="10.90625" style="243" customWidth="1"/>
    <col min="10274" max="10274" width="11.453125" style="243" customWidth="1"/>
    <col min="10275" max="10275" width="11.81640625" style="243" customWidth="1"/>
    <col min="10276" max="10276" width="11.08984375" style="243" customWidth="1"/>
    <col min="10277" max="10277" width="10.90625" style="243" customWidth="1"/>
    <col min="10278" max="10281" width="8.81640625" style="243"/>
    <col min="10282" max="10282" width="11.453125" style="243" bestFit="1" customWidth="1"/>
    <col min="10283" max="10283" width="10.1796875" style="243" customWidth="1"/>
    <col min="10284" max="10284" width="11.54296875" style="243" customWidth="1"/>
    <col min="10285" max="10285" width="12.08984375" style="243" customWidth="1"/>
    <col min="10286" max="10286" width="13.1796875" style="243" customWidth="1"/>
    <col min="10287" max="10287" width="14.08984375" style="243" customWidth="1"/>
    <col min="10288" max="10288" width="11.81640625" style="243" customWidth="1"/>
    <col min="10289" max="10289" width="9.6328125" style="243" customWidth="1"/>
    <col min="10290" max="10293" width="8.81640625" style="243"/>
    <col min="10294" max="10294" width="28.81640625" style="243" customWidth="1"/>
    <col min="10295" max="10295" width="11.81640625" style="243" customWidth="1"/>
    <col min="10296" max="10296" width="10" style="243" customWidth="1"/>
    <col min="10297" max="10297" width="10.453125" style="243" customWidth="1"/>
    <col min="10298" max="10299" width="8.81640625" style="243"/>
    <col min="10300" max="10300" width="9.36328125" style="243" customWidth="1"/>
    <col min="10301" max="10301" width="18.453125" style="243" customWidth="1"/>
    <col min="10302" max="10302" width="11" style="243" customWidth="1"/>
    <col min="10303" max="10303" width="9.54296875" style="243" customWidth="1"/>
    <col min="10304" max="10304" width="10.6328125" style="243" customWidth="1"/>
    <col min="10305" max="10305" width="9.90625" style="243" customWidth="1"/>
    <col min="10306" max="10306" width="11.453125" style="243" customWidth="1"/>
    <col min="10307" max="10307" width="9.90625" style="243" customWidth="1"/>
    <col min="10308" max="10308" width="10" style="243" customWidth="1"/>
    <col min="10309" max="10309" width="6.81640625" style="243" customWidth="1"/>
    <col min="10310" max="10310" width="12.54296875" style="243" customWidth="1"/>
    <col min="10311" max="10311" width="9.54296875" style="243" customWidth="1"/>
    <col min="10312" max="10312" width="10.36328125" style="243" customWidth="1"/>
    <col min="10313" max="10313" width="7.81640625" style="243" customWidth="1"/>
    <col min="10314" max="10314" width="7.1796875" style="243" customWidth="1"/>
    <col min="10315" max="10315" width="17.6328125" style="243" customWidth="1"/>
    <col min="10316" max="10316" width="8.81640625" style="243" customWidth="1"/>
    <col min="10317" max="10317" width="13.08984375" style="243" bestFit="1" customWidth="1"/>
    <col min="10318" max="10318" width="13.81640625" style="243" customWidth="1"/>
    <col min="10319" max="10320" width="8.81640625" style="243"/>
    <col min="10321" max="10321" width="9" style="243" bestFit="1" customWidth="1"/>
    <col min="10322" max="10330" width="8.81640625" style="243"/>
    <col min="10331" max="10331" width="13.08984375" style="243" customWidth="1"/>
    <col min="10332" max="10332" width="8.81640625" style="243"/>
    <col min="10333" max="10333" width="9.90625" style="243" customWidth="1"/>
    <col min="10334" max="10337" width="8.81640625" style="243"/>
    <col min="10338" max="10338" width="8.54296875" style="243" customWidth="1"/>
    <col min="10339" max="10339" width="30.36328125" style="243" customWidth="1"/>
    <col min="10340" max="10340" width="9" style="243" bestFit="1" customWidth="1"/>
    <col min="10341" max="10341" width="8.81640625" style="243"/>
    <col min="10342" max="10342" width="5.90625" style="243" customWidth="1"/>
    <col min="10343" max="10343" width="6.90625" style="243" customWidth="1"/>
    <col min="10344" max="10344" width="23.90625" style="243" customWidth="1"/>
    <col min="10345" max="10351" width="8.81640625" style="243"/>
    <col min="10352" max="10352" width="9" style="243" bestFit="1" customWidth="1"/>
    <col min="10353" max="10354" width="8.81640625" style="243"/>
    <col min="10355" max="10355" width="32.90625" style="243" customWidth="1"/>
    <col min="10356" max="10356" width="16.6328125" style="243" customWidth="1"/>
    <col min="10357" max="10357" width="10.1796875" style="243" customWidth="1"/>
    <col min="10358" max="10358" width="12.453125" style="243" customWidth="1"/>
    <col min="10359" max="10359" width="10" style="243" bestFit="1" customWidth="1"/>
    <col min="10360" max="10360" width="8.81640625" style="243"/>
    <col min="10361" max="10361" width="9" style="243" bestFit="1" customWidth="1"/>
    <col min="10362" max="10363" width="8.81640625" style="243"/>
    <col min="10364" max="10364" width="11.6328125" style="243" customWidth="1"/>
    <col min="10365" max="10365" width="8.81640625" style="243"/>
    <col min="10366" max="10366" width="28.81640625" style="243" customWidth="1"/>
    <col min="10367" max="10367" width="12.36328125" style="243" customWidth="1"/>
    <col min="10368" max="10368" width="11.1796875" style="243" customWidth="1"/>
    <col min="10369" max="10496" width="8.81640625" style="243"/>
    <col min="10497" max="10497" width="5.6328125" style="243" customWidth="1"/>
    <col min="10498" max="10498" width="26.54296875" style="243" customWidth="1"/>
    <col min="10499" max="10499" width="11.453125" style="243" customWidth="1"/>
    <col min="10500" max="10500" width="7.453125" style="243" customWidth="1"/>
    <col min="10501" max="10501" width="8.54296875" style="243" customWidth="1"/>
    <col min="10502" max="10502" width="12.36328125" style="243" customWidth="1"/>
    <col min="10503" max="10503" width="11.81640625" style="243" customWidth="1"/>
    <col min="10504" max="10504" width="8.1796875" style="243" customWidth="1"/>
    <col min="10505" max="10505" width="12" style="243" customWidth="1"/>
    <col min="10506" max="10506" width="8.81640625" style="243" customWidth="1"/>
    <col min="10507" max="10507" width="11.08984375" style="243" customWidth="1"/>
    <col min="10508" max="10508" width="12.90625" style="243" customWidth="1"/>
    <col min="10509" max="10509" width="12.54296875" style="243" customWidth="1"/>
    <col min="10510" max="10510" width="9.6328125" style="243" customWidth="1"/>
    <col min="10511" max="10511" width="9.90625" style="243" customWidth="1"/>
    <col min="10512" max="10512" width="11.36328125" style="243" customWidth="1"/>
    <col min="10513" max="10513" width="11.54296875" style="243" customWidth="1"/>
    <col min="10514" max="10514" width="11.6328125" style="243" customWidth="1"/>
    <col min="10515" max="10515" width="10.36328125" style="243" customWidth="1"/>
    <col min="10516" max="10516" width="11.81640625" style="243" customWidth="1"/>
    <col min="10517" max="10517" width="12.08984375" style="243" customWidth="1"/>
    <col min="10518" max="10518" width="11" style="243" customWidth="1"/>
    <col min="10519" max="10519" width="12.08984375" style="243" customWidth="1"/>
    <col min="10520" max="10520" width="10.54296875" style="243" customWidth="1"/>
    <col min="10521" max="10521" width="9.90625" style="243" customWidth="1"/>
    <col min="10522" max="10522" width="10.81640625" style="243" customWidth="1"/>
    <col min="10523" max="10523" width="9.81640625" style="243" customWidth="1"/>
    <col min="10524" max="10524" width="11.1796875" style="243" customWidth="1"/>
    <col min="10525" max="10525" width="10.36328125" style="243" customWidth="1"/>
    <col min="10526" max="10526" width="11.90625" style="243" customWidth="1"/>
    <col min="10527" max="10527" width="8.81640625" style="243"/>
    <col min="10528" max="10528" width="13.90625" style="243" customWidth="1"/>
    <col min="10529" max="10529" width="10.90625" style="243" customWidth="1"/>
    <col min="10530" max="10530" width="11.453125" style="243" customWidth="1"/>
    <col min="10531" max="10531" width="11.81640625" style="243" customWidth="1"/>
    <col min="10532" max="10532" width="11.08984375" style="243" customWidth="1"/>
    <col min="10533" max="10533" width="10.90625" style="243" customWidth="1"/>
    <col min="10534" max="10537" width="8.81640625" style="243"/>
    <col min="10538" max="10538" width="11.453125" style="243" bestFit="1" customWidth="1"/>
    <col min="10539" max="10539" width="10.1796875" style="243" customWidth="1"/>
    <col min="10540" max="10540" width="11.54296875" style="243" customWidth="1"/>
    <col min="10541" max="10541" width="12.08984375" style="243" customWidth="1"/>
    <col min="10542" max="10542" width="13.1796875" style="243" customWidth="1"/>
    <col min="10543" max="10543" width="14.08984375" style="243" customWidth="1"/>
    <col min="10544" max="10544" width="11.81640625" style="243" customWidth="1"/>
    <col min="10545" max="10545" width="9.6328125" style="243" customWidth="1"/>
    <col min="10546" max="10549" width="8.81640625" style="243"/>
    <col min="10550" max="10550" width="28.81640625" style="243" customWidth="1"/>
    <col min="10551" max="10551" width="11.81640625" style="243" customWidth="1"/>
    <col min="10552" max="10552" width="10" style="243" customWidth="1"/>
    <col min="10553" max="10553" width="10.453125" style="243" customWidth="1"/>
    <col min="10554" max="10555" width="8.81640625" style="243"/>
    <col min="10556" max="10556" width="9.36328125" style="243" customWidth="1"/>
    <col min="10557" max="10557" width="18.453125" style="243" customWidth="1"/>
    <col min="10558" max="10558" width="11" style="243" customWidth="1"/>
    <col min="10559" max="10559" width="9.54296875" style="243" customWidth="1"/>
    <col min="10560" max="10560" width="10.6328125" style="243" customWidth="1"/>
    <col min="10561" max="10561" width="9.90625" style="243" customWidth="1"/>
    <col min="10562" max="10562" width="11.453125" style="243" customWidth="1"/>
    <col min="10563" max="10563" width="9.90625" style="243" customWidth="1"/>
    <col min="10564" max="10564" width="10" style="243" customWidth="1"/>
    <col min="10565" max="10565" width="6.81640625" style="243" customWidth="1"/>
    <col min="10566" max="10566" width="12.54296875" style="243" customWidth="1"/>
    <col min="10567" max="10567" width="9.54296875" style="243" customWidth="1"/>
    <col min="10568" max="10568" width="10.36328125" style="243" customWidth="1"/>
    <col min="10569" max="10569" width="7.81640625" style="243" customWidth="1"/>
    <col min="10570" max="10570" width="7.1796875" style="243" customWidth="1"/>
    <col min="10571" max="10571" width="17.6328125" style="243" customWidth="1"/>
    <col min="10572" max="10572" width="8.81640625" style="243" customWidth="1"/>
    <col min="10573" max="10573" width="13.08984375" style="243" bestFit="1" customWidth="1"/>
    <col min="10574" max="10574" width="13.81640625" style="243" customWidth="1"/>
    <col min="10575" max="10576" width="8.81640625" style="243"/>
    <col min="10577" max="10577" width="9" style="243" bestFit="1" customWidth="1"/>
    <col min="10578" max="10586" width="8.81640625" style="243"/>
    <col min="10587" max="10587" width="13.08984375" style="243" customWidth="1"/>
    <col min="10588" max="10588" width="8.81640625" style="243"/>
    <col min="10589" max="10589" width="9.90625" style="243" customWidth="1"/>
    <col min="10590" max="10593" width="8.81640625" style="243"/>
    <col min="10594" max="10594" width="8.54296875" style="243" customWidth="1"/>
    <col min="10595" max="10595" width="30.36328125" style="243" customWidth="1"/>
    <col min="10596" max="10596" width="9" style="243" bestFit="1" customWidth="1"/>
    <col min="10597" max="10597" width="8.81640625" style="243"/>
    <col min="10598" max="10598" width="5.90625" style="243" customWidth="1"/>
    <col min="10599" max="10599" width="6.90625" style="243" customWidth="1"/>
    <col min="10600" max="10600" width="23.90625" style="243" customWidth="1"/>
    <col min="10601" max="10607" width="8.81640625" style="243"/>
    <col min="10608" max="10608" width="9" style="243" bestFit="1" customWidth="1"/>
    <col min="10609" max="10610" width="8.81640625" style="243"/>
    <col min="10611" max="10611" width="32.90625" style="243" customWidth="1"/>
    <col min="10612" max="10612" width="16.6328125" style="243" customWidth="1"/>
    <col min="10613" max="10613" width="10.1796875" style="243" customWidth="1"/>
    <col min="10614" max="10614" width="12.453125" style="243" customWidth="1"/>
    <col min="10615" max="10615" width="10" style="243" bestFit="1" customWidth="1"/>
    <col min="10616" max="10616" width="8.81640625" style="243"/>
    <col min="10617" max="10617" width="9" style="243" bestFit="1" customWidth="1"/>
    <col min="10618" max="10619" width="8.81640625" style="243"/>
    <col min="10620" max="10620" width="11.6328125" style="243" customWidth="1"/>
    <col min="10621" max="10621" width="8.81640625" style="243"/>
    <col min="10622" max="10622" width="28.81640625" style="243" customWidth="1"/>
    <col min="10623" max="10623" width="12.36328125" style="243" customWidth="1"/>
    <col min="10624" max="10624" width="11.1796875" style="243" customWidth="1"/>
    <col min="10625" max="10752" width="8.81640625" style="243"/>
    <col min="10753" max="10753" width="5.6328125" style="243" customWidth="1"/>
    <col min="10754" max="10754" width="26.54296875" style="243" customWidth="1"/>
    <col min="10755" max="10755" width="11.453125" style="243" customWidth="1"/>
    <col min="10756" max="10756" width="7.453125" style="243" customWidth="1"/>
    <col min="10757" max="10757" width="8.54296875" style="243" customWidth="1"/>
    <col min="10758" max="10758" width="12.36328125" style="243" customWidth="1"/>
    <col min="10759" max="10759" width="11.81640625" style="243" customWidth="1"/>
    <col min="10760" max="10760" width="8.1796875" style="243" customWidth="1"/>
    <col min="10761" max="10761" width="12" style="243" customWidth="1"/>
    <col min="10762" max="10762" width="8.81640625" style="243" customWidth="1"/>
    <col min="10763" max="10763" width="11.08984375" style="243" customWidth="1"/>
    <col min="10764" max="10764" width="12.90625" style="243" customWidth="1"/>
    <col min="10765" max="10765" width="12.54296875" style="243" customWidth="1"/>
    <col min="10766" max="10766" width="9.6328125" style="243" customWidth="1"/>
    <col min="10767" max="10767" width="9.90625" style="243" customWidth="1"/>
    <col min="10768" max="10768" width="11.36328125" style="243" customWidth="1"/>
    <col min="10769" max="10769" width="11.54296875" style="243" customWidth="1"/>
    <col min="10770" max="10770" width="11.6328125" style="243" customWidth="1"/>
    <col min="10771" max="10771" width="10.36328125" style="243" customWidth="1"/>
    <col min="10772" max="10772" width="11.81640625" style="243" customWidth="1"/>
    <col min="10773" max="10773" width="12.08984375" style="243" customWidth="1"/>
    <col min="10774" max="10774" width="11" style="243" customWidth="1"/>
    <col min="10775" max="10775" width="12.08984375" style="243" customWidth="1"/>
    <col min="10776" max="10776" width="10.54296875" style="243" customWidth="1"/>
    <col min="10777" max="10777" width="9.90625" style="243" customWidth="1"/>
    <col min="10778" max="10778" width="10.81640625" style="243" customWidth="1"/>
    <col min="10779" max="10779" width="9.81640625" style="243" customWidth="1"/>
    <col min="10780" max="10780" width="11.1796875" style="243" customWidth="1"/>
    <col min="10781" max="10781" width="10.36328125" style="243" customWidth="1"/>
    <col min="10782" max="10782" width="11.90625" style="243" customWidth="1"/>
    <col min="10783" max="10783" width="8.81640625" style="243"/>
    <col min="10784" max="10784" width="13.90625" style="243" customWidth="1"/>
    <col min="10785" max="10785" width="10.90625" style="243" customWidth="1"/>
    <col min="10786" max="10786" width="11.453125" style="243" customWidth="1"/>
    <col min="10787" max="10787" width="11.81640625" style="243" customWidth="1"/>
    <col min="10788" max="10788" width="11.08984375" style="243" customWidth="1"/>
    <col min="10789" max="10789" width="10.90625" style="243" customWidth="1"/>
    <col min="10790" max="10793" width="8.81640625" style="243"/>
    <col min="10794" max="10794" width="11.453125" style="243" bestFit="1" customWidth="1"/>
    <col min="10795" max="10795" width="10.1796875" style="243" customWidth="1"/>
    <col min="10796" max="10796" width="11.54296875" style="243" customWidth="1"/>
    <col min="10797" max="10797" width="12.08984375" style="243" customWidth="1"/>
    <col min="10798" max="10798" width="13.1796875" style="243" customWidth="1"/>
    <col min="10799" max="10799" width="14.08984375" style="243" customWidth="1"/>
    <col min="10800" max="10800" width="11.81640625" style="243" customWidth="1"/>
    <col min="10801" max="10801" width="9.6328125" style="243" customWidth="1"/>
    <col min="10802" max="10805" width="8.81640625" style="243"/>
    <col min="10806" max="10806" width="28.81640625" style="243" customWidth="1"/>
    <col min="10807" max="10807" width="11.81640625" style="243" customWidth="1"/>
    <col min="10808" max="10808" width="10" style="243" customWidth="1"/>
    <col min="10809" max="10809" width="10.453125" style="243" customWidth="1"/>
    <col min="10810" max="10811" width="8.81640625" style="243"/>
    <col min="10812" max="10812" width="9.36328125" style="243" customWidth="1"/>
    <col min="10813" max="10813" width="18.453125" style="243" customWidth="1"/>
    <col min="10814" max="10814" width="11" style="243" customWidth="1"/>
    <col min="10815" max="10815" width="9.54296875" style="243" customWidth="1"/>
    <col min="10816" max="10816" width="10.6328125" style="243" customWidth="1"/>
    <col min="10817" max="10817" width="9.90625" style="243" customWidth="1"/>
    <col min="10818" max="10818" width="11.453125" style="243" customWidth="1"/>
    <col min="10819" max="10819" width="9.90625" style="243" customWidth="1"/>
    <col min="10820" max="10820" width="10" style="243" customWidth="1"/>
    <col min="10821" max="10821" width="6.81640625" style="243" customWidth="1"/>
    <col min="10822" max="10822" width="12.54296875" style="243" customWidth="1"/>
    <col min="10823" max="10823" width="9.54296875" style="243" customWidth="1"/>
    <col min="10824" max="10824" width="10.36328125" style="243" customWidth="1"/>
    <col min="10825" max="10825" width="7.81640625" style="243" customWidth="1"/>
    <col min="10826" max="10826" width="7.1796875" style="243" customWidth="1"/>
    <col min="10827" max="10827" width="17.6328125" style="243" customWidth="1"/>
    <col min="10828" max="10828" width="8.81640625" style="243" customWidth="1"/>
    <col min="10829" max="10829" width="13.08984375" style="243" bestFit="1" customWidth="1"/>
    <col min="10830" max="10830" width="13.81640625" style="243" customWidth="1"/>
    <col min="10831" max="10832" width="8.81640625" style="243"/>
    <col min="10833" max="10833" width="9" style="243" bestFit="1" customWidth="1"/>
    <col min="10834" max="10842" width="8.81640625" style="243"/>
    <col min="10843" max="10843" width="13.08984375" style="243" customWidth="1"/>
    <col min="10844" max="10844" width="8.81640625" style="243"/>
    <col min="10845" max="10845" width="9.90625" style="243" customWidth="1"/>
    <col min="10846" max="10849" width="8.81640625" style="243"/>
    <col min="10850" max="10850" width="8.54296875" style="243" customWidth="1"/>
    <col min="10851" max="10851" width="30.36328125" style="243" customWidth="1"/>
    <col min="10852" max="10852" width="9" style="243" bestFit="1" customWidth="1"/>
    <col min="10853" max="10853" width="8.81640625" style="243"/>
    <col min="10854" max="10854" width="5.90625" style="243" customWidth="1"/>
    <col min="10855" max="10855" width="6.90625" style="243" customWidth="1"/>
    <col min="10856" max="10856" width="23.90625" style="243" customWidth="1"/>
    <col min="10857" max="10863" width="8.81640625" style="243"/>
    <col min="10864" max="10864" width="9" style="243" bestFit="1" customWidth="1"/>
    <col min="10865" max="10866" width="8.81640625" style="243"/>
    <col min="10867" max="10867" width="32.90625" style="243" customWidth="1"/>
    <col min="10868" max="10868" width="16.6328125" style="243" customWidth="1"/>
    <col min="10869" max="10869" width="10.1796875" style="243" customWidth="1"/>
    <col min="10870" max="10870" width="12.453125" style="243" customWidth="1"/>
    <col min="10871" max="10871" width="10" style="243" bestFit="1" customWidth="1"/>
    <col min="10872" max="10872" width="8.81640625" style="243"/>
    <col min="10873" max="10873" width="9" style="243" bestFit="1" customWidth="1"/>
    <col min="10874" max="10875" width="8.81640625" style="243"/>
    <col min="10876" max="10876" width="11.6328125" style="243" customWidth="1"/>
    <col min="10877" max="10877" width="8.81640625" style="243"/>
    <col min="10878" max="10878" width="28.81640625" style="243" customWidth="1"/>
    <col min="10879" max="10879" width="12.36328125" style="243" customWidth="1"/>
    <col min="10880" max="10880" width="11.1796875" style="243" customWidth="1"/>
    <col min="10881" max="11008" width="8.81640625" style="243"/>
    <col min="11009" max="11009" width="5.6328125" style="243" customWidth="1"/>
    <col min="11010" max="11010" width="26.54296875" style="243" customWidth="1"/>
    <col min="11011" max="11011" width="11.453125" style="243" customWidth="1"/>
    <col min="11012" max="11012" width="7.453125" style="243" customWidth="1"/>
    <col min="11013" max="11013" width="8.54296875" style="243" customWidth="1"/>
    <col min="11014" max="11014" width="12.36328125" style="243" customWidth="1"/>
    <col min="11015" max="11015" width="11.81640625" style="243" customWidth="1"/>
    <col min="11016" max="11016" width="8.1796875" style="243" customWidth="1"/>
    <col min="11017" max="11017" width="12" style="243" customWidth="1"/>
    <col min="11018" max="11018" width="8.81640625" style="243" customWidth="1"/>
    <col min="11019" max="11019" width="11.08984375" style="243" customWidth="1"/>
    <col min="11020" max="11020" width="12.90625" style="243" customWidth="1"/>
    <col min="11021" max="11021" width="12.54296875" style="243" customWidth="1"/>
    <col min="11022" max="11022" width="9.6328125" style="243" customWidth="1"/>
    <col min="11023" max="11023" width="9.90625" style="243" customWidth="1"/>
    <col min="11024" max="11024" width="11.36328125" style="243" customWidth="1"/>
    <col min="11025" max="11025" width="11.54296875" style="243" customWidth="1"/>
    <col min="11026" max="11026" width="11.6328125" style="243" customWidth="1"/>
    <col min="11027" max="11027" width="10.36328125" style="243" customWidth="1"/>
    <col min="11028" max="11028" width="11.81640625" style="243" customWidth="1"/>
    <col min="11029" max="11029" width="12.08984375" style="243" customWidth="1"/>
    <col min="11030" max="11030" width="11" style="243" customWidth="1"/>
    <col min="11031" max="11031" width="12.08984375" style="243" customWidth="1"/>
    <col min="11032" max="11032" width="10.54296875" style="243" customWidth="1"/>
    <col min="11033" max="11033" width="9.90625" style="243" customWidth="1"/>
    <col min="11034" max="11034" width="10.81640625" style="243" customWidth="1"/>
    <col min="11035" max="11035" width="9.81640625" style="243" customWidth="1"/>
    <col min="11036" max="11036" width="11.1796875" style="243" customWidth="1"/>
    <col min="11037" max="11037" width="10.36328125" style="243" customWidth="1"/>
    <col min="11038" max="11038" width="11.90625" style="243" customWidth="1"/>
    <col min="11039" max="11039" width="8.81640625" style="243"/>
    <col min="11040" max="11040" width="13.90625" style="243" customWidth="1"/>
    <col min="11041" max="11041" width="10.90625" style="243" customWidth="1"/>
    <col min="11042" max="11042" width="11.453125" style="243" customWidth="1"/>
    <col min="11043" max="11043" width="11.81640625" style="243" customWidth="1"/>
    <col min="11044" max="11044" width="11.08984375" style="243" customWidth="1"/>
    <col min="11045" max="11045" width="10.90625" style="243" customWidth="1"/>
    <col min="11046" max="11049" width="8.81640625" style="243"/>
    <col min="11050" max="11050" width="11.453125" style="243" bestFit="1" customWidth="1"/>
    <col min="11051" max="11051" width="10.1796875" style="243" customWidth="1"/>
    <col min="11052" max="11052" width="11.54296875" style="243" customWidth="1"/>
    <col min="11053" max="11053" width="12.08984375" style="243" customWidth="1"/>
    <col min="11054" max="11054" width="13.1796875" style="243" customWidth="1"/>
    <col min="11055" max="11055" width="14.08984375" style="243" customWidth="1"/>
    <col min="11056" max="11056" width="11.81640625" style="243" customWidth="1"/>
    <col min="11057" max="11057" width="9.6328125" style="243" customWidth="1"/>
    <col min="11058" max="11061" width="8.81640625" style="243"/>
    <col min="11062" max="11062" width="28.81640625" style="243" customWidth="1"/>
    <col min="11063" max="11063" width="11.81640625" style="243" customWidth="1"/>
    <col min="11064" max="11064" width="10" style="243" customWidth="1"/>
    <col min="11065" max="11065" width="10.453125" style="243" customWidth="1"/>
    <col min="11066" max="11067" width="8.81640625" style="243"/>
    <col min="11068" max="11068" width="9.36328125" style="243" customWidth="1"/>
    <col min="11069" max="11069" width="18.453125" style="243" customWidth="1"/>
    <col min="11070" max="11070" width="11" style="243" customWidth="1"/>
    <col min="11071" max="11071" width="9.54296875" style="243" customWidth="1"/>
    <col min="11072" max="11072" width="10.6328125" style="243" customWidth="1"/>
    <col min="11073" max="11073" width="9.90625" style="243" customWidth="1"/>
    <col min="11074" max="11074" width="11.453125" style="243" customWidth="1"/>
    <col min="11075" max="11075" width="9.90625" style="243" customWidth="1"/>
    <col min="11076" max="11076" width="10" style="243" customWidth="1"/>
    <col min="11077" max="11077" width="6.81640625" style="243" customWidth="1"/>
    <col min="11078" max="11078" width="12.54296875" style="243" customWidth="1"/>
    <col min="11079" max="11079" width="9.54296875" style="243" customWidth="1"/>
    <col min="11080" max="11080" width="10.36328125" style="243" customWidth="1"/>
    <col min="11081" max="11081" width="7.81640625" style="243" customWidth="1"/>
    <col min="11082" max="11082" width="7.1796875" style="243" customWidth="1"/>
    <col min="11083" max="11083" width="17.6328125" style="243" customWidth="1"/>
    <col min="11084" max="11084" width="8.81640625" style="243" customWidth="1"/>
    <col min="11085" max="11085" width="13.08984375" style="243" bestFit="1" customWidth="1"/>
    <col min="11086" max="11086" width="13.81640625" style="243" customWidth="1"/>
    <col min="11087" max="11088" width="8.81640625" style="243"/>
    <col min="11089" max="11089" width="9" style="243" bestFit="1" customWidth="1"/>
    <col min="11090" max="11098" width="8.81640625" style="243"/>
    <col min="11099" max="11099" width="13.08984375" style="243" customWidth="1"/>
    <col min="11100" max="11100" width="8.81640625" style="243"/>
    <col min="11101" max="11101" width="9.90625" style="243" customWidth="1"/>
    <col min="11102" max="11105" width="8.81640625" style="243"/>
    <col min="11106" max="11106" width="8.54296875" style="243" customWidth="1"/>
    <col min="11107" max="11107" width="30.36328125" style="243" customWidth="1"/>
    <col min="11108" max="11108" width="9" style="243" bestFit="1" customWidth="1"/>
    <col min="11109" max="11109" width="8.81640625" style="243"/>
    <col min="11110" max="11110" width="5.90625" style="243" customWidth="1"/>
    <col min="11111" max="11111" width="6.90625" style="243" customWidth="1"/>
    <col min="11112" max="11112" width="23.90625" style="243" customWidth="1"/>
    <col min="11113" max="11119" width="8.81640625" style="243"/>
    <col min="11120" max="11120" width="9" style="243" bestFit="1" customWidth="1"/>
    <col min="11121" max="11122" width="8.81640625" style="243"/>
    <col min="11123" max="11123" width="32.90625" style="243" customWidth="1"/>
    <col min="11124" max="11124" width="16.6328125" style="243" customWidth="1"/>
    <col min="11125" max="11125" width="10.1796875" style="243" customWidth="1"/>
    <col min="11126" max="11126" width="12.453125" style="243" customWidth="1"/>
    <col min="11127" max="11127" width="10" style="243" bestFit="1" customWidth="1"/>
    <col min="11128" max="11128" width="8.81640625" style="243"/>
    <col min="11129" max="11129" width="9" style="243" bestFit="1" customWidth="1"/>
    <col min="11130" max="11131" width="8.81640625" style="243"/>
    <col min="11132" max="11132" width="11.6328125" style="243" customWidth="1"/>
    <col min="11133" max="11133" width="8.81640625" style="243"/>
    <col min="11134" max="11134" width="28.81640625" style="243" customWidth="1"/>
    <col min="11135" max="11135" width="12.36328125" style="243" customWidth="1"/>
    <col min="11136" max="11136" width="11.1796875" style="243" customWidth="1"/>
    <col min="11137" max="11264" width="8.81640625" style="243"/>
    <col min="11265" max="11265" width="5.6328125" style="243" customWidth="1"/>
    <col min="11266" max="11266" width="26.54296875" style="243" customWidth="1"/>
    <col min="11267" max="11267" width="11.453125" style="243" customWidth="1"/>
    <col min="11268" max="11268" width="7.453125" style="243" customWidth="1"/>
    <col min="11269" max="11269" width="8.54296875" style="243" customWidth="1"/>
    <col min="11270" max="11270" width="12.36328125" style="243" customWidth="1"/>
    <col min="11271" max="11271" width="11.81640625" style="243" customWidth="1"/>
    <col min="11272" max="11272" width="8.1796875" style="243" customWidth="1"/>
    <col min="11273" max="11273" width="12" style="243" customWidth="1"/>
    <col min="11274" max="11274" width="8.81640625" style="243" customWidth="1"/>
    <col min="11275" max="11275" width="11.08984375" style="243" customWidth="1"/>
    <col min="11276" max="11276" width="12.90625" style="243" customWidth="1"/>
    <col min="11277" max="11277" width="12.54296875" style="243" customWidth="1"/>
    <col min="11278" max="11278" width="9.6328125" style="243" customWidth="1"/>
    <col min="11279" max="11279" width="9.90625" style="243" customWidth="1"/>
    <col min="11280" max="11280" width="11.36328125" style="243" customWidth="1"/>
    <col min="11281" max="11281" width="11.54296875" style="243" customWidth="1"/>
    <col min="11282" max="11282" width="11.6328125" style="243" customWidth="1"/>
    <col min="11283" max="11283" width="10.36328125" style="243" customWidth="1"/>
    <col min="11284" max="11284" width="11.81640625" style="243" customWidth="1"/>
    <col min="11285" max="11285" width="12.08984375" style="243" customWidth="1"/>
    <col min="11286" max="11286" width="11" style="243" customWidth="1"/>
    <col min="11287" max="11287" width="12.08984375" style="243" customWidth="1"/>
    <col min="11288" max="11288" width="10.54296875" style="243" customWidth="1"/>
    <col min="11289" max="11289" width="9.90625" style="243" customWidth="1"/>
    <col min="11290" max="11290" width="10.81640625" style="243" customWidth="1"/>
    <col min="11291" max="11291" width="9.81640625" style="243" customWidth="1"/>
    <col min="11292" max="11292" width="11.1796875" style="243" customWidth="1"/>
    <col min="11293" max="11293" width="10.36328125" style="243" customWidth="1"/>
    <col min="11294" max="11294" width="11.90625" style="243" customWidth="1"/>
    <col min="11295" max="11295" width="8.81640625" style="243"/>
    <col min="11296" max="11296" width="13.90625" style="243" customWidth="1"/>
    <col min="11297" max="11297" width="10.90625" style="243" customWidth="1"/>
    <col min="11298" max="11298" width="11.453125" style="243" customWidth="1"/>
    <col min="11299" max="11299" width="11.81640625" style="243" customWidth="1"/>
    <col min="11300" max="11300" width="11.08984375" style="243" customWidth="1"/>
    <col min="11301" max="11301" width="10.90625" style="243" customWidth="1"/>
    <col min="11302" max="11305" width="8.81640625" style="243"/>
    <col min="11306" max="11306" width="11.453125" style="243" bestFit="1" customWidth="1"/>
    <col min="11307" max="11307" width="10.1796875" style="243" customWidth="1"/>
    <col min="11308" max="11308" width="11.54296875" style="243" customWidth="1"/>
    <col min="11309" max="11309" width="12.08984375" style="243" customWidth="1"/>
    <col min="11310" max="11310" width="13.1796875" style="243" customWidth="1"/>
    <col min="11311" max="11311" width="14.08984375" style="243" customWidth="1"/>
    <col min="11312" max="11312" width="11.81640625" style="243" customWidth="1"/>
    <col min="11313" max="11313" width="9.6328125" style="243" customWidth="1"/>
    <col min="11314" max="11317" width="8.81640625" style="243"/>
    <col min="11318" max="11318" width="28.81640625" style="243" customWidth="1"/>
    <col min="11319" max="11319" width="11.81640625" style="243" customWidth="1"/>
    <col min="11320" max="11320" width="10" style="243" customWidth="1"/>
    <col min="11321" max="11321" width="10.453125" style="243" customWidth="1"/>
    <col min="11322" max="11323" width="8.81640625" style="243"/>
    <col min="11324" max="11324" width="9.36328125" style="243" customWidth="1"/>
    <col min="11325" max="11325" width="18.453125" style="243" customWidth="1"/>
    <col min="11326" max="11326" width="11" style="243" customWidth="1"/>
    <col min="11327" max="11327" width="9.54296875" style="243" customWidth="1"/>
    <col min="11328" max="11328" width="10.6328125" style="243" customWidth="1"/>
    <col min="11329" max="11329" width="9.90625" style="243" customWidth="1"/>
    <col min="11330" max="11330" width="11.453125" style="243" customWidth="1"/>
    <col min="11331" max="11331" width="9.90625" style="243" customWidth="1"/>
    <col min="11332" max="11332" width="10" style="243" customWidth="1"/>
    <col min="11333" max="11333" width="6.81640625" style="243" customWidth="1"/>
    <col min="11334" max="11334" width="12.54296875" style="243" customWidth="1"/>
    <col min="11335" max="11335" width="9.54296875" style="243" customWidth="1"/>
    <col min="11336" max="11336" width="10.36328125" style="243" customWidth="1"/>
    <col min="11337" max="11337" width="7.81640625" style="243" customWidth="1"/>
    <col min="11338" max="11338" width="7.1796875" style="243" customWidth="1"/>
    <col min="11339" max="11339" width="17.6328125" style="243" customWidth="1"/>
    <col min="11340" max="11340" width="8.81640625" style="243" customWidth="1"/>
    <col min="11341" max="11341" width="13.08984375" style="243" bestFit="1" customWidth="1"/>
    <col min="11342" max="11342" width="13.81640625" style="243" customWidth="1"/>
    <col min="11343" max="11344" width="8.81640625" style="243"/>
    <col min="11345" max="11345" width="9" style="243" bestFit="1" customWidth="1"/>
    <col min="11346" max="11354" width="8.81640625" style="243"/>
    <col min="11355" max="11355" width="13.08984375" style="243" customWidth="1"/>
    <col min="11356" max="11356" width="8.81640625" style="243"/>
    <col min="11357" max="11357" width="9.90625" style="243" customWidth="1"/>
    <col min="11358" max="11361" width="8.81640625" style="243"/>
    <col min="11362" max="11362" width="8.54296875" style="243" customWidth="1"/>
    <col min="11363" max="11363" width="30.36328125" style="243" customWidth="1"/>
    <col min="11364" max="11364" width="9" style="243" bestFit="1" customWidth="1"/>
    <col min="11365" max="11365" width="8.81640625" style="243"/>
    <col min="11366" max="11366" width="5.90625" style="243" customWidth="1"/>
    <col min="11367" max="11367" width="6.90625" style="243" customWidth="1"/>
    <col min="11368" max="11368" width="23.90625" style="243" customWidth="1"/>
    <col min="11369" max="11375" width="8.81640625" style="243"/>
    <col min="11376" max="11376" width="9" style="243" bestFit="1" customWidth="1"/>
    <col min="11377" max="11378" width="8.81640625" style="243"/>
    <col min="11379" max="11379" width="32.90625" style="243" customWidth="1"/>
    <col min="11380" max="11380" width="16.6328125" style="243" customWidth="1"/>
    <col min="11381" max="11381" width="10.1796875" style="243" customWidth="1"/>
    <col min="11382" max="11382" width="12.453125" style="243" customWidth="1"/>
    <col min="11383" max="11383" width="10" style="243" bestFit="1" customWidth="1"/>
    <col min="11384" max="11384" width="8.81640625" style="243"/>
    <col min="11385" max="11385" width="9" style="243" bestFit="1" customWidth="1"/>
    <col min="11386" max="11387" width="8.81640625" style="243"/>
    <col min="11388" max="11388" width="11.6328125" style="243" customWidth="1"/>
    <col min="11389" max="11389" width="8.81640625" style="243"/>
    <col min="11390" max="11390" width="28.81640625" style="243" customWidth="1"/>
    <col min="11391" max="11391" width="12.36328125" style="243" customWidth="1"/>
    <col min="11392" max="11392" width="11.1796875" style="243" customWidth="1"/>
    <col min="11393" max="11520" width="8.81640625" style="243"/>
    <col min="11521" max="11521" width="5.6328125" style="243" customWidth="1"/>
    <col min="11522" max="11522" width="26.54296875" style="243" customWidth="1"/>
    <col min="11523" max="11523" width="11.453125" style="243" customWidth="1"/>
    <col min="11524" max="11524" width="7.453125" style="243" customWidth="1"/>
    <col min="11525" max="11525" width="8.54296875" style="243" customWidth="1"/>
    <col min="11526" max="11526" width="12.36328125" style="243" customWidth="1"/>
    <col min="11527" max="11527" width="11.81640625" style="243" customWidth="1"/>
    <col min="11528" max="11528" width="8.1796875" style="243" customWidth="1"/>
    <col min="11529" max="11529" width="12" style="243" customWidth="1"/>
    <col min="11530" max="11530" width="8.81640625" style="243" customWidth="1"/>
    <col min="11531" max="11531" width="11.08984375" style="243" customWidth="1"/>
    <col min="11532" max="11532" width="12.90625" style="243" customWidth="1"/>
    <col min="11533" max="11533" width="12.54296875" style="243" customWidth="1"/>
    <col min="11534" max="11534" width="9.6328125" style="243" customWidth="1"/>
    <col min="11535" max="11535" width="9.90625" style="243" customWidth="1"/>
    <col min="11536" max="11536" width="11.36328125" style="243" customWidth="1"/>
    <col min="11537" max="11537" width="11.54296875" style="243" customWidth="1"/>
    <col min="11538" max="11538" width="11.6328125" style="243" customWidth="1"/>
    <col min="11539" max="11539" width="10.36328125" style="243" customWidth="1"/>
    <col min="11540" max="11540" width="11.81640625" style="243" customWidth="1"/>
    <col min="11541" max="11541" width="12.08984375" style="243" customWidth="1"/>
    <col min="11542" max="11542" width="11" style="243" customWidth="1"/>
    <col min="11543" max="11543" width="12.08984375" style="243" customWidth="1"/>
    <col min="11544" max="11544" width="10.54296875" style="243" customWidth="1"/>
    <col min="11545" max="11545" width="9.90625" style="243" customWidth="1"/>
    <col min="11546" max="11546" width="10.81640625" style="243" customWidth="1"/>
    <col min="11547" max="11547" width="9.81640625" style="243" customWidth="1"/>
    <col min="11548" max="11548" width="11.1796875" style="243" customWidth="1"/>
    <col min="11549" max="11549" width="10.36328125" style="243" customWidth="1"/>
    <col min="11550" max="11550" width="11.90625" style="243" customWidth="1"/>
    <col min="11551" max="11551" width="8.81640625" style="243"/>
    <col min="11552" max="11552" width="13.90625" style="243" customWidth="1"/>
    <col min="11553" max="11553" width="10.90625" style="243" customWidth="1"/>
    <col min="11554" max="11554" width="11.453125" style="243" customWidth="1"/>
    <col min="11555" max="11555" width="11.81640625" style="243" customWidth="1"/>
    <col min="11556" max="11556" width="11.08984375" style="243" customWidth="1"/>
    <col min="11557" max="11557" width="10.90625" style="243" customWidth="1"/>
    <col min="11558" max="11561" width="8.81640625" style="243"/>
    <col min="11562" max="11562" width="11.453125" style="243" bestFit="1" customWidth="1"/>
    <col min="11563" max="11563" width="10.1796875" style="243" customWidth="1"/>
    <col min="11564" max="11564" width="11.54296875" style="243" customWidth="1"/>
    <col min="11565" max="11565" width="12.08984375" style="243" customWidth="1"/>
    <col min="11566" max="11566" width="13.1796875" style="243" customWidth="1"/>
    <col min="11567" max="11567" width="14.08984375" style="243" customWidth="1"/>
    <col min="11568" max="11568" width="11.81640625" style="243" customWidth="1"/>
    <col min="11569" max="11569" width="9.6328125" style="243" customWidth="1"/>
    <col min="11570" max="11573" width="8.81640625" style="243"/>
    <col min="11574" max="11574" width="28.81640625" style="243" customWidth="1"/>
    <col min="11575" max="11575" width="11.81640625" style="243" customWidth="1"/>
    <col min="11576" max="11576" width="10" style="243" customWidth="1"/>
    <col min="11577" max="11577" width="10.453125" style="243" customWidth="1"/>
    <col min="11578" max="11579" width="8.81640625" style="243"/>
    <col min="11580" max="11580" width="9.36328125" style="243" customWidth="1"/>
    <col min="11581" max="11581" width="18.453125" style="243" customWidth="1"/>
    <col min="11582" max="11582" width="11" style="243" customWidth="1"/>
    <col min="11583" max="11583" width="9.54296875" style="243" customWidth="1"/>
    <col min="11584" max="11584" width="10.6328125" style="243" customWidth="1"/>
    <col min="11585" max="11585" width="9.90625" style="243" customWidth="1"/>
    <col min="11586" max="11586" width="11.453125" style="243" customWidth="1"/>
    <col min="11587" max="11587" width="9.90625" style="243" customWidth="1"/>
    <col min="11588" max="11588" width="10" style="243" customWidth="1"/>
    <col min="11589" max="11589" width="6.81640625" style="243" customWidth="1"/>
    <col min="11590" max="11590" width="12.54296875" style="243" customWidth="1"/>
    <col min="11591" max="11591" width="9.54296875" style="243" customWidth="1"/>
    <col min="11592" max="11592" width="10.36328125" style="243" customWidth="1"/>
    <col min="11593" max="11593" width="7.81640625" style="243" customWidth="1"/>
    <col min="11594" max="11594" width="7.1796875" style="243" customWidth="1"/>
    <col min="11595" max="11595" width="17.6328125" style="243" customWidth="1"/>
    <col min="11596" max="11596" width="8.81640625" style="243" customWidth="1"/>
    <col min="11597" max="11597" width="13.08984375" style="243" bestFit="1" customWidth="1"/>
    <col min="11598" max="11598" width="13.81640625" style="243" customWidth="1"/>
    <col min="11599" max="11600" width="8.81640625" style="243"/>
    <col min="11601" max="11601" width="9" style="243" bestFit="1" customWidth="1"/>
    <col min="11602" max="11610" width="8.81640625" style="243"/>
    <col min="11611" max="11611" width="13.08984375" style="243" customWidth="1"/>
    <col min="11612" max="11612" width="8.81640625" style="243"/>
    <col min="11613" max="11613" width="9.90625" style="243" customWidth="1"/>
    <col min="11614" max="11617" width="8.81640625" style="243"/>
    <col min="11618" max="11618" width="8.54296875" style="243" customWidth="1"/>
    <col min="11619" max="11619" width="30.36328125" style="243" customWidth="1"/>
    <col min="11620" max="11620" width="9" style="243" bestFit="1" customWidth="1"/>
    <col min="11621" max="11621" width="8.81640625" style="243"/>
    <col min="11622" max="11622" width="5.90625" style="243" customWidth="1"/>
    <col min="11623" max="11623" width="6.90625" style="243" customWidth="1"/>
    <col min="11624" max="11624" width="23.90625" style="243" customWidth="1"/>
    <col min="11625" max="11631" width="8.81640625" style="243"/>
    <col min="11632" max="11632" width="9" style="243" bestFit="1" customWidth="1"/>
    <col min="11633" max="11634" width="8.81640625" style="243"/>
    <col min="11635" max="11635" width="32.90625" style="243" customWidth="1"/>
    <col min="11636" max="11636" width="16.6328125" style="243" customWidth="1"/>
    <col min="11637" max="11637" width="10.1796875" style="243" customWidth="1"/>
    <col min="11638" max="11638" width="12.453125" style="243" customWidth="1"/>
    <col min="11639" max="11639" width="10" style="243" bestFit="1" customWidth="1"/>
    <col min="11640" max="11640" width="8.81640625" style="243"/>
    <col min="11641" max="11641" width="9" style="243" bestFit="1" customWidth="1"/>
    <col min="11642" max="11643" width="8.81640625" style="243"/>
    <col min="11644" max="11644" width="11.6328125" style="243" customWidth="1"/>
    <col min="11645" max="11645" width="8.81640625" style="243"/>
    <col min="11646" max="11646" width="28.81640625" style="243" customWidth="1"/>
    <col min="11647" max="11647" width="12.36328125" style="243" customWidth="1"/>
    <col min="11648" max="11648" width="11.1796875" style="243" customWidth="1"/>
    <col min="11649" max="11776" width="8.81640625" style="243"/>
    <col min="11777" max="11777" width="5.6328125" style="243" customWidth="1"/>
    <col min="11778" max="11778" width="26.54296875" style="243" customWidth="1"/>
    <col min="11779" max="11779" width="11.453125" style="243" customWidth="1"/>
    <col min="11780" max="11780" width="7.453125" style="243" customWidth="1"/>
    <col min="11781" max="11781" width="8.54296875" style="243" customWidth="1"/>
    <col min="11782" max="11782" width="12.36328125" style="243" customWidth="1"/>
    <col min="11783" max="11783" width="11.81640625" style="243" customWidth="1"/>
    <col min="11784" max="11784" width="8.1796875" style="243" customWidth="1"/>
    <col min="11785" max="11785" width="12" style="243" customWidth="1"/>
    <col min="11786" max="11786" width="8.81640625" style="243" customWidth="1"/>
    <col min="11787" max="11787" width="11.08984375" style="243" customWidth="1"/>
    <col min="11788" max="11788" width="12.90625" style="243" customWidth="1"/>
    <col min="11789" max="11789" width="12.54296875" style="243" customWidth="1"/>
    <col min="11790" max="11790" width="9.6328125" style="243" customWidth="1"/>
    <col min="11791" max="11791" width="9.90625" style="243" customWidth="1"/>
    <col min="11792" max="11792" width="11.36328125" style="243" customWidth="1"/>
    <col min="11793" max="11793" width="11.54296875" style="243" customWidth="1"/>
    <col min="11794" max="11794" width="11.6328125" style="243" customWidth="1"/>
    <col min="11795" max="11795" width="10.36328125" style="243" customWidth="1"/>
    <col min="11796" max="11796" width="11.81640625" style="243" customWidth="1"/>
    <col min="11797" max="11797" width="12.08984375" style="243" customWidth="1"/>
    <col min="11798" max="11798" width="11" style="243" customWidth="1"/>
    <col min="11799" max="11799" width="12.08984375" style="243" customWidth="1"/>
    <col min="11800" max="11800" width="10.54296875" style="243" customWidth="1"/>
    <col min="11801" max="11801" width="9.90625" style="243" customWidth="1"/>
    <col min="11802" max="11802" width="10.81640625" style="243" customWidth="1"/>
    <col min="11803" max="11803" width="9.81640625" style="243" customWidth="1"/>
    <col min="11804" max="11804" width="11.1796875" style="243" customWidth="1"/>
    <col min="11805" max="11805" width="10.36328125" style="243" customWidth="1"/>
    <col min="11806" max="11806" width="11.90625" style="243" customWidth="1"/>
    <col min="11807" max="11807" width="8.81640625" style="243"/>
    <col min="11808" max="11808" width="13.90625" style="243" customWidth="1"/>
    <col min="11809" max="11809" width="10.90625" style="243" customWidth="1"/>
    <col min="11810" max="11810" width="11.453125" style="243" customWidth="1"/>
    <col min="11811" max="11811" width="11.81640625" style="243" customWidth="1"/>
    <col min="11812" max="11812" width="11.08984375" style="243" customWidth="1"/>
    <col min="11813" max="11813" width="10.90625" style="243" customWidth="1"/>
    <col min="11814" max="11817" width="8.81640625" style="243"/>
    <col min="11818" max="11818" width="11.453125" style="243" bestFit="1" customWidth="1"/>
    <col min="11819" max="11819" width="10.1796875" style="243" customWidth="1"/>
    <col min="11820" max="11820" width="11.54296875" style="243" customWidth="1"/>
    <col min="11821" max="11821" width="12.08984375" style="243" customWidth="1"/>
    <col min="11822" max="11822" width="13.1796875" style="243" customWidth="1"/>
    <col min="11823" max="11823" width="14.08984375" style="243" customWidth="1"/>
    <col min="11824" max="11824" width="11.81640625" style="243" customWidth="1"/>
    <col min="11825" max="11825" width="9.6328125" style="243" customWidth="1"/>
    <col min="11826" max="11829" width="8.81640625" style="243"/>
    <col min="11830" max="11830" width="28.81640625" style="243" customWidth="1"/>
    <col min="11831" max="11831" width="11.81640625" style="243" customWidth="1"/>
    <col min="11832" max="11832" width="10" style="243" customWidth="1"/>
    <col min="11833" max="11833" width="10.453125" style="243" customWidth="1"/>
    <col min="11834" max="11835" width="8.81640625" style="243"/>
    <col min="11836" max="11836" width="9.36328125" style="243" customWidth="1"/>
    <col min="11837" max="11837" width="18.453125" style="243" customWidth="1"/>
    <col min="11838" max="11838" width="11" style="243" customWidth="1"/>
    <col min="11839" max="11839" width="9.54296875" style="243" customWidth="1"/>
    <col min="11840" max="11840" width="10.6328125" style="243" customWidth="1"/>
    <col min="11841" max="11841" width="9.90625" style="243" customWidth="1"/>
    <col min="11842" max="11842" width="11.453125" style="243" customWidth="1"/>
    <col min="11843" max="11843" width="9.90625" style="243" customWidth="1"/>
    <col min="11844" max="11844" width="10" style="243" customWidth="1"/>
    <col min="11845" max="11845" width="6.81640625" style="243" customWidth="1"/>
    <col min="11846" max="11846" width="12.54296875" style="243" customWidth="1"/>
    <col min="11847" max="11847" width="9.54296875" style="243" customWidth="1"/>
    <col min="11848" max="11848" width="10.36328125" style="243" customWidth="1"/>
    <col min="11849" max="11849" width="7.81640625" style="243" customWidth="1"/>
    <col min="11850" max="11850" width="7.1796875" style="243" customWidth="1"/>
    <col min="11851" max="11851" width="17.6328125" style="243" customWidth="1"/>
    <col min="11852" max="11852" width="8.81640625" style="243" customWidth="1"/>
    <col min="11853" max="11853" width="13.08984375" style="243" bestFit="1" customWidth="1"/>
    <col min="11854" max="11854" width="13.81640625" style="243" customWidth="1"/>
    <col min="11855" max="11856" width="8.81640625" style="243"/>
    <col min="11857" max="11857" width="9" style="243" bestFit="1" customWidth="1"/>
    <col min="11858" max="11866" width="8.81640625" style="243"/>
    <col min="11867" max="11867" width="13.08984375" style="243" customWidth="1"/>
    <col min="11868" max="11868" width="8.81640625" style="243"/>
    <col min="11869" max="11869" width="9.90625" style="243" customWidth="1"/>
    <col min="11870" max="11873" width="8.81640625" style="243"/>
    <col min="11874" max="11874" width="8.54296875" style="243" customWidth="1"/>
    <col min="11875" max="11875" width="30.36328125" style="243" customWidth="1"/>
    <col min="11876" max="11876" width="9" style="243" bestFit="1" customWidth="1"/>
    <col min="11877" max="11877" width="8.81640625" style="243"/>
    <col min="11878" max="11878" width="5.90625" style="243" customWidth="1"/>
    <col min="11879" max="11879" width="6.90625" style="243" customWidth="1"/>
    <col min="11880" max="11880" width="23.90625" style="243" customWidth="1"/>
    <col min="11881" max="11887" width="8.81640625" style="243"/>
    <col min="11888" max="11888" width="9" style="243" bestFit="1" customWidth="1"/>
    <col min="11889" max="11890" width="8.81640625" style="243"/>
    <col min="11891" max="11891" width="32.90625" style="243" customWidth="1"/>
    <col min="11892" max="11892" width="16.6328125" style="243" customWidth="1"/>
    <col min="11893" max="11893" width="10.1796875" style="243" customWidth="1"/>
    <col min="11894" max="11894" width="12.453125" style="243" customWidth="1"/>
    <col min="11895" max="11895" width="10" style="243" bestFit="1" customWidth="1"/>
    <col min="11896" max="11896" width="8.81640625" style="243"/>
    <col min="11897" max="11897" width="9" style="243" bestFit="1" customWidth="1"/>
    <col min="11898" max="11899" width="8.81640625" style="243"/>
    <col min="11900" max="11900" width="11.6328125" style="243" customWidth="1"/>
    <col min="11901" max="11901" width="8.81640625" style="243"/>
    <col min="11902" max="11902" width="28.81640625" style="243" customWidth="1"/>
    <col min="11903" max="11903" width="12.36328125" style="243" customWidth="1"/>
    <col min="11904" max="11904" width="11.1796875" style="243" customWidth="1"/>
    <col min="11905" max="12032" width="8.81640625" style="243"/>
    <col min="12033" max="12033" width="5.6328125" style="243" customWidth="1"/>
    <col min="12034" max="12034" width="26.54296875" style="243" customWidth="1"/>
    <col min="12035" max="12035" width="11.453125" style="243" customWidth="1"/>
    <col min="12036" max="12036" width="7.453125" style="243" customWidth="1"/>
    <col min="12037" max="12037" width="8.54296875" style="243" customWidth="1"/>
    <col min="12038" max="12038" width="12.36328125" style="243" customWidth="1"/>
    <col min="12039" max="12039" width="11.81640625" style="243" customWidth="1"/>
    <col min="12040" max="12040" width="8.1796875" style="243" customWidth="1"/>
    <col min="12041" max="12041" width="12" style="243" customWidth="1"/>
    <col min="12042" max="12042" width="8.81640625" style="243" customWidth="1"/>
    <col min="12043" max="12043" width="11.08984375" style="243" customWidth="1"/>
    <col min="12044" max="12044" width="12.90625" style="243" customWidth="1"/>
    <col min="12045" max="12045" width="12.54296875" style="243" customWidth="1"/>
    <col min="12046" max="12046" width="9.6328125" style="243" customWidth="1"/>
    <col min="12047" max="12047" width="9.90625" style="243" customWidth="1"/>
    <col min="12048" max="12048" width="11.36328125" style="243" customWidth="1"/>
    <col min="12049" max="12049" width="11.54296875" style="243" customWidth="1"/>
    <col min="12050" max="12050" width="11.6328125" style="243" customWidth="1"/>
    <col min="12051" max="12051" width="10.36328125" style="243" customWidth="1"/>
    <col min="12052" max="12052" width="11.81640625" style="243" customWidth="1"/>
    <col min="12053" max="12053" width="12.08984375" style="243" customWidth="1"/>
    <col min="12054" max="12054" width="11" style="243" customWidth="1"/>
    <col min="12055" max="12055" width="12.08984375" style="243" customWidth="1"/>
    <col min="12056" max="12056" width="10.54296875" style="243" customWidth="1"/>
    <col min="12057" max="12057" width="9.90625" style="243" customWidth="1"/>
    <col min="12058" max="12058" width="10.81640625" style="243" customWidth="1"/>
    <col min="12059" max="12059" width="9.81640625" style="243" customWidth="1"/>
    <col min="12060" max="12060" width="11.1796875" style="243" customWidth="1"/>
    <col min="12061" max="12061" width="10.36328125" style="243" customWidth="1"/>
    <col min="12062" max="12062" width="11.90625" style="243" customWidth="1"/>
    <col min="12063" max="12063" width="8.81640625" style="243"/>
    <col min="12064" max="12064" width="13.90625" style="243" customWidth="1"/>
    <col min="12065" max="12065" width="10.90625" style="243" customWidth="1"/>
    <col min="12066" max="12066" width="11.453125" style="243" customWidth="1"/>
    <col min="12067" max="12067" width="11.81640625" style="243" customWidth="1"/>
    <col min="12068" max="12068" width="11.08984375" style="243" customWidth="1"/>
    <col min="12069" max="12069" width="10.90625" style="243" customWidth="1"/>
    <col min="12070" max="12073" width="8.81640625" style="243"/>
    <col min="12074" max="12074" width="11.453125" style="243" bestFit="1" customWidth="1"/>
    <col min="12075" max="12075" width="10.1796875" style="243" customWidth="1"/>
    <col min="12076" max="12076" width="11.54296875" style="243" customWidth="1"/>
    <col min="12077" max="12077" width="12.08984375" style="243" customWidth="1"/>
    <col min="12078" max="12078" width="13.1796875" style="243" customWidth="1"/>
    <col min="12079" max="12079" width="14.08984375" style="243" customWidth="1"/>
    <col min="12080" max="12080" width="11.81640625" style="243" customWidth="1"/>
    <col min="12081" max="12081" width="9.6328125" style="243" customWidth="1"/>
    <col min="12082" max="12085" width="8.81640625" style="243"/>
    <col min="12086" max="12086" width="28.81640625" style="243" customWidth="1"/>
    <col min="12087" max="12087" width="11.81640625" style="243" customWidth="1"/>
    <col min="12088" max="12088" width="10" style="243" customWidth="1"/>
    <col min="12089" max="12089" width="10.453125" style="243" customWidth="1"/>
    <col min="12090" max="12091" width="8.81640625" style="243"/>
    <col min="12092" max="12092" width="9.36328125" style="243" customWidth="1"/>
    <col min="12093" max="12093" width="18.453125" style="243" customWidth="1"/>
    <col min="12094" max="12094" width="11" style="243" customWidth="1"/>
    <col min="12095" max="12095" width="9.54296875" style="243" customWidth="1"/>
    <col min="12096" max="12096" width="10.6328125" style="243" customWidth="1"/>
    <col min="12097" max="12097" width="9.90625" style="243" customWidth="1"/>
    <col min="12098" max="12098" width="11.453125" style="243" customWidth="1"/>
    <col min="12099" max="12099" width="9.90625" style="243" customWidth="1"/>
    <col min="12100" max="12100" width="10" style="243" customWidth="1"/>
    <col min="12101" max="12101" width="6.81640625" style="243" customWidth="1"/>
    <col min="12102" max="12102" width="12.54296875" style="243" customWidth="1"/>
    <col min="12103" max="12103" width="9.54296875" style="243" customWidth="1"/>
    <col min="12104" max="12104" width="10.36328125" style="243" customWidth="1"/>
    <col min="12105" max="12105" width="7.81640625" style="243" customWidth="1"/>
    <col min="12106" max="12106" width="7.1796875" style="243" customWidth="1"/>
    <col min="12107" max="12107" width="17.6328125" style="243" customWidth="1"/>
    <col min="12108" max="12108" width="8.81640625" style="243" customWidth="1"/>
    <col min="12109" max="12109" width="13.08984375" style="243" bestFit="1" customWidth="1"/>
    <col min="12110" max="12110" width="13.81640625" style="243" customWidth="1"/>
    <col min="12111" max="12112" width="8.81640625" style="243"/>
    <col min="12113" max="12113" width="9" style="243" bestFit="1" customWidth="1"/>
    <col min="12114" max="12122" width="8.81640625" style="243"/>
    <col min="12123" max="12123" width="13.08984375" style="243" customWidth="1"/>
    <col min="12124" max="12124" width="8.81640625" style="243"/>
    <col min="12125" max="12125" width="9.90625" style="243" customWidth="1"/>
    <col min="12126" max="12129" width="8.81640625" style="243"/>
    <col min="12130" max="12130" width="8.54296875" style="243" customWidth="1"/>
    <col min="12131" max="12131" width="30.36328125" style="243" customWidth="1"/>
    <col min="12132" max="12132" width="9" style="243" bestFit="1" customWidth="1"/>
    <col min="12133" max="12133" width="8.81640625" style="243"/>
    <col min="12134" max="12134" width="5.90625" style="243" customWidth="1"/>
    <col min="12135" max="12135" width="6.90625" style="243" customWidth="1"/>
    <col min="12136" max="12136" width="23.90625" style="243" customWidth="1"/>
    <col min="12137" max="12143" width="8.81640625" style="243"/>
    <col min="12144" max="12144" width="9" style="243" bestFit="1" customWidth="1"/>
    <col min="12145" max="12146" width="8.81640625" style="243"/>
    <col min="12147" max="12147" width="32.90625" style="243" customWidth="1"/>
    <col min="12148" max="12148" width="16.6328125" style="243" customWidth="1"/>
    <col min="12149" max="12149" width="10.1796875" style="243" customWidth="1"/>
    <col min="12150" max="12150" width="12.453125" style="243" customWidth="1"/>
    <col min="12151" max="12151" width="10" style="243" bestFit="1" customWidth="1"/>
    <col min="12152" max="12152" width="8.81640625" style="243"/>
    <col min="12153" max="12153" width="9" style="243" bestFit="1" customWidth="1"/>
    <col min="12154" max="12155" width="8.81640625" style="243"/>
    <col min="12156" max="12156" width="11.6328125" style="243" customWidth="1"/>
    <col min="12157" max="12157" width="8.81640625" style="243"/>
    <col min="12158" max="12158" width="28.81640625" style="243" customWidth="1"/>
    <col min="12159" max="12159" width="12.36328125" style="243" customWidth="1"/>
    <col min="12160" max="12160" width="11.1796875" style="243" customWidth="1"/>
    <col min="12161" max="12288" width="8.81640625" style="243"/>
    <col min="12289" max="12289" width="5.6328125" style="243" customWidth="1"/>
    <col min="12290" max="12290" width="26.54296875" style="243" customWidth="1"/>
    <col min="12291" max="12291" width="11.453125" style="243" customWidth="1"/>
    <col min="12292" max="12292" width="7.453125" style="243" customWidth="1"/>
    <col min="12293" max="12293" width="8.54296875" style="243" customWidth="1"/>
    <col min="12294" max="12294" width="12.36328125" style="243" customWidth="1"/>
    <col min="12295" max="12295" width="11.81640625" style="243" customWidth="1"/>
    <col min="12296" max="12296" width="8.1796875" style="243" customWidth="1"/>
    <col min="12297" max="12297" width="12" style="243" customWidth="1"/>
    <col min="12298" max="12298" width="8.81640625" style="243" customWidth="1"/>
    <col min="12299" max="12299" width="11.08984375" style="243" customWidth="1"/>
    <col min="12300" max="12300" width="12.90625" style="243" customWidth="1"/>
    <col min="12301" max="12301" width="12.54296875" style="243" customWidth="1"/>
    <col min="12302" max="12302" width="9.6328125" style="243" customWidth="1"/>
    <col min="12303" max="12303" width="9.90625" style="243" customWidth="1"/>
    <col min="12304" max="12304" width="11.36328125" style="243" customWidth="1"/>
    <col min="12305" max="12305" width="11.54296875" style="243" customWidth="1"/>
    <col min="12306" max="12306" width="11.6328125" style="243" customWidth="1"/>
    <col min="12307" max="12307" width="10.36328125" style="243" customWidth="1"/>
    <col min="12308" max="12308" width="11.81640625" style="243" customWidth="1"/>
    <col min="12309" max="12309" width="12.08984375" style="243" customWidth="1"/>
    <col min="12310" max="12310" width="11" style="243" customWidth="1"/>
    <col min="12311" max="12311" width="12.08984375" style="243" customWidth="1"/>
    <col min="12312" max="12312" width="10.54296875" style="243" customWidth="1"/>
    <col min="12313" max="12313" width="9.90625" style="243" customWidth="1"/>
    <col min="12314" max="12314" width="10.81640625" style="243" customWidth="1"/>
    <col min="12315" max="12315" width="9.81640625" style="243" customWidth="1"/>
    <col min="12316" max="12316" width="11.1796875" style="243" customWidth="1"/>
    <col min="12317" max="12317" width="10.36328125" style="243" customWidth="1"/>
    <col min="12318" max="12318" width="11.90625" style="243" customWidth="1"/>
    <col min="12319" max="12319" width="8.81640625" style="243"/>
    <col min="12320" max="12320" width="13.90625" style="243" customWidth="1"/>
    <col min="12321" max="12321" width="10.90625" style="243" customWidth="1"/>
    <col min="12322" max="12322" width="11.453125" style="243" customWidth="1"/>
    <col min="12323" max="12323" width="11.81640625" style="243" customWidth="1"/>
    <col min="12324" max="12324" width="11.08984375" style="243" customWidth="1"/>
    <col min="12325" max="12325" width="10.90625" style="243" customWidth="1"/>
    <col min="12326" max="12329" width="8.81640625" style="243"/>
    <col min="12330" max="12330" width="11.453125" style="243" bestFit="1" customWidth="1"/>
    <col min="12331" max="12331" width="10.1796875" style="243" customWidth="1"/>
    <col min="12332" max="12332" width="11.54296875" style="243" customWidth="1"/>
    <col min="12333" max="12333" width="12.08984375" style="243" customWidth="1"/>
    <col min="12334" max="12334" width="13.1796875" style="243" customWidth="1"/>
    <col min="12335" max="12335" width="14.08984375" style="243" customWidth="1"/>
    <col min="12336" max="12336" width="11.81640625" style="243" customWidth="1"/>
    <col min="12337" max="12337" width="9.6328125" style="243" customWidth="1"/>
    <col min="12338" max="12341" width="8.81640625" style="243"/>
    <col min="12342" max="12342" width="28.81640625" style="243" customWidth="1"/>
    <col min="12343" max="12343" width="11.81640625" style="243" customWidth="1"/>
    <col min="12344" max="12344" width="10" style="243" customWidth="1"/>
    <col min="12345" max="12345" width="10.453125" style="243" customWidth="1"/>
    <col min="12346" max="12347" width="8.81640625" style="243"/>
    <col min="12348" max="12348" width="9.36328125" style="243" customWidth="1"/>
    <col min="12349" max="12349" width="18.453125" style="243" customWidth="1"/>
    <col min="12350" max="12350" width="11" style="243" customWidth="1"/>
    <col min="12351" max="12351" width="9.54296875" style="243" customWidth="1"/>
    <col min="12352" max="12352" width="10.6328125" style="243" customWidth="1"/>
    <col min="12353" max="12353" width="9.90625" style="243" customWidth="1"/>
    <col min="12354" max="12354" width="11.453125" style="243" customWidth="1"/>
    <col min="12355" max="12355" width="9.90625" style="243" customWidth="1"/>
    <col min="12356" max="12356" width="10" style="243" customWidth="1"/>
    <col min="12357" max="12357" width="6.81640625" style="243" customWidth="1"/>
    <col min="12358" max="12358" width="12.54296875" style="243" customWidth="1"/>
    <col min="12359" max="12359" width="9.54296875" style="243" customWidth="1"/>
    <col min="12360" max="12360" width="10.36328125" style="243" customWidth="1"/>
    <col min="12361" max="12361" width="7.81640625" style="243" customWidth="1"/>
    <col min="12362" max="12362" width="7.1796875" style="243" customWidth="1"/>
    <col min="12363" max="12363" width="17.6328125" style="243" customWidth="1"/>
    <col min="12364" max="12364" width="8.81640625" style="243" customWidth="1"/>
    <col min="12365" max="12365" width="13.08984375" style="243" bestFit="1" customWidth="1"/>
    <col min="12366" max="12366" width="13.81640625" style="243" customWidth="1"/>
    <col min="12367" max="12368" width="8.81640625" style="243"/>
    <col min="12369" max="12369" width="9" style="243" bestFit="1" customWidth="1"/>
    <col min="12370" max="12378" width="8.81640625" style="243"/>
    <col min="12379" max="12379" width="13.08984375" style="243" customWidth="1"/>
    <col min="12380" max="12380" width="8.81640625" style="243"/>
    <col min="12381" max="12381" width="9.90625" style="243" customWidth="1"/>
    <col min="12382" max="12385" width="8.81640625" style="243"/>
    <col min="12386" max="12386" width="8.54296875" style="243" customWidth="1"/>
    <col min="12387" max="12387" width="30.36328125" style="243" customWidth="1"/>
    <col min="12388" max="12388" width="9" style="243" bestFit="1" customWidth="1"/>
    <col min="12389" max="12389" width="8.81640625" style="243"/>
    <col min="12390" max="12390" width="5.90625" style="243" customWidth="1"/>
    <col min="12391" max="12391" width="6.90625" style="243" customWidth="1"/>
    <col min="12392" max="12392" width="23.90625" style="243" customWidth="1"/>
    <col min="12393" max="12399" width="8.81640625" style="243"/>
    <col min="12400" max="12400" width="9" style="243" bestFit="1" customWidth="1"/>
    <col min="12401" max="12402" width="8.81640625" style="243"/>
    <col min="12403" max="12403" width="32.90625" style="243" customWidth="1"/>
    <col min="12404" max="12404" width="16.6328125" style="243" customWidth="1"/>
    <col min="12405" max="12405" width="10.1796875" style="243" customWidth="1"/>
    <col min="12406" max="12406" width="12.453125" style="243" customWidth="1"/>
    <col min="12407" max="12407" width="10" style="243" bestFit="1" customWidth="1"/>
    <col min="12408" max="12408" width="8.81640625" style="243"/>
    <col min="12409" max="12409" width="9" style="243" bestFit="1" customWidth="1"/>
    <col min="12410" max="12411" width="8.81640625" style="243"/>
    <col min="12412" max="12412" width="11.6328125" style="243" customWidth="1"/>
    <col min="12413" max="12413" width="8.81640625" style="243"/>
    <col min="12414" max="12414" width="28.81640625" style="243" customWidth="1"/>
    <col min="12415" max="12415" width="12.36328125" style="243" customWidth="1"/>
    <col min="12416" max="12416" width="11.1796875" style="243" customWidth="1"/>
    <col min="12417" max="12544" width="8.81640625" style="243"/>
    <col min="12545" max="12545" width="5.6328125" style="243" customWidth="1"/>
    <col min="12546" max="12546" width="26.54296875" style="243" customWidth="1"/>
    <col min="12547" max="12547" width="11.453125" style="243" customWidth="1"/>
    <col min="12548" max="12548" width="7.453125" style="243" customWidth="1"/>
    <col min="12549" max="12549" width="8.54296875" style="243" customWidth="1"/>
    <col min="12550" max="12550" width="12.36328125" style="243" customWidth="1"/>
    <col min="12551" max="12551" width="11.81640625" style="243" customWidth="1"/>
    <col min="12552" max="12552" width="8.1796875" style="243" customWidth="1"/>
    <col min="12553" max="12553" width="12" style="243" customWidth="1"/>
    <col min="12554" max="12554" width="8.81640625" style="243" customWidth="1"/>
    <col min="12555" max="12555" width="11.08984375" style="243" customWidth="1"/>
    <col min="12556" max="12556" width="12.90625" style="243" customWidth="1"/>
    <col min="12557" max="12557" width="12.54296875" style="243" customWidth="1"/>
    <col min="12558" max="12558" width="9.6328125" style="243" customWidth="1"/>
    <col min="12559" max="12559" width="9.90625" style="243" customWidth="1"/>
    <col min="12560" max="12560" width="11.36328125" style="243" customWidth="1"/>
    <col min="12561" max="12561" width="11.54296875" style="243" customWidth="1"/>
    <col min="12562" max="12562" width="11.6328125" style="243" customWidth="1"/>
    <col min="12563" max="12563" width="10.36328125" style="243" customWidth="1"/>
    <col min="12564" max="12564" width="11.81640625" style="243" customWidth="1"/>
    <col min="12565" max="12565" width="12.08984375" style="243" customWidth="1"/>
    <col min="12566" max="12566" width="11" style="243" customWidth="1"/>
    <col min="12567" max="12567" width="12.08984375" style="243" customWidth="1"/>
    <col min="12568" max="12568" width="10.54296875" style="243" customWidth="1"/>
    <col min="12569" max="12569" width="9.90625" style="243" customWidth="1"/>
    <col min="12570" max="12570" width="10.81640625" style="243" customWidth="1"/>
    <col min="12571" max="12571" width="9.81640625" style="243" customWidth="1"/>
    <col min="12572" max="12572" width="11.1796875" style="243" customWidth="1"/>
    <col min="12573" max="12573" width="10.36328125" style="243" customWidth="1"/>
    <col min="12574" max="12574" width="11.90625" style="243" customWidth="1"/>
    <col min="12575" max="12575" width="8.81640625" style="243"/>
    <col min="12576" max="12576" width="13.90625" style="243" customWidth="1"/>
    <col min="12577" max="12577" width="10.90625" style="243" customWidth="1"/>
    <col min="12578" max="12578" width="11.453125" style="243" customWidth="1"/>
    <col min="12579" max="12579" width="11.81640625" style="243" customWidth="1"/>
    <col min="12580" max="12580" width="11.08984375" style="243" customWidth="1"/>
    <col min="12581" max="12581" width="10.90625" style="243" customWidth="1"/>
    <col min="12582" max="12585" width="8.81640625" style="243"/>
    <col min="12586" max="12586" width="11.453125" style="243" bestFit="1" customWidth="1"/>
    <col min="12587" max="12587" width="10.1796875" style="243" customWidth="1"/>
    <col min="12588" max="12588" width="11.54296875" style="243" customWidth="1"/>
    <col min="12589" max="12589" width="12.08984375" style="243" customWidth="1"/>
    <col min="12590" max="12590" width="13.1796875" style="243" customWidth="1"/>
    <col min="12591" max="12591" width="14.08984375" style="243" customWidth="1"/>
    <col min="12592" max="12592" width="11.81640625" style="243" customWidth="1"/>
    <col min="12593" max="12593" width="9.6328125" style="243" customWidth="1"/>
    <col min="12594" max="12597" width="8.81640625" style="243"/>
    <col min="12598" max="12598" width="28.81640625" style="243" customWidth="1"/>
    <col min="12599" max="12599" width="11.81640625" style="243" customWidth="1"/>
    <col min="12600" max="12600" width="10" style="243" customWidth="1"/>
    <col min="12601" max="12601" width="10.453125" style="243" customWidth="1"/>
    <col min="12602" max="12603" width="8.81640625" style="243"/>
    <col min="12604" max="12604" width="9.36328125" style="243" customWidth="1"/>
    <col min="12605" max="12605" width="18.453125" style="243" customWidth="1"/>
    <col min="12606" max="12606" width="11" style="243" customWidth="1"/>
    <col min="12607" max="12607" width="9.54296875" style="243" customWidth="1"/>
    <col min="12608" max="12608" width="10.6328125" style="243" customWidth="1"/>
    <col min="12609" max="12609" width="9.90625" style="243" customWidth="1"/>
    <col min="12610" max="12610" width="11.453125" style="243" customWidth="1"/>
    <col min="12611" max="12611" width="9.90625" style="243" customWidth="1"/>
    <col min="12612" max="12612" width="10" style="243" customWidth="1"/>
    <col min="12613" max="12613" width="6.81640625" style="243" customWidth="1"/>
    <col min="12614" max="12614" width="12.54296875" style="243" customWidth="1"/>
    <col min="12615" max="12615" width="9.54296875" style="243" customWidth="1"/>
    <col min="12616" max="12616" width="10.36328125" style="243" customWidth="1"/>
    <col min="12617" max="12617" width="7.81640625" style="243" customWidth="1"/>
    <col min="12618" max="12618" width="7.1796875" style="243" customWidth="1"/>
    <col min="12619" max="12619" width="17.6328125" style="243" customWidth="1"/>
    <col min="12620" max="12620" width="8.81640625" style="243" customWidth="1"/>
    <col min="12621" max="12621" width="13.08984375" style="243" bestFit="1" customWidth="1"/>
    <col min="12622" max="12622" width="13.81640625" style="243" customWidth="1"/>
    <col min="12623" max="12624" width="8.81640625" style="243"/>
    <col min="12625" max="12625" width="9" style="243" bestFit="1" customWidth="1"/>
    <col min="12626" max="12634" width="8.81640625" style="243"/>
    <col min="12635" max="12635" width="13.08984375" style="243" customWidth="1"/>
    <col min="12636" max="12636" width="8.81640625" style="243"/>
    <col min="12637" max="12637" width="9.90625" style="243" customWidth="1"/>
    <col min="12638" max="12641" width="8.81640625" style="243"/>
    <col min="12642" max="12642" width="8.54296875" style="243" customWidth="1"/>
    <col min="12643" max="12643" width="30.36328125" style="243" customWidth="1"/>
    <col min="12644" max="12644" width="9" style="243" bestFit="1" customWidth="1"/>
    <col min="12645" max="12645" width="8.81640625" style="243"/>
    <col min="12646" max="12646" width="5.90625" style="243" customWidth="1"/>
    <col min="12647" max="12647" width="6.90625" style="243" customWidth="1"/>
    <col min="12648" max="12648" width="23.90625" style="243" customWidth="1"/>
    <col min="12649" max="12655" width="8.81640625" style="243"/>
    <col min="12656" max="12656" width="9" style="243" bestFit="1" customWidth="1"/>
    <col min="12657" max="12658" width="8.81640625" style="243"/>
    <col min="12659" max="12659" width="32.90625" style="243" customWidth="1"/>
    <col min="12660" max="12660" width="16.6328125" style="243" customWidth="1"/>
    <col min="12661" max="12661" width="10.1796875" style="243" customWidth="1"/>
    <col min="12662" max="12662" width="12.453125" style="243" customWidth="1"/>
    <col min="12663" max="12663" width="10" style="243" bestFit="1" customWidth="1"/>
    <col min="12664" max="12664" width="8.81640625" style="243"/>
    <col min="12665" max="12665" width="9" style="243" bestFit="1" customWidth="1"/>
    <col min="12666" max="12667" width="8.81640625" style="243"/>
    <col min="12668" max="12668" width="11.6328125" style="243" customWidth="1"/>
    <col min="12669" max="12669" width="8.81640625" style="243"/>
    <col min="12670" max="12670" width="28.81640625" style="243" customWidth="1"/>
    <col min="12671" max="12671" width="12.36328125" style="243" customWidth="1"/>
    <col min="12672" max="12672" width="11.1796875" style="243" customWidth="1"/>
    <col min="12673" max="12800" width="8.81640625" style="243"/>
    <col min="12801" max="12801" width="5.6328125" style="243" customWidth="1"/>
    <col min="12802" max="12802" width="26.54296875" style="243" customWidth="1"/>
    <col min="12803" max="12803" width="11.453125" style="243" customWidth="1"/>
    <col min="12804" max="12804" width="7.453125" style="243" customWidth="1"/>
    <col min="12805" max="12805" width="8.54296875" style="243" customWidth="1"/>
    <col min="12806" max="12806" width="12.36328125" style="243" customWidth="1"/>
    <col min="12807" max="12807" width="11.81640625" style="243" customWidth="1"/>
    <col min="12808" max="12808" width="8.1796875" style="243" customWidth="1"/>
    <col min="12809" max="12809" width="12" style="243" customWidth="1"/>
    <col min="12810" max="12810" width="8.81640625" style="243" customWidth="1"/>
    <col min="12811" max="12811" width="11.08984375" style="243" customWidth="1"/>
    <col min="12812" max="12812" width="12.90625" style="243" customWidth="1"/>
    <col min="12813" max="12813" width="12.54296875" style="243" customWidth="1"/>
    <col min="12814" max="12814" width="9.6328125" style="243" customWidth="1"/>
    <col min="12815" max="12815" width="9.90625" style="243" customWidth="1"/>
    <col min="12816" max="12816" width="11.36328125" style="243" customWidth="1"/>
    <col min="12817" max="12817" width="11.54296875" style="243" customWidth="1"/>
    <col min="12818" max="12818" width="11.6328125" style="243" customWidth="1"/>
    <col min="12819" max="12819" width="10.36328125" style="243" customWidth="1"/>
    <col min="12820" max="12820" width="11.81640625" style="243" customWidth="1"/>
    <col min="12821" max="12821" width="12.08984375" style="243" customWidth="1"/>
    <col min="12822" max="12822" width="11" style="243" customWidth="1"/>
    <col min="12823" max="12823" width="12.08984375" style="243" customWidth="1"/>
    <col min="12824" max="12824" width="10.54296875" style="243" customWidth="1"/>
    <col min="12825" max="12825" width="9.90625" style="243" customWidth="1"/>
    <col min="12826" max="12826" width="10.81640625" style="243" customWidth="1"/>
    <col min="12827" max="12827" width="9.81640625" style="243" customWidth="1"/>
    <col min="12828" max="12828" width="11.1796875" style="243" customWidth="1"/>
    <col min="12829" max="12829" width="10.36328125" style="243" customWidth="1"/>
    <col min="12830" max="12830" width="11.90625" style="243" customWidth="1"/>
    <col min="12831" max="12831" width="8.81640625" style="243"/>
    <col min="12832" max="12832" width="13.90625" style="243" customWidth="1"/>
    <col min="12833" max="12833" width="10.90625" style="243" customWidth="1"/>
    <col min="12834" max="12834" width="11.453125" style="243" customWidth="1"/>
    <col min="12835" max="12835" width="11.81640625" style="243" customWidth="1"/>
    <col min="12836" max="12836" width="11.08984375" style="243" customWidth="1"/>
    <col min="12837" max="12837" width="10.90625" style="243" customWidth="1"/>
    <col min="12838" max="12841" width="8.81640625" style="243"/>
    <col min="12842" max="12842" width="11.453125" style="243" bestFit="1" customWidth="1"/>
    <col min="12843" max="12843" width="10.1796875" style="243" customWidth="1"/>
    <col min="12844" max="12844" width="11.54296875" style="243" customWidth="1"/>
    <col min="12845" max="12845" width="12.08984375" style="243" customWidth="1"/>
    <col min="12846" max="12846" width="13.1796875" style="243" customWidth="1"/>
    <col min="12847" max="12847" width="14.08984375" style="243" customWidth="1"/>
    <col min="12848" max="12848" width="11.81640625" style="243" customWidth="1"/>
    <col min="12849" max="12849" width="9.6328125" style="243" customWidth="1"/>
    <col min="12850" max="12853" width="8.81640625" style="243"/>
    <col min="12854" max="12854" width="28.81640625" style="243" customWidth="1"/>
    <col min="12855" max="12855" width="11.81640625" style="243" customWidth="1"/>
    <col min="12856" max="12856" width="10" style="243" customWidth="1"/>
    <col min="12857" max="12857" width="10.453125" style="243" customWidth="1"/>
    <col min="12858" max="12859" width="8.81640625" style="243"/>
    <col min="12860" max="12860" width="9.36328125" style="243" customWidth="1"/>
    <col min="12861" max="12861" width="18.453125" style="243" customWidth="1"/>
    <col min="12862" max="12862" width="11" style="243" customWidth="1"/>
    <col min="12863" max="12863" width="9.54296875" style="243" customWidth="1"/>
    <col min="12864" max="12864" width="10.6328125" style="243" customWidth="1"/>
    <col min="12865" max="12865" width="9.90625" style="243" customWidth="1"/>
    <col min="12866" max="12866" width="11.453125" style="243" customWidth="1"/>
    <col min="12867" max="12867" width="9.90625" style="243" customWidth="1"/>
    <col min="12868" max="12868" width="10" style="243" customWidth="1"/>
    <col min="12869" max="12869" width="6.81640625" style="243" customWidth="1"/>
    <col min="12870" max="12870" width="12.54296875" style="243" customWidth="1"/>
    <col min="12871" max="12871" width="9.54296875" style="243" customWidth="1"/>
    <col min="12872" max="12872" width="10.36328125" style="243" customWidth="1"/>
    <col min="12873" max="12873" width="7.81640625" style="243" customWidth="1"/>
    <col min="12874" max="12874" width="7.1796875" style="243" customWidth="1"/>
    <col min="12875" max="12875" width="17.6328125" style="243" customWidth="1"/>
    <col min="12876" max="12876" width="8.81640625" style="243" customWidth="1"/>
    <col min="12877" max="12877" width="13.08984375" style="243" bestFit="1" customWidth="1"/>
    <col min="12878" max="12878" width="13.81640625" style="243" customWidth="1"/>
    <col min="12879" max="12880" width="8.81640625" style="243"/>
    <col min="12881" max="12881" width="9" style="243" bestFit="1" customWidth="1"/>
    <col min="12882" max="12890" width="8.81640625" style="243"/>
    <col min="12891" max="12891" width="13.08984375" style="243" customWidth="1"/>
    <col min="12892" max="12892" width="8.81640625" style="243"/>
    <col min="12893" max="12893" width="9.90625" style="243" customWidth="1"/>
    <col min="12894" max="12897" width="8.81640625" style="243"/>
    <col min="12898" max="12898" width="8.54296875" style="243" customWidth="1"/>
    <col min="12899" max="12899" width="30.36328125" style="243" customWidth="1"/>
    <col min="12900" max="12900" width="9" style="243" bestFit="1" customWidth="1"/>
    <col min="12901" max="12901" width="8.81640625" style="243"/>
    <col min="12902" max="12902" width="5.90625" style="243" customWidth="1"/>
    <col min="12903" max="12903" width="6.90625" style="243" customWidth="1"/>
    <col min="12904" max="12904" width="23.90625" style="243" customWidth="1"/>
    <col min="12905" max="12911" width="8.81640625" style="243"/>
    <col min="12912" max="12912" width="9" style="243" bestFit="1" customWidth="1"/>
    <col min="12913" max="12914" width="8.81640625" style="243"/>
    <col min="12915" max="12915" width="32.90625" style="243" customWidth="1"/>
    <col min="12916" max="12916" width="16.6328125" style="243" customWidth="1"/>
    <col min="12917" max="12917" width="10.1796875" style="243" customWidth="1"/>
    <col min="12918" max="12918" width="12.453125" style="243" customWidth="1"/>
    <col min="12919" max="12919" width="10" style="243" bestFit="1" customWidth="1"/>
    <col min="12920" max="12920" width="8.81640625" style="243"/>
    <col min="12921" max="12921" width="9" style="243" bestFit="1" customWidth="1"/>
    <col min="12922" max="12923" width="8.81640625" style="243"/>
    <col min="12924" max="12924" width="11.6328125" style="243" customWidth="1"/>
    <col min="12925" max="12925" width="8.81640625" style="243"/>
    <col min="12926" max="12926" width="28.81640625" style="243" customWidth="1"/>
    <col min="12927" max="12927" width="12.36328125" style="243" customWidth="1"/>
    <col min="12928" max="12928" width="11.1796875" style="243" customWidth="1"/>
    <col min="12929" max="13056" width="8.81640625" style="243"/>
    <col min="13057" max="13057" width="5.6328125" style="243" customWidth="1"/>
    <col min="13058" max="13058" width="26.54296875" style="243" customWidth="1"/>
    <col min="13059" max="13059" width="11.453125" style="243" customWidth="1"/>
    <col min="13060" max="13060" width="7.453125" style="243" customWidth="1"/>
    <col min="13061" max="13061" width="8.54296875" style="243" customWidth="1"/>
    <col min="13062" max="13062" width="12.36328125" style="243" customWidth="1"/>
    <col min="13063" max="13063" width="11.81640625" style="243" customWidth="1"/>
    <col min="13064" max="13064" width="8.1796875" style="243" customWidth="1"/>
    <col min="13065" max="13065" width="12" style="243" customWidth="1"/>
    <col min="13066" max="13066" width="8.81640625" style="243" customWidth="1"/>
    <col min="13067" max="13067" width="11.08984375" style="243" customWidth="1"/>
    <col min="13068" max="13068" width="12.90625" style="243" customWidth="1"/>
    <col min="13069" max="13069" width="12.54296875" style="243" customWidth="1"/>
    <col min="13070" max="13070" width="9.6328125" style="243" customWidth="1"/>
    <col min="13071" max="13071" width="9.90625" style="243" customWidth="1"/>
    <col min="13072" max="13072" width="11.36328125" style="243" customWidth="1"/>
    <col min="13073" max="13073" width="11.54296875" style="243" customWidth="1"/>
    <col min="13074" max="13074" width="11.6328125" style="243" customWidth="1"/>
    <col min="13075" max="13075" width="10.36328125" style="243" customWidth="1"/>
    <col min="13076" max="13076" width="11.81640625" style="243" customWidth="1"/>
    <col min="13077" max="13077" width="12.08984375" style="243" customWidth="1"/>
    <col min="13078" max="13078" width="11" style="243" customWidth="1"/>
    <col min="13079" max="13079" width="12.08984375" style="243" customWidth="1"/>
    <col min="13080" max="13080" width="10.54296875" style="243" customWidth="1"/>
    <col min="13081" max="13081" width="9.90625" style="243" customWidth="1"/>
    <col min="13082" max="13082" width="10.81640625" style="243" customWidth="1"/>
    <col min="13083" max="13083" width="9.81640625" style="243" customWidth="1"/>
    <col min="13084" max="13084" width="11.1796875" style="243" customWidth="1"/>
    <col min="13085" max="13085" width="10.36328125" style="243" customWidth="1"/>
    <col min="13086" max="13086" width="11.90625" style="243" customWidth="1"/>
    <col min="13087" max="13087" width="8.81640625" style="243"/>
    <col min="13088" max="13088" width="13.90625" style="243" customWidth="1"/>
    <col min="13089" max="13089" width="10.90625" style="243" customWidth="1"/>
    <col min="13090" max="13090" width="11.453125" style="243" customWidth="1"/>
    <col min="13091" max="13091" width="11.81640625" style="243" customWidth="1"/>
    <col min="13092" max="13092" width="11.08984375" style="243" customWidth="1"/>
    <col min="13093" max="13093" width="10.90625" style="243" customWidth="1"/>
    <col min="13094" max="13097" width="8.81640625" style="243"/>
    <col min="13098" max="13098" width="11.453125" style="243" bestFit="1" customWidth="1"/>
    <col min="13099" max="13099" width="10.1796875" style="243" customWidth="1"/>
    <col min="13100" max="13100" width="11.54296875" style="243" customWidth="1"/>
    <col min="13101" max="13101" width="12.08984375" style="243" customWidth="1"/>
    <col min="13102" max="13102" width="13.1796875" style="243" customWidth="1"/>
    <col min="13103" max="13103" width="14.08984375" style="243" customWidth="1"/>
    <col min="13104" max="13104" width="11.81640625" style="243" customWidth="1"/>
    <col min="13105" max="13105" width="9.6328125" style="243" customWidth="1"/>
    <col min="13106" max="13109" width="8.81640625" style="243"/>
    <col min="13110" max="13110" width="28.81640625" style="243" customWidth="1"/>
    <col min="13111" max="13111" width="11.81640625" style="243" customWidth="1"/>
    <col min="13112" max="13112" width="10" style="243" customWidth="1"/>
    <col min="13113" max="13113" width="10.453125" style="243" customWidth="1"/>
    <col min="13114" max="13115" width="8.81640625" style="243"/>
    <col min="13116" max="13116" width="9.36328125" style="243" customWidth="1"/>
    <col min="13117" max="13117" width="18.453125" style="243" customWidth="1"/>
    <col min="13118" max="13118" width="11" style="243" customWidth="1"/>
    <col min="13119" max="13119" width="9.54296875" style="243" customWidth="1"/>
    <col min="13120" max="13120" width="10.6328125" style="243" customWidth="1"/>
    <col min="13121" max="13121" width="9.90625" style="243" customWidth="1"/>
    <col min="13122" max="13122" width="11.453125" style="243" customWidth="1"/>
    <col min="13123" max="13123" width="9.90625" style="243" customWidth="1"/>
    <col min="13124" max="13124" width="10" style="243" customWidth="1"/>
    <col min="13125" max="13125" width="6.81640625" style="243" customWidth="1"/>
    <col min="13126" max="13126" width="12.54296875" style="243" customWidth="1"/>
    <col min="13127" max="13127" width="9.54296875" style="243" customWidth="1"/>
    <col min="13128" max="13128" width="10.36328125" style="243" customWidth="1"/>
    <col min="13129" max="13129" width="7.81640625" style="243" customWidth="1"/>
    <col min="13130" max="13130" width="7.1796875" style="243" customWidth="1"/>
    <col min="13131" max="13131" width="17.6328125" style="243" customWidth="1"/>
    <col min="13132" max="13132" width="8.81640625" style="243" customWidth="1"/>
    <col min="13133" max="13133" width="13.08984375" style="243" bestFit="1" customWidth="1"/>
    <col min="13134" max="13134" width="13.81640625" style="243" customWidth="1"/>
    <col min="13135" max="13136" width="8.81640625" style="243"/>
    <col min="13137" max="13137" width="9" style="243" bestFit="1" customWidth="1"/>
    <col min="13138" max="13146" width="8.81640625" style="243"/>
    <col min="13147" max="13147" width="13.08984375" style="243" customWidth="1"/>
    <col min="13148" max="13148" width="8.81640625" style="243"/>
    <col min="13149" max="13149" width="9.90625" style="243" customWidth="1"/>
    <col min="13150" max="13153" width="8.81640625" style="243"/>
    <col min="13154" max="13154" width="8.54296875" style="243" customWidth="1"/>
    <col min="13155" max="13155" width="30.36328125" style="243" customWidth="1"/>
    <col min="13156" max="13156" width="9" style="243" bestFit="1" customWidth="1"/>
    <col min="13157" max="13157" width="8.81640625" style="243"/>
    <col min="13158" max="13158" width="5.90625" style="243" customWidth="1"/>
    <col min="13159" max="13159" width="6.90625" style="243" customWidth="1"/>
    <col min="13160" max="13160" width="23.90625" style="243" customWidth="1"/>
    <col min="13161" max="13167" width="8.81640625" style="243"/>
    <col min="13168" max="13168" width="9" style="243" bestFit="1" customWidth="1"/>
    <col min="13169" max="13170" width="8.81640625" style="243"/>
    <col min="13171" max="13171" width="32.90625" style="243" customWidth="1"/>
    <col min="13172" max="13172" width="16.6328125" style="243" customWidth="1"/>
    <col min="13173" max="13173" width="10.1796875" style="243" customWidth="1"/>
    <col min="13174" max="13174" width="12.453125" style="243" customWidth="1"/>
    <col min="13175" max="13175" width="10" style="243" bestFit="1" customWidth="1"/>
    <col min="13176" max="13176" width="8.81640625" style="243"/>
    <col min="13177" max="13177" width="9" style="243" bestFit="1" customWidth="1"/>
    <col min="13178" max="13179" width="8.81640625" style="243"/>
    <col min="13180" max="13180" width="11.6328125" style="243" customWidth="1"/>
    <col min="13181" max="13181" width="8.81640625" style="243"/>
    <col min="13182" max="13182" width="28.81640625" style="243" customWidth="1"/>
    <col min="13183" max="13183" width="12.36328125" style="243" customWidth="1"/>
    <col min="13184" max="13184" width="11.1796875" style="243" customWidth="1"/>
    <col min="13185" max="13312" width="8.81640625" style="243"/>
    <col min="13313" max="13313" width="5.6328125" style="243" customWidth="1"/>
    <col min="13314" max="13314" width="26.54296875" style="243" customWidth="1"/>
    <col min="13315" max="13315" width="11.453125" style="243" customWidth="1"/>
    <col min="13316" max="13316" width="7.453125" style="243" customWidth="1"/>
    <col min="13317" max="13317" width="8.54296875" style="243" customWidth="1"/>
    <col min="13318" max="13318" width="12.36328125" style="243" customWidth="1"/>
    <col min="13319" max="13319" width="11.81640625" style="243" customWidth="1"/>
    <col min="13320" max="13320" width="8.1796875" style="243" customWidth="1"/>
    <col min="13321" max="13321" width="12" style="243" customWidth="1"/>
    <col min="13322" max="13322" width="8.81640625" style="243" customWidth="1"/>
    <col min="13323" max="13323" width="11.08984375" style="243" customWidth="1"/>
    <col min="13324" max="13324" width="12.90625" style="243" customWidth="1"/>
    <col min="13325" max="13325" width="12.54296875" style="243" customWidth="1"/>
    <col min="13326" max="13326" width="9.6328125" style="243" customWidth="1"/>
    <col min="13327" max="13327" width="9.90625" style="243" customWidth="1"/>
    <col min="13328" max="13328" width="11.36328125" style="243" customWidth="1"/>
    <col min="13329" max="13329" width="11.54296875" style="243" customWidth="1"/>
    <col min="13330" max="13330" width="11.6328125" style="243" customWidth="1"/>
    <col min="13331" max="13331" width="10.36328125" style="243" customWidth="1"/>
    <col min="13332" max="13332" width="11.81640625" style="243" customWidth="1"/>
    <col min="13333" max="13333" width="12.08984375" style="243" customWidth="1"/>
    <col min="13334" max="13334" width="11" style="243" customWidth="1"/>
    <col min="13335" max="13335" width="12.08984375" style="243" customWidth="1"/>
    <col min="13336" max="13336" width="10.54296875" style="243" customWidth="1"/>
    <col min="13337" max="13337" width="9.90625" style="243" customWidth="1"/>
    <col min="13338" max="13338" width="10.81640625" style="243" customWidth="1"/>
    <col min="13339" max="13339" width="9.81640625" style="243" customWidth="1"/>
    <col min="13340" max="13340" width="11.1796875" style="243" customWidth="1"/>
    <col min="13341" max="13341" width="10.36328125" style="243" customWidth="1"/>
    <col min="13342" max="13342" width="11.90625" style="243" customWidth="1"/>
    <col min="13343" max="13343" width="8.81640625" style="243"/>
    <col min="13344" max="13344" width="13.90625" style="243" customWidth="1"/>
    <col min="13345" max="13345" width="10.90625" style="243" customWidth="1"/>
    <col min="13346" max="13346" width="11.453125" style="243" customWidth="1"/>
    <col min="13347" max="13347" width="11.81640625" style="243" customWidth="1"/>
    <col min="13348" max="13348" width="11.08984375" style="243" customWidth="1"/>
    <col min="13349" max="13349" width="10.90625" style="243" customWidth="1"/>
    <col min="13350" max="13353" width="8.81640625" style="243"/>
    <col min="13354" max="13354" width="11.453125" style="243" bestFit="1" customWidth="1"/>
    <col min="13355" max="13355" width="10.1796875" style="243" customWidth="1"/>
    <col min="13356" max="13356" width="11.54296875" style="243" customWidth="1"/>
    <col min="13357" max="13357" width="12.08984375" style="243" customWidth="1"/>
    <col min="13358" max="13358" width="13.1796875" style="243" customWidth="1"/>
    <col min="13359" max="13359" width="14.08984375" style="243" customWidth="1"/>
    <col min="13360" max="13360" width="11.81640625" style="243" customWidth="1"/>
    <col min="13361" max="13361" width="9.6328125" style="243" customWidth="1"/>
    <col min="13362" max="13365" width="8.81640625" style="243"/>
    <col min="13366" max="13366" width="28.81640625" style="243" customWidth="1"/>
    <col min="13367" max="13367" width="11.81640625" style="243" customWidth="1"/>
    <col min="13368" max="13368" width="10" style="243" customWidth="1"/>
    <col min="13369" max="13369" width="10.453125" style="243" customWidth="1"/>
    <col min="13370" max="13371" width="8.81640625" style="243"/>
    <col min="13372" max="13372" width="9.36328125" style="243" customWidth="1"/>
    <col min="13373" max="13373" width="18.453125" style="243" customWidth="1"/>
    <col min="13374" max="13374" width="11" style="243" customWidth="1"/>
    <col min="13375" max="13375" width="9.54296875" style="243" customWidth="1"/>
    <col min="13376" max="13376" width="10.6328125" style="243" customWidth="1"/>
    <col min="13377" max="13377" width="9.90625" style="243" customWidth="1"/>
    <col min="13378" max="13378" width="11.453125" style="243" customWidth="1"/>
    <col min="13379" max="13379" width="9.90625" style="243" customWidth="1"/>
    <col min="13380" max="13380" width="10" style="243" customWidth="1"/>
    <col min="13381" max="13381" width="6.81640625" style="243" customWidth="1"/>
    <col min="13382" max="13382" width="12.54296875" style="243" customWidth="1"/>
    <col min="13383" max="13383" width="9.54296875" style="243" customWidth="1"/>
    <col min="13384" max="13384" width="10.36328125" style="243" customWidth="1"/>
    <col min="13385" max="13385" width="7.81640625" style="243" customWidth="1"/>
    <col min="13386" max="13386" width="7.1796875" style="243" customWidth="1"/>
    <col min="13387" max="13387" width="17.6328125" style="243" customWidth="1"/>
    <col min="13388" max="13388" width="8.81640625" style="243" customWidth="1"/>
    <col min="13389" max="13389" width="13.08984375" style="243" bestFit="1" customWidth="1"/>
    <col min="13390" max="13390" width="13.81640625" style="243" customWidth="1"/>
    <col min="13391" max="13392" width="8.81640625" style="243"/>
    <col min="13393" max="13393" width="9" style="243" bestFit="1" customWidth="1"/>
    <col min="13394" max="13402" width="8.81640625" style="243"/>
    <col min="13403" max="13403" width="13.08984375" style="243" customWidth="1"/>
    <col min="13404" max="13404" width="8.81640625" style="243"/>
    <col min="13405" max="13405" width="9.90625" style="243" customWidth="1"/>
    <col min="13406" max="13409" width="8.81640625" style="243"/>
    <col min="13410" max="13410" width="8.54296875" style="243" customWidth="1"/>
    <col min="13411" max="13411" width="30.36328125" style="243" customWidth="1"/>
    <col min="13412" max="13412" width="9" style="243" bestFit="1" customWidth="1"/>
    <col min="13413" max="13413" width="8.81640625" style="243"/>
    <col min="13414" max="13414" width="5.90625" style="243" customWidth="1"/>
    <col min="13415" max="13415" width="6.90625" style="243" customWidth="1"/>
    <col min="13416" max="13416" width="23.90625" style="243" customWidth="1"/>
    <col min="13417" max="13423" width="8.81640625" style="243"/>
    <col min="13424" max="13424" width="9" style="243" bestFit="1" customWidth="1"/>
    <col min="13425" max="13426" width="8.81640625" style="243"/>
    <col min="13427" max="13427" width="32.90625" style="243" customWidth="1"/>
    <col min="13428" max="13428" width="16.6328125" style="243" customWidth="1"/>
    <col min="13429" max="13429" width="10.1796875" style="243" customWidth="1"/>
    <col min="13430" max="13430" width="12.453125" style="243" customWidth="1"/>
    <col min="13431" max="13431" width="10" style="243" bestFit="1" customWidth="1"/>
    <col min="13432" max="13432" width="8.81640625" style="243"/>
    <col min="13433" max="13433" width="9" style="243" bestFit="1" customWidth="1"/>
    <col min="13434" max="13435" width="8.81640625" style="243"/>
    <col min="13436" max="13436" width="11.6328125" style="243" customWidth="1"/>
    <col min="13437" max="13437" width="8.81640625" style="243"/>
    <col min="13438" max="13438" width="28.81640625" style="243" customWidth="1"/>
    <col min="13439" max="13439" width="12.36328125" style="243" customWidth="1"/>
    <col min="13440" max="13440" width="11.1796875" style="243" customWidth="1"/>
    <col min="13441" max="13568" width="8.81640625" style="243"/>
    <col min="13569" max="13569" width="5.6328125" style="243" customWidth="1"/>
    <col min="13570" max="13570" width="26.54296875" style="243" customWidth="1"/>
    <col min="13571" max="13571" width="11.453125" style="243" customWidth="1"/>
    <col min="13572" max="13572" width="7.453125" style="243" customWidth="1"/>
    <col min="13573" max="13573" width="8.54296875" style="243" customWidth="1"/>
    <col min="13574" max="13574" width="12.36328125" style="243" customWidth="1"/>
    <col min="13575" max="13575" width="11.81640625" style="243" customWidth="1"/>
    <col min="13576" max="13576" width="8.1796875" style="243" customWidth="1"/>
    <col min="13577" max="13577" width="12" style="243" customWidth="1"/>
    <col min="13578" max="13578" width="8.81640625" style="243" customWidth="1"/>
    <col min="13579" max="13579" width="11.08984375" style="243" customWidth="1"/>
    <col min="13580" max="13580" width="12.90625" style="243" customWidth="1"/>
    <col min="13581" max="13581" width="12.54296875" style="243" customWidth="1"/>
    <col min="13582" max="13582" width="9.6328125" style="243" customWidth="1"/>
    <col min="13583" max="13583" width="9.90625" style="243" customWidth="1"/>
    <col min="13584" max="13584" width="11.36328125" style="243" customWidth="1"/>
    <col min="13585" max="13585" width="11.54296875" style="243" customWidth="1"/>
    <col min="13586" max="13586" width="11.6328125" style="243" customWidth="1"/>
    <col min="13587" max="13587" width="10.36328125" style="243" customWidth="1"/>
    <col min="13588" max="13588" width="11.81640625" style="243" customWidth="1"/>
    <col min="13589" max="13589" width="12.08984375" style="243" customWidth="1"/>
    <col min="13590" max="13590" width="11" style="243" customWidth="1"/>
    <col min="13591" max="13591" width="12.08984375" style="243" customWidth="1"/>
    <col min="13592" max="13592" width="10.54296875" style="243" customWidth="1"/>
    <col min="13593" max="13593" width="9.90625" style="243" customWidth="1"/>
    <col min="13594" max="13594" width="10.81640625" style="243" customWidth="1"/>
    <col min="13595" max="13595" width="9.81640625" style="243" customWidth="1"/>
    <col min="13596" max="13596" width="11.1796875" style="243" customWidth="1"/>
    <col min="13597" max="13597" width="10.36328125" style="243" customWidth="1"/>
    <col min="13598" max="13598" width="11.90625" style="243" customWidth="1"/>
    <col min="13599" max="13599" width="8.81640625" style="243"/>
    <col min="13600" max="13600" width="13.90625" style="243" customWidth="1"/>
    <col min="13601" max="13601" width="10.90625" style="243" customWidth="1"/>
    <col min="13602" max="13602" width="11.453125" style="243" customWidth="1"/>
    <col min="13603" max="13603" width="11.81640625" style="243" customWidth="1"/>
    <col min="13604" max="13604" width="11.08984375" style="243" customWidth="1"/>
    <col min="13605" max="13605" width="10.90625" style="243" customWidth="1"/>
    <col min="13606" max="13609" width="8.81640625" style="243"/>
    <col min="13610" max="13610" width="11.453125" style="243" bestFit="1" customWidth="1"/>
    <col min="13611" max="13611" width="10.1796875" style="243" customWidth="1"/>
    <col min="13612" max="13612" width="11.54296875" style="243" customWidth="1"/>
    <col min="13613" max="13613" width="12.08984375" style="243" customWidth="1"/>
    <col min="13614" max="13614" width="13.1796875" style="243" customWidth="1"/>
    <col min="13615" max="13615" width="14.08984375" style="243" customWidth="1"/>
    <col min="13616" max="13616" width="11.81640625" style="243" customWidth="1"/>
    <col min="13617" max="13617" width="9.6328125" style="243" customWidth="1"/>
    <col min="13618" max="13621" width="8.81640625" style="243"/>
    <col min="13622" max="13622" width="28.81640625" style="243" customWidth="1"/>
    <col min="13623" max="13623" width="11.81640625" style="243" customWidth="1"/>
    <col min="13624" max="13624" width="10" style="243" customWidth="1"/>
    <col min="13625" max="13625" width="10.453125" style="243" customWidth="1"/>
    <col min="13626" max="13627" width="8.81640625" style="243"/>
    <col min="13628" max="13628" width="9.36328125" style="243" customWidth="1"/>
    <col min="13629" max="13629" width="18.453125" style="243" customWidth="1"/>
    <col min="13630" max="13630" width="11" style="243" customWidth="1"/>
    <col min="13631" max="13631" width="9.54296875" style="243" customWidth="1"/>
    <col min="13632" max="13632" width="10.6328125" style="243" customWidth="1"/>
    <col min="13633" max="13633" width="9.90625" style="243" customWidth="1"/>
    <col min="13634" max="13634" width="11.453125" style="243" customWidth="1"/>
    <col min="13635" max="13635" width="9.90625" style="243" customWidth="1"/>
    <col min="13636" max="13636" width="10" style="243" customWidth="1"/>
    <col min="13637" max="13637" width="6.81640625" style="243" customWidth="1"/>
    <col min="13638" max="13638" width="12.54296875" style="243" customWidth="1"/>
    <col min="13639" max="13639" width="9.54296875" style="243" customWidth="1"/>
    <col min="13640" max="13640" width="10.36328125" style="243" customWidth="1"/>
    <col min="13641" max="13641" width="7.81640625" style="243" customWidth="1"/>
    <col min="13642" max="13642" width="7.1796875" style="243" customWidth="1"/>
    <col min="13643" max="13643" width="17.6328125" style="243" customWidth="1"/>
    <col min="13644" max="13644" width="8.81640625" style="243" customWidth="1"/>
    <col min="13645" max="13645" width="13.08984375" style="243" bestFit="1" customWidth="1"/>
    <col min="13646" max="13646" width="13.81640625" style="243" customWidth="1"/>
    <col min="13647" max="13648" width="8.81640625" style="243"/>
    <col min="13649" max="13649" width="9" style="243" bestFit="1" customWidth="1"/>
    <col min="13650" max="13658" width="8.81640625" style="243"/>
    <col min="13659" max="13659" width="13.08984375" style="243" customWidth="1"/>
    <col min="13660" max="13660" width="8.81640625" style="243"/>
    <col min="13661" max="13661" width="9.90625" style="243" customWidth="1"/>
    <col min="13662" max="13665" width="8.81640625" style="243"/>
    <col min="13666" max="13666" width="8.54296875" style="243" customWidth="1"/>
    <col min="13667" max="13667" width="30.36328125" style="243" customWidth="1"/>
    <col min="13668" max="13668" width="9" style="243" bestFit="1" customWidth="1"/>
    <col min="13669" max="13669" width="8.81640625" style="243"/>
    <col min="13670" max="13670" width="5.90625" style="243" customWidth="1"/>
    <col min="13671" max="13671" width="6.90625" style="243" customWidth="1"/>
    <col min="13672" max="13672" width="23.90625" style="243" customWidth="1"/>
    <col min="13673" max="13679" width="8.81640625" style="243"/>
    <col min="13680" max="13680" width="9" style="243" bestFit="1" customWidth="1"/>
    <col min="13681" max="13682" width="8.81640625" style="243"/>
    <col min="13683" max="13683" width="32.90625" style="243" customWidth="1"/>
    <col min="13684" max="13684" width="16.6328125" style="243" customWidth="1"/>
    <col min="13685" max="13685" width="10.1796875" style="243" customWidth="1"/>
    <col min="13686" max="13686" width="12.453125" style="243" customWidth="1"/>
    <col min="13687" max="13687" width="10" style="243" bestFit="1" customWidth="1"/>
    <col min="13688" max="13688" width="8.81640625" style="243"/>
    <col min="13689" max="13689" width="9" style="243" bestFit="1" customWidth="1"/>
    <col min="13690" max="13691" width="8.81640625" style="243"/>
    <col min="13692" max="13692" width="11.6328125" style="243" customWidth="1"/>
    <col min="13693" max="13693" width="8.81640625" style="243"/>
    <col min="13694" max="13694" width="28.81640625" style="243" customWidth="1"/>
    <col min="13695" max="13695" width="12.36328125" style="243" customWidth="1"/>
    <col min="13696" max="13696" width="11.1796875" style="243" customWidth="1"/>
    <col min="13697" max="13824" width="8.81640625" style="243"/>
    <col min="13825" max="13825" width="5.6328125" style="243" customWidth="1"/>
    <col min="13826" max="13826" width="26.54296875" style="243" customWidth="1"/>
    <col min="13827" max="13827" width="11.453125" style="243" customWidth="1"/>
    <col min="13828" max="13828" width="7.453125" style="243" customWidth="1"/>
    <col min="13829" max="13829" width="8.54296875" style="243" customWidth="1"/>
    <col min="13830" max="13830" width="12.36328125" style="243" customWidth="1"/>
    <col min="13831" max="13831" width="11.81640625" style="243" customWidth="1"/>
    <col min="13832" max="13832" width="8.1796875" style="243" customWidth="1"/>
    <col min="13833" max="13833" width="12" style="243" customWidth="1"/>
    <col min="13834" max="13834" width="8.81640625" style="243" customWidth="1"/>
    <col min="13835" max="13835" width="11.08984375" style="243" customWidth="1"/>
    <col min="13836" max="13836" width="12.90625" style="243" customWidth="1"/>
    <col min="13837" max="13837" width="12.54296875" style="243" customWidth="1"/>
    <col min="13838" max="13838" width="9.6328125" style="243" customWidth="1"/>
    <col min="13839" max="13839" width="9.90625" style="243" customWidth="1"/>
    <col min="13840" max="13840" width="11.36328125" style="243" customWidth="1"/>
    <col min="13841" max="13841" width="11.54296875" style="243" customWidth="1"/>
    <col min="13842" max="13842" width="11.6328125" style="243" customWidth="1"/>
    <col min="13843" max="13843" width="10.36328125" style="243" customWidth="1"/>
    <col min="13844" max="13844" width="11.81640625" style="243" customWidth="1"/>
    <col min="13845" max="13845" width="12.08984375" style="243" customWidth="1"/>
    <col min="13846" max="13846" width="11" style="243" customWidth="1"/>
    <col min="13847" max="13847" width="12.08984375" style="243" customWidth="1"/>
    <col min="13848" max="13848" width="10.54296875" style="243" customWidth="1"/>
    <col min="13849" max="13849" width="9.90625" style="243" customWidth="1"/>
    <col min="13850" max="13850" width="10.81640625" style="243" customWidth="1"/>
    <col min="13851" max="13851" width="9.81640625" style="243" customWidth="1"/>
    <col min="13852" max="13852" width="11.1796875" style="243" customWidth="1"/>
    <col min="13853" max="13853" width="10.36328125" style="243" customWidth="1"/>
    <col min="13854" max="13854" width="11.90625" style="243" customWidth="1"/>
    <col min="13855" max="13855" width="8.81640625" style="243"/>
    <col min="13856" max="13856" width="13.90625" style="243" customWidth="1"/>
    <col min="13857" max="13857" width="10.90625" style="243" customWidth="1"/>
    <col min="13858" max="13858" width="11.453125" style="243" customWidth="1"/>
    <col min="13859" max="13859" width="11.81640625" style="243" customWidth="1"/>
    <col min="13860" max="13860" width="11.08984375" style="243" customWidth="1"/>
    <col min="13861" max="13861" width="10.90625" style="243" customWidth="1"/>
    <col min="13862" max="13865" width="8.81640625" style="243"/>
    <col min="13866" max="13866" width="11.453125" style="243" bestFit="1" customWidth="1"/>
    <col min="13867" max="13867" width="10.1796875" style="243" customWidth="1"/>
    <col min="13868" max="13868" width="11.54296875" style="243" customWidth="1"/>
    <col min="13869" max="13869" width="12.08984375" style="243" customWidth="1"/>
    <col min="13870" max="13870" width="13.1796875" style="243" customWidth="1"/>
    <col min="13871" max="13871" width="14.08984375" style="243" customWidth="1"/>
    <col min="13872" max="13872" width="11.81640625" style="243" customWidth="1"/>
    <col min="13873" max="13873" width="9.6328125" style="243" customWidth="1"/>
    <col min="13874" max="13877" width="8.81640625" style="243"/>
    <col min="13878" max="13878" width="28.81640625" style="243" customWidth="1"/>
    <col min="13879" max="13879" width="11.81640625" style="243" customWidth="1"/>
    <col min="13880" max="13880" width="10" style="243" customWidth="1"/>
    <col min="13881" max="13881" width="10.453125" style="243" customWidth="1"/>
    <col min="13882" max="13883" width="8.81640625" style="243"/>
    <col min="13884" max="13884" width="9.36328125" style="243" customWidth="1"/>
    <col min="13885" max="13885" width="18.453125" style="243" customWidth="1"/>
    <col min="13886" max="13886" width="11" style="243" customWidth="1"/>
    <col min="13887" max="13887" width="9.54296875" style="243" customWidth="1"/>
    <col min="13888" max="13888" width="10.6328125" style="243" customWidth="1"/>
    <col min="13889" max="13889" width="9.90625" style="243" customWidth="1"/>
    <col min="13890" max="13890" width="11.453125" style="243" customWidth="1"/>
    <col min="13891" max="13891" width="9.90625" style="243" customWidth="1"/>
    <col min="13892" max="13892" width="10" style="243" customWidth="1"/>
    <col min="13893" max="13893" width="6.81640625" style="243" customWidth="1"/>
    <col min="13894" max="13894" width="12.54296875" style="243" customWidth="1"/>
    <col min="13895" max="13895" width="9.54296875" style="243" customWidth="1"/>
    <col min="13896" max="13896" width="10.36328125" style="243" customWidth="1"/>
    <col min="13897" max="13897" width="7.81640625" style="243" customWidth="1"/>
    <col min="13898" max="13898" width="7.1796875" style="243" customWidth="1"/>
    <col min="13899" max="13899" width="17.6328125" style="243" customWidth="1"/>
    <col min="13900" max="13900" width="8.81640625" style="243" customWidth="1"/>
    <col min="13901" max="13901" width="13.08984375" style="243" bestFit="1" customWidth="1"/>
    <col min="13902" max="13902" width="13.81640625" style="243" customWidth="1"/>
    <col min="13903" max="13904" width="8.81640625" style="243"/>
    <col min="13905" max="13905" width="9" style="243" bestFit="1" customWidth="1"/>
    <col min="13906" max="13914" width="8.81640625" style="243"/>
    <col min="13915" max="13915" width="13.08984375" style="243" customWidth="1"/>
    <col min="13916" max="13916" width="8.81640625" style="243"/>
    <col min="13917" max="13917" width="9.90625" style="243" customWidth="1"/>
    <col min="13918" max="13921" width="8.81640625" style="243"/>
    <col min="13922" max="13922" width="8.54296875" style="243" customWidth="1"/>
    <col min="13923" max="13923" width="30.36328125" style="243" customWidth="1"/>
    <col min="13924" max="13924" width="9" style="243" bestFit="1" customWidth="1"/>
    <col min="13925" max="13925" width="8.81640625" style="243"/>
    <col min="13926" max="13926" width="5.90625" style="243" customWidth="1"/>
    <col min="13927" max="13927" width="6.90625" style="243" customWidth="1"/>
    <col min="13928" max="13928" width="23.90625" style="243" customWidth="1"/>
    <col min="13929" max="13935" width="8.81640625" style="243"/>
    <col min="13936" max="13936" width="9" style="243" bestFit="1" customWidth="1"/>
    <col min="13937" max="13938" width="8.81640625" style="243"/>
    <col min="13939" max="13939" width="32.90625" style="243" customWidth="1"/>
    <col min="13940" max="13940" width="16.6328125" style="243" customWidth="1"/>
    <col min="13941" max="13941" width="10.1796875" style="243" customWidth="1"/>
    <col min="13942" max="13942" width="12.453125" style="243" customWidth="1"/>
    <col min="13943" max="13943" width="10" style="243" bestFit="1" customWidth="1"/>
    <col min="13944" max="13944" width="8.81640625" style="243"/>
    <col min="13945" max="13945" width="9" style="243" bestFit="1" customWidth="1"/>
    <col min="13946" max="13947" width="8.81640625" style="243"/>
    <col min="13948" max="13948" width="11.6328125" style="243" customWidth="1"/>
    <col min="13949" max="13949" width="8.81640625" style="243"/>
    <col min="13950" max="13950" width="28.81640625" style="243" customWidth="1"/>
    <col min="13951" max="13951" width="12.36328125" style="243" customWidth="1"/>
    <col min="13952" max="13952" width="11.1796875" style="243" customWidth="1"/>
    <col min="13953" max="14080" width="8.81640625" style="243"/>
    <col min="14081" max="14081" width="5.6328125" style="243" customWidth="1"/>
    <col min="14082" max="14082" width="26.54296875" style="243" customWidth="1"/>
    <col min="14083" max="14083" width="11.453125" style="243" customWidth="1"/>
    <col min="14084" max="14084" width="7.453125" style="243" customWidth="1"/>
    <col min="14085" max="14085" width="8.54296875" style="243" customWidth="1"/>
    <col min="14086" max="14086" width="12.36328125" style="243" customWidth="1"/>
    <col min="14087" max="14087" width="11.81640625" style="243" customWidth="1"/>
    <col min="14088" max="14088" width="8.1796875" style="243" customWidth="1"/>
    <col min="14089" max="14089" width="12" style="243" customWidth="1"/>
    <col min="14090" max="14090" width="8.81640625" style="243" customWidth="1"/>
    <col min="14091" max="14091" width="11.08984375" style="243" customWidth="1"/>
    <col min="14092" max="14092" width="12.90625" style="243" customWidth="1"/>
    <col min="14093" max="14093" width="12.54296875" style="243" customWidth="1"/>
    <col min="14094" max="14094" width="9.6328125" style="243" customWidth="1"/>
    <col min="14095" max="14095" width="9.90625" style="243" customWidth="1"/>
    <col min="14096" max="14096" width="11.36328125" style="243" customWidth="1"/>
    <col min="14097" max="14097" width="11.54296875" style="243" customWidth="1"/>
    <col min="14098" max="14098" width="11.6328125" style="243" customWidth="1"/>
    <col min="14099" max="14099" width="10.36328125" style="243" customWidth="1"/>
    <col min="14100" max="14100" width="11.81640625" style="243" customWidth="1"/>
    <col min="14101" max="14101" width="12.08984375" style="243" customWidth="1"/>
    <col min="14102" max="14102" width="11" style="243" customWidth="1"/>
    <col min="14103" max="14103" width="12.08984375" style="243" customWidth="1"/>
    <col min="14104" max="14104" width="10.54296875" style="243" customWidth="1"/>
    <col min="14105" max="14105" width="9.90625" style="243" customWidth="1"/>
    <col min="14106" max="14106" width="10.81640625" style="243" customWidth="1"/>
    <col min="14107" max="14107" width="9.81640625" style="243" customWidth="1"/>
    <col min="14108" max="14108" width="11.1796875" style="243" customWidth="1"/>
    <col min="14109" max="14109" width="10.36328125" style="243" customWidth="1"/>
    <col min="14110" max="14110" width="11.90625" style="243" customWidth="1"/>
    <col min="14111" max="14111" width="8.81640625" style="243"/>
    <col min="14112" max="14112" width="13.90625" style="243" customWidth="1"/>
    <col min="14113" max="14113" width="10.90625" style="243" customWidth="1"/>
    <col min="14114" max="14114" width="11.453125" style="243" customWidth="1"/>
    <col min="14115" max="14115" width="11.81640625" style="243" customWidth="1"/>
    <col min="14116" max="14116" width="11.08984375" style="243" customWidth="1"/>
    <col min="14117" max="14117" width="10.90625" style="243" customWidth="1"/>
    <col min="14118" max="14121" width="8.81640625" style="243"/>
    <col min="14122" max="14122" width="11.453125" style="243" bestFit="1" customWidth="1"/>
    <col min="14123" max="14123" width="10.1796875" style="243" customWidth="1"/>
    <col min="14124" max="14124" width="11.54296875" style="243" customWidth="1"/>
    <col min="14125" max="14125" width="12.08984375" style="243" customWidth="1"/>
    <col min="14126" max="14126" width="13.1796875" style="243" customWidth="1"/>
    <col min="14127" max="14127" width="14.08984375" style="243" customWidth="1"/>
    <col min="14128" max="14128" width="11.81640625" style="243" customWidth="1"/>
    <col min="14129" max="14129" width="9.6328125" style="243" customWidth="1"/>
    <col min="14130" max="14133" width="8.81640625" style="243"/>
    <col min="14134" max="14134" width="28.81640625" style="243" customWidth="1"/>
    <col min="14135" max="14135" width="11.81640625" style="243" customWidth="1"/>
    <col min="14136" max="14136" width="10" style="243" customWidth="1"/>
    <col min="14137" max="14137" width="10.453125" style="243" customWidth="1"/>
    <col min="14138" max="14139" width="8.81640625" style="243"/>
    <col min="14140" max="14140" width="9.36328125" style="243" customWidth="1"/>
    <col min="14141" max="14141" width="18.453125" style="243" customWidth="1"/>
    <col min="14142" max="14142" width="11" style="243" customWidth="1"/>
    <col min="14143" max="14143" width="9.54296875" style="243" customWidth="1"/>
    <col min="14144" max="14144" width="10.6328125" style="243" customWidth="1"/>
    <col min="14145" max="14145" width="9.90625" style="243" customWidth="1"/>
    <col min="14146" max="14146" width="11.453125" style="243" customWidth="1"/>
    <col min="14147" max="14147" width="9.90625" style="243" customWidth="1"/>
    <col min="14148" max="14148" width="10" style="243" customWidth="1"/>
    <col min="14149" max="14149" width="6.81640625" style="243" customWidth="1"/>
    <col min="14150" max="14150" width="12.54296875" style="243" customWidth="1"/>
    <col min="14151" max="14151" width="9.54296875" style="243" customWidth="1"/>
    <col min="14152" max="14152" width="10.36328125" style="243" customWidth="1"/>
    <col min="14153" max="14153" width="7.81640625" style="243" customWidth="1"/>
    <col min="14154" max="14154" width="7.1796875" style="243" customWidth="1"/>
    <col min="14155" max="14155" width="17.6328125" style="243" customWidth="1"/>
    <col min="14156" max="14156" width="8.81640625" style="243" customWidth="1"/>
    <col min="14157" max="14157" width="13.08984375" style="243" bestFit="1" customWidth="1"/>
    <col min="14158" max="14158" width="13.81640625" style="243" customWidth="1"/>
    <col min="14159" max="14160" width="8.81640625" style="243"/>
    <col min="14161" max="14161" width="9" style="243" bestFit="1" customWidth="1"/>
    <col min="14162" max="14170" width="8.81640625" style="243"/>
    <col min="14171" max="14171" width="13.08984375" style="243" customWidth="1"/>
    <col min="14172" max="14172" width="8.81640625" style="243"/>
    <col min="14173" max="14173" width="9.90625" style="243" customWidth="1"/>
    <col min="14174" max="14177" width="8.81640625" style="243"/>
    <col min="14178" max="14178" width="8.54296875" style="243" customWidth="1"/>
    <col min="14179" max="14179" width="30.36328125" style="243" customWidth="1"/>
    <col min="14180" max="14180" width="9" style="243" bestFit="1" customWidth="1"/>
    <col min="14181" max="14181" width="8.81640625" style="243"/>
    <col min="14182" max="14182" width="5.90625" style="243" customWidth="1"/>
    <col min="14183" max="14183" width="6.90625" style="243" customWidth="1"/>
    <col min="14184" max="14184" width="23.90625" style="243" customWidth="1"/>
    <col min="14185" max="14191" width="8.81640625" style="243"/>
    <col min="14192" max="14192" width="9" style="243" bestFit="1" customWidth="1"/>
    <col min="14193" max="14194" width="8.81640625" style="243"/>
    <col min="14195" max="14195" width="32.90625" style="243" customWidth="1"/>
    <col min="14196" max="14196" width="16.6328125" style="243" customWidth="1"/>
    <col min="14197" max="14197" width="10.1796875" style="243" customWidth="1"/>
    <col min="14198" max="14198" width="12.453125" style="243" customWidth="1"/>
    <col min="14199" max="14199" width="10" style="243" bestFit="1" customWidth="1"/>
    <col min="14200" max="14200" width="8.81640625" style="243"/>
    <col min="14201" max="14201" width="9" style="243" bestFit="1" customWidth="1"/>
    <col min="14202" max="14203" width="8.81640625" style="243"/>
    <col min="14204" max="14204" width="11.6328125" style="243" customWidth="1"/>
    <col min="14205" max="14205" width="8.81640625" style="243"/>
    <col min="14206" max="14206" width="28.81640625" style="243" customWidth="1"/>
    <col min="14207" max="14207" width="12.36328125" style="243" customWidth="1"/>
    <col min="14208" max="14208" width="11.1796875" style="243" customWidth="1"/>
    <col min="14209" max="14336" width="8.81640625" style="243"/>
    <col min="14337" max="14337" width="5.6328125" style="243" customWidth="1"/>
    <col min="14338" max="14338" width="26.54296875" style="243" customWidth="1"/>
    <col min="14339" max="14339" width="11.453125" style="243" customWidth="1"/>
    <col min="14340" max="14340" width="7.453125" style="243" customWidth="1"/>
    <col min="14341" max="14341" width="8.54296875" style="243" customWidth="1"/>
    <col min="14342" max="14342" width="12.36328125" style="243" customWidth="1"/>
    <col min="14343" max="14343" width="11.81640625" style="243" customWidth="1"/>
    <col min="14344" max="14344" width="8.1796875" style="243" customWidth="1"/>
    <col min="14345" max="14345" width="12" style="243" customWidth="1"/>
    <col min="14346" max="14346" width="8.81640625" style="243" customWidth="1"/>
    <col min="14347" max="14347" width="11.08984375" style="243" customWidth="1"/>
    <col min="14348" max="14348" width="12.90625" style="243" customWidth="1"/>
    <col min="14349" max="14349" width="12.54296875" style="243" customWidth="1"/>
    <col min="14350" max="14350" width="9.6328125" style="243" customWidth="1"/>
    <col min="14351" max="14351" width="9.90625" style="243" customWidth="1"/>
    <col min="14352" max="14352" width="11.36328125" style="243" customWidth="1"/>
    <col min="14353" max="14353" width="11.54296875" style="243" customWidth="1"/>
    <col min="14354" max="14354" width="11.6328125" style="243" customWidth="1"/>
    <col min="14355" max="14355" width="10.36328125" style="243" customWidth="1"/>
    <col min="14356" max="14356" width="11.81640625" style="243" customWidth="1"/>
    <col min="14357" max="14357" width="12.08984375" style="243" customWidth="1"/>
    <col min="14358" max="14358" width="11" style="243" customWidth="1"/>
    <col min="14359" max="14359" width="12.08984375" style="243" customWidth="1"/>
    <col min="14360" max="14360" width="10.54296875" style="243" customWidth="1"/>
    <col min="14361" max="14361" width="9.90625" style="243" customWidth="1"/>
    <col min="14362" max="14362" width="10.81640625" style="243" customWidth="1"/>
    <col min="14363" max="14363" width="9.81640625" style="243" customWidth="1"/>
    <col min="14364" max="14364" width="11.1796875" style="243" customWidth="1"/>
    <col min="14365" max="14365" width="10.36328125" style="243" customWidth="1"/>
    <col min="14366" max="14366" width="11.90625" style="243" customWidth="1"/>
    <col min="14367" max="14367" width="8.81640625" style="243"/>
    <col min="14368" max="14368" width="13.90625" style="243" customWidth="1"/>
    <col min="14369" max="14369" width="10.90625" style="243" customWidth="1"/>
    <col min="14370" max="14370" width="11.453125" style="243" customWidth="1"/>
    <col min="14371" max="14371" width="11.81640625" style="243" customWidth="1"/>
    <col min="14372" max="14372" width="11.08984375" style="243" customWidth="1"/>
    <col min="14373" max="14373" width="10.90625" style="243" customWidth="1"/>
    <col min="14374" max="14377" width="8.81640625" style="243"/>
    <col min="14378" max="14378" width="11.453125" style="243" bestFit="1" customWidth="1"/>
    <col min="14379" max="14379" width="10.1796875" style="243" customWidth="1"/>
    <col min="14380" max="14380" width="11.54296875" style="243" customWidth="1"/>
    <col min="14381" max="14381" width="12.08984375" style="243" customWidth="1"/>
    <col min="14382" max="14382" width="13.1796875" style="243" customWidth="1"/>
    <col min="14383" max="14383" width="14.08984375" style="243" customWidth="1"/>
    <col min="14384" max="14384" width="11.81640625" style="243" customWidth="1"/>
    <col min="14385" max="14385" width="9.6328125" style="243" customWidth="1"/>
    <col min="14386" max="14389" width="8.81640625" style="243"/>
    <col min="14390" max="14390" width="28.81640625" style="243" customWidth="1"/>
    <col min="14391" max="14391" width="11.81640625" style="243" customWidth="1"/>
    <col min="14392" max="14392" width="10" style="243" customWidth="1"/>
    <col min="14393" max="14393" width="10.453125" style="243" customWidth="1"/>
    <col min="14394" max="14395" width="8.81640625" style="243"/>
    <col min="14396" max="14396" width="9.36328125" style="243" customWidth="1"/>
    <col min="14397" max="14397" width="18.453125" style="243" customWidth="1"/>
    <col min="14398" max="14398" width="11" style="243" customWidth="1"/>
    <col min="14399" max="14399" width="9.54296875" style="243" customWidth="1"/>
    <col min="14400" max="14400" width="10.6328125" style="243" customWidth="1"/>
    <col min="14401" max="14401" width="9.90625" style="243" customWidth="1"/>
    <col min="14402" max="14402" width="11.453125" style="243" customWidth="1"/>
    <col min="14403" max="14403" width="9.90625" style="243" customWidth="1"/>
    <col min="14404" max="14404" width="10" style="243" customWidth="1"/>
    <col min="14405" max="14405" width="6.81640625" style="243" customWidth="1"/>
    <col min="14406" max="14406" width="12.54296875" style="243" customWidth="1"/>
    <col min="14407" max="14407" width="9.54296875" style="243" customWidth="1"/>
    <col min="14408" max="14408" width="10.36328125" style="243" customWidth="1"/>
    <col min="14409" max="14409" width="7.81640625" style="243" customWidth="1"/>
    <col min="14410" max="14410" width="7.1796875" style="243" customWidth="1"/>
    <col min="14411" max="14411" width="17.6328125" style="243" customWidth="1"/>
    <col min="14412" max="14412" width="8.81640625" style="243" customWidth="1"/>
    <col min="14413" max="14413" width="13.08984375" style="243" bestFit="1" customWidth="1"/>
    <col min="14414" max="14414" width="13.81640625" style="243" customWidth="1"/>
    <col min="14415" max="14416" width="8.81640625" style="243"/>
    <col min="14417" max="14417" width="9" style="243" bestFit="1" customWidth="1"/>
    <col min="14418" max="14426" width="8.81640625" style="243"/>
    <col min="14427" max="14427" width="13.08984375" style="243" customWidth="1"/>
    <col min="14428" max="14428" width="8.81640625" style="243"/>
    <col min="14429" max="14429" width="9.90625" style="243" customWidth="1"/>
    <col min="14430" max="14433" width="8.81640625" style="243"/>
    <col min="14434" max="14434" width="8.54296875" style="243" customWidth="1"/>
    <col min="14435" max="14435" width="30.36328125" style="243" customWidth="1"/>
    <col min="14436" max="14436" width="9" style="243" bestFit="1" customWidth="1"/>
    <col min="14437" max="14437" width="8.81640625" style="243"/>
    <col min="14438" max="14438" width="5.90625" style="243" customWidth="1"/>
    <col min="14439" max="14439" width="6.90625" style="243" customWidth="1"/>
    <col min="14440" max="14440" width="23.90625" style="243" customWidth="1"/>
    <col min="14441" max="14447" width="8.81640625" style="243"/>
    <col min="14448" max="14448" width="9" style="243" bestFit="1" customWidth="1"/>
    <col min="14449" max="14450" width="8.81640625" style="243"/>
    <col min="14451" max="14451" width="32.90625" style="243" customWidth="1"/>
    <col min="14452" max="14452" width="16.6328125" style="243" customWidth="1"/>
    <col min="14453" max="14453" width="10.1796875" style="243" customWidth="1"/>
    <col min="14454" max="14454" width="12.453125" style="243" customWidth="1"/>
    <col min="14455" max="14455" width="10" style="243" bestFit="1" customWidth="1"/>
    <col min="14456" max="14456" width="8.81640625" style="243"/>
    <col min="14457" max="14457" width="9" style="243" bestFit="1" customWidth="1"/>
    <col min="14458" max="14459" width="8.81640625" style="243"/>
    <col min="14460" max="14460" width="11.6328125" style="243" customWidth="1"/>
    <col min="14461" max="14461" width="8.81640625" style="243"/>
    <col min="14462" max="14462" width="28.81640625" style="243" customWidth="1"/>
    <col min="14463" max="14463" width="12.36328125" style="243" customWidth="1"/>
    <col min="14464" max="14464" width="11.1796875" style="243" customWidth="1"/>
    <col min="14465" max="14592" width="8.81640625" style="243"/>
    <col min="14593" max="14593" width="5.6328125" style="243" customWidth="1"/>
    <col min="14594" max="14594" width="26.54296875" style="243" customWidth="1"/>
    <col min="14595" max="14595" width="11.453125" style="243" customWidth="1"/>
    <col min="14596" max="14596" width="7.453125" style="243" customWidth="1"/>
    <col min="14597" max="14597" width="8.54296875" style="243" customWidth="1"/>
    <col min="14598" max="14598" width="12.36328125" style="243" customWidth="1"/>
    <col min="14599" max="14599" width="11.81640625" style="243" customWidth="1"/>
    <col min="14600" max="14600" width="8.1796875" style="243" customWidth="1"/>
    <col min="14601" max="14601" width="12" style="243" customWidth="1"/>
    <col min="14602" max="14602" width="8.81640625" style="243" customWidth="1"/>
    <col min="14603" max="14603" width="11.08984375" style="243" customWidth="1"/>
    <col min="14604" max="14604" width="12.90625" style="243" customWidth="1"/>
    <col min="14605" max="14605" width="12.54296875" style="243" customWidth="1"/>
    <col min="14606" max="14606" width="9.6328125" style="243" customWidth="1"/>
    <col min="14607" max="14607" width="9.90625" style="243" customWidth="1"/>
    <col min="14608" max="14608" width="11.36328125" style="243" customWidth="1"/>
    <col min="14609" max="14609" width="11.54296875" style="243" customWidth="1"/>
    <col min="14610" max="14610" width="11.6328125" style="243" customWidth="1"/>
    <col min="14611" max="14611" width="10.36328125" style="243" customWidth="1"/>
    <col min="14612" max="14612" width="11.81640625" style="243" customWidth="1"/>
    <col min="14613" max="14613" width="12.08984375" style="243" customWidth="1"/>
    <col min="14614" max="14614" width="11" style="243" customWidth="1"/>
    <col min="14615" max="14615" width="12.08984375" style="243" customWidth="1"/>
    <col min="14616" max="14616" width="10.54296875" style="243" customWidth="1"/>
    <col min="14617" max="14617" width="9.90625" style="243" customWidth="1"/>
    <col min="14618" max="14618" width="10.81640625" style="243" customWidth="1"/>
    <col min="14619" max="14619" width="9.81640625" style="243" customWidth="1"/>
    <col min="14620" max="14620" width="11.1796875" style="243" customWidth="1"/>
    <col min="14621" max="14621" width="10.36328125" style="243" customWidth="1"/>
    <col min="14622" max="14622" width="11.90625" style="243" customWidth="1"/>
    <col min="14623" max="14623" width="8.81640625" style="243"/>
    <col min="14624" max="14624" width="13.90625" style="243" customWidth="1"/>
    <col min="14625" max="14625" width="10.90625" style="243" customWidth="1"/>
    <col min="14626" max="14626" width="11.453125" style="243" customWidth="1"/>
    <col min="14627" max="14627" width="11.81640625" style="243" customWidth="1"/>
    <col min="14628" max="14628" width="11.08984375" style="243" customWidth="1"/>
    <col min="14629" max="14629" width="10.90625" style="243" customWidth="1"/>
    <col min="14630" max="14633" width="8.81640625" style="243"/>
    <col min="14634" max="14634" width="11.453125" style="243" bestFit="1" customWidth="1"/>
    <col min="14635" max="14635" width="10.1796875" style="243" customWidth="1"/>
    <col min="14636" max="14636" width="11.54296875" style="243" customWidth="1"/>
    <col min="14637" max="14637" width="12.08984375" style="243" customWidth="1"/>
    <col min="14638" max="14638" width="13.1796875" style="243" customWidth="1"/>
    <col min="14639" max="14639" width="14.08984375" style="243" customWidth="1"/>
    <col min="14640" max="14640" width="11.81640625" style="243" customWidth="1"/>
    <col min="14641" max="14641" width="9.6328125" style="243" customWidth="1"/>
    <col min="14642" max="14645" width="8.81640625" style="243"/>
    <col min="14646" max="14646" width="28.81640625" style="243" customWidth="1"/>
    <col min="14647" max="14647" width="11.81640625" style="243" customWidth="1"/>
    <col min="14648" max="14648" width="10" style="243" customWidth="1"/>
    <col min="14649" max="14649" width="10.453125" style="243" customWidth="1"/>
    <col min="14650" max="14651" width="8.81640625" style="243"/>
    <col min="14652" max="14652" width="9.36328125" style="243" customWidth="1"/>
    <col min="14653" max="14653" width="18.453125" style="243" customWidth="1"/>
    <col min="14654" max="14654" width="11" style="243" customWidth="1"/>
    <col min="14655" max="14655" width="9.54296875" style="243" customWidth="1"/>
    <col min="14656" max="14656" width="10.6328125" style="243" customWidth="1"/>
    <col min="14657" max="14657" width="9.90625" style="243" customWidth="1"/>
    <col min="14658" max="14658" width="11.453125" style="243" customWidth="1"/>
    <col min="14659" max="14659" width="9.90625" style="243" customWidth="1"/>
    <col min="14660" max="14660" width="10" style="243" customWidth="1"/>
    <col min="14661" max="14661" width="6.81640625" style="243" customWidth="1"/>
    <col min="14662" max="14662" width="12.54296875" style="243" customWidth="1"/>
    <col min="14663" max="14663" width="9.54296875" style="243" customWidth="1"/>
    <col min="14664" max="14664" width="10.36328125" style="243" customWidth="1"/>
    <col min="14665" max="14665" width="7.81640625" style="243" customWidth="1"/>
    <col min="14666" max="14666" width="7.1796875" style="243" customWidth="1"/>
    <col min="14667" max="14667" width="17.6328125" style="243" customWidth="1"/>
    <col min="14668" max="14668" width="8.81640625" style="243" customWidth="1"/>
    <col min="14669" max="14669" width="13.08984375" style="243" bestFit="1" customWidth="1"/>
    <col min="14670" max="14670" width="13.81640625" style="243" customWidth="1"/>
    <col min="14671" max="14672" width="8.81640625" style="243"/>
    <col min="14673" max="14673" width="9" style="243" bestFit="1" customWidth="1"/>
    <col min="14674" max="14682" width="8.81640625" style="243"/>
    <col min="14683" max="14683" width="13.08984375" style="243" customWidth="1"/>
    <col min="14684" max="14684" width="8.81640625" style="243"/>
    <col min="14685" max="14685" width="9.90625" style="243" customWidth="1"/>
    <col min="14686" max="14689" width="8.81640625" style="243"/>
    <col min="14690" max="14690" width="8.54296875" style="243" customWidth="1"/>
    <col min="14691" max="14691" width="30.36328125" style="243" customWidth="1"/>
    <col min="14692" max="14692" width="9" style="243" bestFit="1" customWidth="1"/>
    <col min="14693" max="14693" width="8.81640625" style="243"/>
    <col min="14694" max="14694" width="5.90625" style="243" customWidth="1"/>
    <col min="14695" max="14695" width="6.90625" style="243" customWidth="1"/>
    <col min="14696" max="14696" width="23.90625" style="243" customWidth="1"/>
    <col min="14697" max="14703" width="8.81640625" style="243"/>
    <col min="14704" max="14704" width="9" style="243" bestFit="1" customWidth="1"/>
    <col min="14705" max="14706" width="8.81640625" style="243"/>
    <col min="14707" max="14707" width="32.90625" style="243" customWidth="1"/>
    <col min="14708" max="14708" width="16.6328125" style="243" customWidth="1"/>
    <col min="14709" max="14709" width="10.1796875" style="243" customWidth="1"/>
    <col min="14710" max="14710" width="12.453125" style="243" customWidth="1"/>
    <col min="14711" max="14711" width="10" style="243" bestFit="1" customWidth="1"/>
    <col min="14712" max="14712" width="8.81640625" style="243"/>
    <col min="14713" max="14713" width="9" style="243" bestFit="1" customWidth="1"/>
    <col min="14714" max="14715" width="8.81640625" style="243"/>
    <col min="14716" max="14716" width="11.6328125" style="243" customWidth="1"/>
    <col min="14717" max="14717" width="8.81640625" style="243"/>
    <col min="14718" max="14718" width="28.81640625" style="243" customWidth="1"/>
    <col min="14719" max="14719" width="12.36328125" style="243" customWidth="1"/>
    <col min="14720" max="14720" width="11.1796875" style="243" customWidth="1"/>
    <col min="14721" max="14848" width="8.81640625" style="243"/>
    <col min="14849" max="14849" width="5.6328125" style="243" customWidth="1"/>
    <col min="14850" max="14850" width="26.54296875" style="243" customWidth="1"/>
    <col min="14851" max="14851" width="11.453125" style="243" customWidth="1"/>
    <col min="14852" max="14852" width="7.453125" style="243" customWidth="1"/>
    <col min="14853" max="14853" width="8.54296875" style="243" customWidth="1"/>
    <col min="14854" max="14854" width="12.36328125" style="243" customWidth="1"/>
    <col min="14855" max="14855" width="11.81640625" style="243" customWidth="1"/>
    <col min="14856" max="14856" width="8.1796875" style="243" customWidth="1"/>
    <col min="14857" max="14857" width="12" style="243" customWidth="1"/>
    <col min="14858" max="14858" width="8.81640625" style="243" customWidth="1"/>
    <col min="14859" max="14859" width="11.08984375" style="243" customWidth="1"/>
    <col min="14860" max="14860" width="12.90625" style="243" customWidth="1"/>
    <col min="14861" max="14861" width="12.54296875" style="243" customWidth="1"/>
    <col min="14862" max="14862" width="9.6328125" style="243" customWidth="1"/>
    <col min="14863" max="14863" width="9.90625" style="243" customWidth="1"/>
    <col min="14864" max="14864" width="11.36328125" style="243" customWidth="1"/>
    <col min="14865" max="14865" width="11.54296875" style="243" customWidth="1"/>
    <col min="14866" max="14866" width="11.6328125" style="243" customWidth="1"/>
    <col min="14867" max="14867" width="10.36328125" style="243" customWidth="1"/>
    <col min="14868" max="14868" width="11.81640625" style="243" customWidth="1"/>
    <col min="14869" max="14869" width="12.08984375" style="243" customWidth="1"/>
    <col min="14870" max="14870" width="11" style="243" customWidth="1"/>
    <col min="14871" max="14871" width="12.08984375" style="243" customWidth="1"/>
    <col min="14872" max="14872" width="10.54296875" style="243" customWidth="1"/>
    <col min="14873" max="14873" width="9.90625" style="243" customWidth="1"/>
    <col min="14874" max="14874" width="10.81640625" style="243" customWidth="1"/>
    <col min="14875" max="14875" width="9.81640625" style="243" customWidth="1"/>
    <col min="14876" max="14876" width="11.1796875" style="243" customWidth="1"/>
    <col min="14877" max="14877" width="10.36328125" style="243" customWidth="1"/>
    <col min="14878" max="14878" width="11.90625" style="243" customWidth="1"/>
    <col min="14879" max="14879" width="8.81640625" style="243"/>
    <col min="14880" max="14880" width="13.90625" style="243" customWidth="1"/>
    <col min="14881" max="14881" width="10.90625" style="243" customWidth="1"/>
    <col min="14882" max="14882" width="11.453125" style="243" customWidth="1"/>
    <col min="14883" max="14883" width="11.81640625" style="243" customWidth="1"/>
    <col min="14884" max="14884" width="11.08984375" style="243" customWidth="1"/>
    <col min="14885" max="14885" width="10.90625" style="243" customWidth="1"/>
    <col min="14886" max="14889" width="8.81640625" style="243"/>
    <col min="14890" max="14890" width="11.453125" style="243" bestFit="1" customWidth="1"/>
    <col min="14891" max="14891" width="10.1796875" style="243" customWidth="1"/>
    <col min="14892" max="14892" width="11.54296875" style="243" customWidth="1"/>
    <col min="14893" max="14893" width="12.08984375" style="243" customWidth="1"/>
    <col min="14894" max="14894" width="13.1796875" style="243" customWidth="1"/>
    <col min="14895" max="14895" width="14.08984375" style="243" customWidth="1"/>
    <col min="14896" max="14896" width="11.81640625" style="243" customWidth="1"/>
    <col min="14897" max="14897" width="9.6328125" style="243" customWidth="1"/>
    <col min="14898" max="14901" width="8.81640625" style="243"/>
    <col min="14902" max="14902" width="28.81640625" style="243" customWidth="1"/>
    <col min="14903" max="14903" width="11.81640625" style="243" customWidth="1"/>
    <col min="14904" max="14904" width="10" style="243" customWidth="1"/>
    <col min="14905" max="14905" width="10.453125" style="243" customWidth="1"/>
    <col min="14906" max="14907" width="8.81640625" style="243"/>
    <col min="14908" max="14908" width="9.36328125" style="243" customWidth="1"/>
    <col min="14909" max="14909" width="18.453125" style="243" customWidth="1"/>
    <col min="14910" max="14910" width="11" style="243" customWidth="1"/>
    <col min="14911" max="14911" width="9.54296875" style="243" customWidth="1"/>
    <col min="14912" max="14912" width="10.6328125" style="243" customWidth="1"/>
    <col min="14913" max="14913" width="9.90625" style="243" customWidth="1"/>
    <col min="14914" max="14914" width="11.453125" style="243" customWidth="1"/>
    <col min="14915" max="14915" width="9.90625" style="243" customWidth="1"/>
    <col min="14916" max="14916" width="10" style="243" customWidth="1"/>
    <col min="14917" max="14917" width="6.81640625" style="243" customWidth="1"/>
    <col min="14918" max="14918" width="12.54296875" style="243" customWidth="1"/>
    <col min="14919" max="14919" width="9.54296875" style="243" customWidth="1"/>
    <col min="14920" max="14920" width="10.36328125" style="243" customWidth="1"/>
    <col min="14921" max="14921" width="7.81640625" style="243" customWidth="1"/>
    <col min="14922" max="14922" width="7.1796875" style="243" customWidth="1"/>
    <col min="14923" max="14923" width="17.6328125" style="243" customWidth="1"/>
    <col min="14924" max="14924" width="8.81640625" style="243" customWidth="1"/>
    <col min="14925" max="14925" width="13.08984375" style="243" bestFit="1" customWidth="1"/>
    <col min="14926" max="14926" width="13.81640625" style="243" customWidth="1"/>
    <col min="14927" max="14928" width="8.81640625" style="243"/>
    <col min="14929" max="14929" width="9" style="243" bestFit="1" customWidth="1"/>
    <col min="14930" max="14938" width="8.81640625" style="243"/>
    <col min="14939" max="14939" width="13.08984375" style="243" customWidth="1"/>
    <col min="14940" max="14940" width="8.81640625" style="243"/>
    <col min="14941" max="14941" width="9.90625" style="243" customWidth="1"/>
    <col min="14942" max="14945" width="8.81640625" style="243"/>
    <col min="14946" max="14946" width="8.54296875" style="243" customWidth="1"/>
    <col min="14947" max="14947" width="30.36328125" style="243" customWidth="1"/>
    <col min="14948" max="14948" width="9" style="243" bestFit="1" customWidth="1"/>
    <col min="14949" max="14949" width="8.81640625" style="243"/>
    <col min="14950" max="14950" width="5.90625" style="243" customWidth="1"/>
    <col min="14951" max="14951" width="6.90625" style="243" customWidth="1"/>
    <col min="14952" max="14952" width="23.90625" style="243" customWidth="1"/>
    <col min="14953" max="14959" width="8.81640625" style="243"/>
    <col min="14960" max="14960" width="9" style="243" bestFit="1" customWidth="1"/>
    <col min="14961" max="14962" width="8.81640625" style="243"/>
    <col min="14963" max="14963" width="32.90625" style="243" customWidth="1"/>
    <col min="14964" max="14964" width="16.6328125" style="243" customWidth="1"/>
    <col min="14965" max="14965" width="10.1796875" style="243" customWidth="1"/>
    <col min="14966" max="14966" width="12.453125" style="243" customWidth="1"/>
    <col min="14967" max="14967" width="10" style="243" bestFit="1" customWidth="1"/>
    <col min="14968" max="14968" width="8.81640625" style="243"/>
    <col min="14969" max="14969" width="9" style="243" bestFit="1" customWidth="1"/>
    <col min="14970" max="14971" width="8.81640625" style="243"/>
    <col min="14972" max="14972" width="11.6328125" style="243" customWidth="1"/>
    <col min="14973" max="14973" width="8.81640625" style="243"/>
    <col min="14974" max="14974" width="28.81640625" style="243" customWidth="1"/>
    <col min="14975" max="14975" width="12.36328125" style="243" customWidth="1"/>
    <col min="14976" max="14976" width="11.1796875" style="243" customWidth="1"/>
    <col min="14977" max="15104" width="8.81640625" style="243"/>
    <col min="15105" max="15105" width="5.6328125" style="243" customWidth="1"/>
    <col min="15106" max="15106" width="26.54296875" style="243" customWidth="1"/>
    <col min="15107" max="15107" width="11.453125" style="243" customWidth="1"/>
    <col min="15108" max="15108" width="7.453125" style="243" customWidth="1"/>
    <col min="15109" max="15109" width="8.54296875" style="243" customWidth="1"/>
    <col min="15110" max="15110" width="12.36328125" style="243" customWidth="1"/>
    <col min="15111" max="15111" width="11.81640625" style="243" customWidth="1"/>
    <col min="15112" max="15112" width="8.1796875" style="243" customWidth="1"/>
    <col min="15113" max="15113" width="12" style="243" customWidth="1"/>
    <col min="15114" max="15114" width="8.81640625" style="243" customWidth="1"/>
    <col min="15115" max="15115" width="11.08984375" style="243" customWidth="1"/>
    <col min="15116" max="15116" width="12.90625" style="243" customWidth="1"/>
    <col min="15117" max="15117" width="12.54296875" style="243" customWidth="1"/>
    <col min="15118" max="15118" width="9.6328125" style="243" customWidth="1"/>
    <col min="15119" max="15119" width="9.90625" style="243" customWidth="1"/>
    <col min="15120" max="15120" width="11.36328125" style="243" customWidth="1"/>
    <col min="15121" max="15121" width="11.54296875" style="243" customWidth="1"/>
    <col min="15122" max="15122" width="11.6328125" style="243" customWidth="1"/>
    <col min="15123" max="15123" width="10.36328125" style="243" customWidth="1"/>
    <col min="15124" max="15124" width="11.81640625" style="243" customWidth="1"/>
    <col min="15125" max="15125" width="12.08984375" style="243" customWidth="1"/>
    <col min="15126" max="15126" width="11" style="243" customWidth="1"/>
    <col min="15127" max="15127" width="12.08984375" style="243" customWidth="1"/>
    <col min="15128" max="15128" width="10.54296875" style="243" customWidth="1"/>
    <col min="15129" max="15129" width="9.90625" style="243" customWidth="1"/>
    <col min="15130" max="15130" width="10.81640625" style="243" customWidth="1"/>
    <col min="15131" max="15131" width="9.81640625" style="243" customWidth="1"/>
    <col min="15132" max="15132" width="11.1796875" style="243" customWidth="1"/>
    <col min="15133" max="15133" width="10.36328125" style="243" customWidth="1"/>
    <col min="15134" max="15134" width="11.90625" style="243" customWidth="1"/>
    <col min="15135" max="15135" width="8.81640625" style="243"/>
    <col min="15136" max="15136" width="13.90625" style="243" customWidth="1"/>
    <col min="15137" max="15137" width="10.90625" style="243" customWidth="1"/>
    <col min="15138" max="15138" width="11.453125" style="243" customWidth="1"/>
    <col min="15139" max="15139" width="11.81640625" style="243" customWidth="1"/>
    <col min="15140" max="15140" width="11.08984375" style="243" customWidth="1"/>
    <col min="15141" max="15141" width="10.90625" style="243" customWidth="1"/>
    <col min="15142" max="15145" width="8.81640625" style="243"/>
    <col min="15146" max="15146" width="11.453125" style="243" bestFit="1" customWidth="1"/>
    <col min="15147" max="15147" width="10.1796875" style="243" customWidth="1"/>
    <col min="15148" max="15148" width="11.54296875" style="243" customWidth="1"/>
    <col min="15149" max="15149" width="12.08984375" style="243" customWidth="1"/>
    <col min="15150" max="15150" width="13.1796875" style="243" customWidth="1"/>
    <col min="15151" max="15151" width="14.08984375" style="243" customWidth="1"/>
    <col min="15152" max="15152" width="11.81640625" style="243" customWidth="1"/>
    <col min="15153" max="15153" width="9.6328125" style="243" customWidth="1"/>
    <col min="15154" max="15157" width="8.81640625" style="243"/>
    <col min="15158" max="15158" width="28.81640625" style="243" customWidth="1"/>
    <col min="15159" max="15159" width="11.81640625" style="243" customWidth="1"/>
    <col min="15160" max="15160" width="10" style="243" customWidth="1"/>
    <col min="15161" max="15161" width="10.453125" style="243" customWidth="1"/>
    <col min="15162" max="15163" width="8.81640625" style="243"/>
    <col min="15164" max="15164" width="9.36328125" style="243" customWidth="1"/>
    <col min="15165" max="15165" width="18.453125" style="243" customWidth="1"/>
    <col min="15166" max="15166" width="11" style="243" customWidth="1"/>
    <col min="15167" max="15167" width="9.54296875" style="243" customWidth="1"/>
    <col min="15168" max="15168" width="10.6328125" style="243" customWidth="1"/>
    <col min="15169" max="15169" width="9.90625" style="243" customWidth="1"/>
    <col min="15170" max="15170" width="11.453125" style="243" customWidth="1"/>
    <col min="15171" max="15171" width="9.90625" style="243" customWidth="1"/>
    <col min="15172" max="15172" width="10" style="243" customWidth="1"/>
    <col min="15173" max="15173" width="6.81640625" style="243" customWidth="1"/>
    <col min="15174" max="15174" width="12.54296875" style="243" customWidth="1"/>
    <col min="15175" max="15175" width="9.54296875" style="243" customWidth="1"/>
    <col min="15176" max="15176" width="10.36328125" style="243" customWidth="1"/>
    <col min="15177" max="15177" width="7.81640625" style="243" customWidth="1"/>
    <col min="15178" max="15178" width="7.1796875" style="243" customWidth="1"/>
    <col min="15179" max="15179" width="17.6328125" style="243" customWidth="1"/>
    <col min="15180" max="15180" width="8.81640625" style="243" customWidth="1"/>
    <col min="15181" max="15181" width="13.08984375" style="243" bestFit="1" customWidth="1"/>
    <col min="15182" max="15182" width="13.81640625" style="243" customWidth="1"/>
    <col min="15183" max="15184" width="8.81640625" style="243"/>
    <col min="15185" max="15185" width="9" style="243" bestFit="1" customWidth="1"/>
    <col min="15186" max="15194" width="8.81640625" style="243"/>
    <col min="15195" max="15195" width="13.08984375" style="243" customWidth="1"/>
    <col min="15196" max="15196" width="8.81640625" style="243"/>
    <col min="15197" max="15197" width="9.90625" style="243" customWidth="1"/>
    <col min="15198" max="15201" width="8.81640625" style="243"/>
    <col min="15202" max="15202" width="8.54296875" style="243" customWidth="1"/>
    <col min="15203" max="15203" width="30.36328125" style="243" customWidth="1"/>
    <col min="15204" max="15204" width="9" style="243" bestFit="1" customWidth="1"/>
    <col min="15205" max="15205" width="8.81640625" style="243"/>
    <col min="15206" max="15206" width="5.90625" style="243" customWidth="1"/>
    <col min="15207" max="15207" width="6.90625" style="243" customWidth="1"/>
    <col min="15208" max="15208" width="23.90625" style="243" customWidth="1"/>
    <col min="15209" max="15215" width="8.81640625" style="243"/>
    <col min="15216" max="15216" width="9" style="243" bestFit="1" customWidth="1"/>
    <col min="15217" max="15218" width="8.81640625" style="243"/>
    <col min="15219" max="15219" width="32.90625" style="243" customWidth="1"/>
    <col min="15220" max="15220" width="16.6328125" style="243" customWidth="1"/>
    <col min="15221" max="15221" width="10.1796875" style="243" customWidth="1"/>
    <col min="15222" max="15222" width="12.453125" style="243" customWidth="1"/>
    <col min="15223" max="15223" width="10" style="243" bestFit="1" customWidth="1"/>
    <col min="15224" max="15224" width="8.81640625" style="243"/>
    <col min="15225" max="15225" width="9" style="243" bestFit="1" customWidth="1"/>
    <col min="15226" max="15227" width="8.81640625" style="243"/>
    <col min="15228" max="15228" width="11.6328125" style="243" customWidth="1"/>
    <col min="15229" max="15229" width="8.81640625" style="243"/>
    <col min="15230" max="15230" width="28.81640625" style="243" customWidth="1"/>
    <col min="15231" max="15231" width="12.36328125" style="243" customWidth="1"/>
    <col min="15232" max="15232" width="11.1796875" style="243" customWidth="1"/>
    <col min="15233" max="15360" width="8.81640625" style="243"/>
    <col min="15361" max="15361" width="5.6328125" style="243" customWidth="1"/>
    <col min="15362" max="15362" width="26.54296875" style="243" customWidth="1"/>
    <col min="15363" max="15363" width="11.453125" style="243" customWidth="1"/>
    <col min="15364" max="15364" width="7.453125" style="243" customWidth="1"/>
    <col min="15365" max="15365" width="8.54296875" style="243" customWidth="1"/>
    <col min="15366" max="15366" width="12.36328125" style="243" customWidth="1"/>
    <col min="15367" max="15367" width="11.81640625" style="243" customWidth="1"/>
    <col min="15368" max="15368" width="8.1796875" style="243" customWidth="1"/>
    <col min="15369" max="15369" width="12" style="243" customWidth="1"/>
    <col min="15370" max="15370" width="8.81640625" style="243" customWidth="1"/>
    <col min="15371" max="15371" width="11.08984375" style="243" customWidth="1"/>
    <col min="15372" max="15372" width="12.90625" style="243" customWidth="1"/>
    <col min="15373" max="15373" width="12.54296875" style="243" customWidth="1"/>
    <col min="15374" max="15374" width="9.6328125" style="243" customWidth="1"/>
    <col min="15375" max="15375" width="9.90625" style="243" customWidth="1"/>
    <col min="15376" max="15376" width="11.36328125" style="243" customWidth="1"/>
    <col min="15377" max="15377" width="11.54296875" style="243" customWidth="1"/>
    <col min="15378" max="15378" width="11.6328125" style="243" customWidth="1"/>
    <col min="15379" max="15379" width="10.36328125" style="243" customWidth="1"/>
    <col min="15380" max="15380" width="11.81640625" style="243" customWidth="1"/>
    <col min="15381" max="15381" width="12.08984375" style="243" customWidth="1"/>
    <col min="15382" max="15382" width="11" style="243" customWidth="1"/>
    <col min="15383" max="15383" width="12.08984375" style="243" customWidth="1"/>
    <col min="15384" max="15384" width="10.54296875" style="243" customWidth="1"/>
    <col min="15385" max="15385" width="9.90625" style="243" customWidth="1"/>
    <col min="15386" max="15386" width="10.81640625" style="243" customWidth="1"/>
    <col min="15387" max="15387" width="9.81640625" style="243" customWidth="1"/>
    <col min="15388" max="15388" width="11.1796875" style="243" customWidth="1"/>
    <col min="15389" max="15389" width="10.36328125" style="243" customWidth="1"/>
    <col min="15390" max="15390" width="11.90625" style="243" customWidth="1"/>
    <col min="15391" max="15391" width="8.81640625" style="243"/>
    <col min="15392" max="15392" width="13.90625" style="243" customWidth="1"/>
    <col min="15393" max="15393" width="10.90625" style="243" customWidth="1"/>
    <col min="15394" max="15394" width="11.453125" style="243" customWidth="1"/>
    <col min="15395" max="15395" width="11.81640625" style="243" customWidth="1"/>
    <col min="15396" max="15396" width="11.08984375" style="243" customWidth="1"/>
    <col min="15397" max="15397" width="10.90625" style="243" customWidth="1"/>
    <col min="15398" max="15401" width="8.81640625" style="243"/>
    <col min="15402" max="15402" width="11.453125" style="243" bestFit="1" customWidth="1"/>
    <col min="15403" max="15403" width="10.1796875" style="243" customWidth="1"/>
    <col min="15404" max="15404" width="11.54296875" style="243" customWidth="1"/>
    <col min="15405" max="15405" width="12.08984375" style="243" customWidth="1"/>
    <col min="15406" max="15406" width="13.1796875" style="243" customWidth="1"/>
    <col min="15407" max="15407" width="14.08984375" style="243" customWidth="1"/>
    <col min="15408" max="15408" width="11.81640625" style="243" customWidth="1"/>
    <col min="15409" max="15409" width="9.6328125" style="243" customWidth="1"/>
    <col min="15410" max="15413" width="8.81640625" style="243"/>
    <col min="15414" max="15414" width="28.81640625" style="243" customWidth="1"/>
    <col min="15415" max="15415" width="11.81640625" style="243" customWidth="1"/>
    <col min="15416" max="15416" width="10" style="243" customWidth="1"/>
    <col min="15417" max="15417" width="10.453125" style="243" customWidth="1"/>
    <col min="15418" max="15419" width="8.81640625" style="243"/>
    <col min="15420" max="15420" width="9.36328125" style="243" customWidth="1"/>
    <col min="15421" max="15421" width="18.453125" style="243" customWidth="1"/>
    <col min="15422" max="15422" width="11" style="243" customWidth="1"/>
    <col min="15423" max="15423" width="9.54296875" style="243" customWidth="1"/>
    <col min="15424" max="15424" width="10.6328125" style="243" customWidth="1"/>
    <col min="15425" max="15425" width="9.90625" style="243" customWidth="1"/>
    <col min="15426" max="15426" width="11.453125" style="243" customWidth="1"/>
    <col min="15427" max="15427" width="9.90625" style="243" customWidth="1"/>
    <col min="15428" max="15428" width="10" style="243" customWidth="1"/>
    <col min="15429" max="15429" width="6.81640625" style="243" customWidth="1"/>
    <col min="15430" max="15430" width="12.54296875" style="243" customWidth="1"/>
    <col min="15431" max="15431" width="9.54296875" style="243" customWidth="1"/>
    <col min="15432" max="15432" width="10.36328125" style="243" customWidth="1"/>
    <col min="15433" max="15433" width="7.81640625" style="243" customWidth="1"/>
    <col min="15434" max="15434" width="7.1796875" style="243" customWidth="1"/>
    <col min="15435" max="15435" width="17.6328125" style="243" customWidth="1"/>
    <col min="15436" max="15436" width="8.81640625" style="243" customWidth="1"/>
    <col min="15437" max="15437" width="13.08984375" style="243" bestFit="1" customWidth="1"/>
    <col min="15438" max="15438" width="13.81640625" style="243" customWidth="1"/>
    <col min="15439" max="15440" width="8.81640625" style="243"/>
    <col min="15441" max="15441" width="9" style="243" bestFit="1" customWidth="1"/>
    <col min="15442" max="15450" width="8.81640625" style="243"/>
    <col min="15451" max="15451" width="13.08984375" style="243" customWidth="1"/>
    <col min="15452" max="15452" width="8.81640625" style="243"/>
    <col min="15453" max="15453" width="9.90625" style="243" customWidth="1"/>
    <col min="15454" max="15457" width="8.81640625" style="243"/>
    <col min="15458" max="15458" width="8.54296875" style="243" customWidth="1"/>
    <col min="15459" max="15459" width="30.36328125" style="243" customWidth="1"/>
    <col min="15460" max="15460" width="9" style="243" bestFit="1" customWidth="1"/>
    <col min="15461" max="15461" width="8.81640625" style="243"/>
    <col min="15462" max="15462" width="5.90625" style="243" customWidth="1"/>
    <col min="15463" max="15463" width="6.90625" style="243" customWidth="1"/>
    <col min="15464" max="15464" width="23.90625" style="243" customWidth="1"/>
    <col min="15465" max="15471" width="8.81640625" style="243"/>
    <col min="15472" max="15472" width="9" style="243" bestFit="1" customWidth="1"/>
    <col min="15473" max="15474" width="8.81640625" style="243"/>
    <col min="15475" max="15475" width="32.90625" style="243" customWidth="1"/>
    <col min="15476" max="15476" width="16.6328125" style="243" customWidth="1"/>
    <col min="15477" max="15477" width="10.1796875" style="243" customWidth="1"/>
    <col min="15478" max="15478" width="12.453125" style="243" customWidth="1"/>
    <col min="15479" max="15479" width="10" style="243" bestFit="1" customWidth="1"/>
    <col min="15480" max="15480" width="8.81640625" style="243"/>
    <col min="15481" max="15481" width="9" style="243" bestFit="1" customWidth="1"/>
    <col min="15482" max="15483" width="8.81640625" style="243"/>
    <col min="15484" max="15484" width="11.6328125" style="243" customWidth="1"/>
    <col min="15485" max="15485" width="8.81640625" style="243"/>
    <col min="15486" max="15486" width="28.81640625" style="243" customWidth="1"/>
    <col min="15487" max="15487" width="12.36328125" style="243" customWidth="1"/>
    <col min="15488" max="15488" width="11.1796875" style="243" customWidth="1"/>
    <col min="15489" max="15616" width="8.81640625" style="243"/>
    <col min="15617" max="15617" width="5.6328125" style="243" customWidth="1"/>
    <col min="15618" max="15618" width="26.54296875" style="243" customWidth="1"/>
    <col min="15619" max="15619" width="11.453125" style="243" customWidth="1"/>
    <col min="15620" max="15620" width="7.453125" style="243" customWidth="1"/>
    <col min="15621" max="15621" width="8.54296875" style="243" customWidth="1"/>
    <col min="15622" max="15622" width="12.36328125" style="243" customWidth="1"/>
    <col min="15623" max="15623" width="11.81640625" style="243" customWidth="1"/>
    <col min="15624" max="15624" width="8.1796875" style="243" customWidth="1"/>
    <col min="15625" max="15625" width="12" style="243" customWidth="1"/>
    <col min="15626" max="15626" width="8.81640625" style="243" customWidth="1"/>
    <col min="15627" max="15627" width="11.08984375" style="243" customWidth="1"/>
    <col min="15628" max="15628" width="12.90625" style="243" customWidth="1"/>
    <col min="15629" max="15629" width="12.54296875" style="243" customWidth="1"/>
    <col min="15630" max="15630" width="9.6328125" style="243" customWidth="1"/>
    <col min="15631" max="15631" width="9.90625" style="243" customWidth="1"/>
    <col min="15632" max="15632" width="11.36328125" style="243" customWidth="1"/>
    <col min="15633" max="15633" width="11.54296875" style="243" customWidth="1"/>
    <col min="15634" max="15634" width="11.6328125" style="243" customWidth="1"/>
    <col min="15635" max="15635" width="10.36328125" style="243" customWidth="1"/>
    <col min="15636" max="15636" width="11.81640625" style="243" customWidth="1"/>
    <col min="15637" max="15637" width="12.08984375" style="243" customWidth="1"/>
    <col min="15638" max="15638" width="11" style="243" customWidth="1"/>
    <col min="15639" max="15639" width="12.08984375" style="243" customWidth="1"/>
    <col min="15640" max="15640" width="10.54296875" style="243" customWidth="1"/>
    <col min="15641" max="15641" width="9.90625" style="243" customWidth="1"/>
    <col min="15642" max="15642" width="10.81640625" style="243" customWidth="1"/>
    <col min="15643" max="15643" width="9.81640625" style="243" customWidth="1"/>
    <col min="15644" max="15644" width="11.1796875" style="243" customWidth="1"/>
    <col min="15645" max="15645" width="10.36328125" style="243" customWidth="1"/>
    <col min="15646" max="15646" width="11.90625" style="243" customWidth="1"/>
    <col min="15647" max="15647" width="8.81640625" style="243"/>
    <col min="15648" max="15648" width="13.90625" style="243" customWidth="1"/>
    <col min="15649" max="15649" width="10.90625" style="243" customWidth="1"/>
    <col min="15650" max="15650" width="11.453125" style="243" customWidth="1"/>
    <col min="15651" max="15651" width="11.81640625" style="243" customWidth="1"/>
    <col min="15652" max="15652" width="11.08984375" style="243" customWidth="1"/>
    <col min="15653" max="15653" width="10.90625" style="243" customWidth="1"/>
    <col min="15654" max="15657" width="8.81640625" style="243"/>
    <col min="15658" max="15658" width="11.453125" style="243" bestFit="1" customWidth="1"/>
    <col min="15659" max="15659" width="10.1796875" style="243" customWidth="1"/>
    <col min="15660" max="15660" width="11.54296875" style="243" customWidth="1"/>
    <col min="15661" max="15661" width="12.08984375" style="243" customWidth="1"/>
    <col min="15662" max="15662" width="13.1796875" style="243" customWidth="1"/>
    <col min="15663" max="15663" width="14.08984375" style="243" customWidth="1"/>
    <col min="15664" max="15664" width="11.81640625" style="243" customWidth="1"/>
    <col min="15665" max="15665" width="9.6328125" style="243" customWidth="1"/>
    <col min="15666" max="15669" width="8.81640625" style="243"/>
    <col min="15670" max="15670" width="28.81640625" style="243" customWidth="1"/>
    <col min="15671" max="15671" width="11.81640625" style="243" customWidth="1"/>
    <col min="15672" max="15672" width="10" style="243" customWidth="1"/>
    <col min="15673" max="15673" width="10.453125" style="243" customWidth="1"/>
    <col min="15674" max="15675" width="8.81640625" style="243"/>
    <col min="15676" max="15676" width="9.36328125" style="243" customWidth="1"/>
    <col min="15677" max="15677" width="18.453125" style="243" customWidth="1"/>
    <col min="15678" max="15678" width="11" style="243" customWidth="1"/>
    <col min="15679" max="15679" width="9.54296875" style="243" customWidth="1"/>
    <col min="15680" max="15680" width="10.6328125" style="243" customWidth="1"/>
    <col min="15681" max="15681" width="9.90625" style="243" customWidth="1"/>
    <col min="15682" max="15682" width="11.453125" style="243" customWidth="1"/>
    <col min="15683" max="15683" width="9.90625" style="243" customWidth="1"/>
    <col min="15684" max="15684" width="10" style="243" customWidth="1"/>
    <col min="15685" max="15685" width="6.81640625" style="243" customWidth="1"/>
    <col min="15686" max="15686" width="12.54296875" style="243" customWidth="1"/>
    <col min="15687" max="15687" width="9.54296875" style="243" customWidth="1"/>
    <col min="15688" max="15688" width="10.36328125" style="243" customWidth="1"/>
    <col min="15689" max="15689" width="7.81640625" style="243" customWidth="1"/>
    <col min="15690" max="15690" width="7.1796875" style="243" customWidth="1"/>
    <col min="15691" max="15691" width="17.6328125" style="243" customWidth="1"/>
    <col min="15692" max="15692" width="8.81640625" style="243" customWidth="1"/>
    <col min="15693" max="15693" width="13.08984375" style="243" bestFit="1" customWidth="1"/>
    <col min="15694" max="15694" width="13.81640625" style="243" customWidth="1"/>
    <col min="15695" max="15696" width="8.81640625" style="243"/>
    <col min="15697" max="15697" width="9" style="243" bestFit="1" customWidth="1"/>
    <col min="15698" max="15706" width="8.81640625" style="243"/>
    <col min="15707" max="15707" width="13.08984375" style="243" customWidth="1"/>
    <col min="15708" max="15708" width="8.81640625" style="243"/>
    <col min="15709" max="15709" width="9.90625" style="243" customWidth="1"/>
    <col min="15710" max="15713" width="8.81640625" style="243"/>
    <col min="15714" max="15714" width="8.54296875" style="243" customWidth="1"/>
    <col min="15715" max="15715" width="30.36328125" style="243" customWidth="1"/>
    <col min="15716" max="15716" width="9" style="243" bestFit="1" customWidth="1"/>
    <col min="15717" max="15717" width="8.81640625" style="243"/>
    <col min="15718" max="15718" width="5.90625" style="243" customWidth="1"/>
    <col min="15719" max="15719" width="6.90625" style="243" customWidth="1"/>
    <col min="15720" max="15720" width="23.90625" style="243" customWidth="1"/>
    <col min="15721" max="15727" width="8.81640625" style="243"/>
    <col min="15728" max="15728" width="9" style="243" bestFit="1" customWidth="1"/>
    <col min="15729" max="15730" width="8.81640625" style="243"/>
    <col min="15731" max="15731" width="32.90625" style="243" customWidth="1"/>
    <col min="15732" max="15732" width="16.6328125" style="243" customWidth="1"/>
    <col min="15733" max="15733" width="10.1796875" style="243" customWidth="1"/>
    <col min="15734" max="15734" width="12.453125" style="243" customWidth="1"/>
    <col min="15735" max="15735" width="10" style="243" bestFit="1" customWidth="1"/>
    <col min="15736" max="15736" width="8.81640625" style="243"/>
    <col min="15737" max="15737" width="9" style="243" bestFit="1" customWidth="1"/>
    <col min="15738" max="15739" width="8.81640625" style="243"/>
    <col min="15740" max="15740" width="11.6328125" style="243" customWidth="1"/>
    <col min="15741" max="15741" width="8.81640625" style="243"/>
    <col min="15742" max="15742" width="28.81640625" style="243" customWidth="1"/>
    <col min="15743" max="15743" width="12.36328125" style="243" customWidth="1"/>
    <col min="15744" max="15744" width="11.1796875" style="243" customWidth="1"/>
    <col min="15745" max="15872" width="8.81640625" style="243"/>
    <col min="15873" max="15873" width="5.6328125" style="243" customWidth="1"/>
    <col min="15874" max="15874" width="26.54296875" style="243" customWidth="1"/>
    <col min="15875" max="15875" width="11.453125" style="243" customWidth="1"/>
    <col min="15876" max="15876" width="7.453125" style="243" customWidth="1"/>
    <col min="15877" max="15877" width="8.54296875" style="243" customWidth="1"/>
    <col min="15878" max="15878" width="12.36328125" style="243" customWidth="1"/>
    <col min="15879" max="15879" width="11.81640625" style="243" customWidth="1"/>
    <col min="15880" max="15880" width="8.1796875" style="243" customWidth="1"/>
    <col min="15881" max="15881" width="12" style="243" customWidth="1"/>
    <col min="15882" max="15882" width="8.81640625" style="243" customWidth="1"/>
    <col min="15883" max="15883" width="11.08984375" style="243" customWidth="1"/>
    <col min="15884" max="15884" width="12.90625" style="243" customWidth="1"/>
    <col min="15885" max="15885" width="12.54296875" style="243" customWidth="1"/>
    <col min="15886" max="15886" width="9.6328125" style="243" customWidth="1"/>
    <col min="15887" max="15887" width="9.90625" style="243" customWidth="1"/>
    <col min="15888" max="15888" width="11.36328125" style="243" customWidth="1"/>
    <col min="15889" max="15889" width="11.54296875" style="243" customWidth="1"/>
    <col min="15890" max="15890" width="11.6328125" style="243" customWidth="1"/>
    <col min="15891" max="15891" width="10.36328125" style="243" customWidth="1"/>
    <col min="15892" max="15892" width="11.81640625" style="243" customWidth="1"/>
    <col min="15893" max="15893" width="12.08984375" style="243" customWidth="1"/>
    <col min="15894" max="15894" width="11" style="243" customWidth="1"/>
    <col min="15895" max="15895" width="12.08984375" style="243" customWidth="1"/>
    <col min="15896" max="15896" width="10.54296875" style="243" customWidth="1"/>
    <col min="15897" max="15897" width="9.90625" style="243" customWidth="1"/>
    <col min="15898" max="15898" width="10.81640625" style="243" customWidth="1"/>
    <col min="15899" max="15899" width="9.81640625" style="243" customWidth="1"/>
    <col min="15900" max="15900" width="11.1796875" style="243" customWidth="1"/>
    <col min="15901" max="15901" width="10.36328125" style="243" customWidth="1"/>
    <col min="15902" max="15902" width="11.90625" style="243" customWidth="1"/>
    <col min="15903" max="15903" width="8.81640625" style="243"/>
    <col min="15904" max="15904" width="13.90625" style="243" customWidth="1"/>
    <col min="15905" max="15905" width="10.90625" style="243" customWidth="1"/>
    <col min="15906" max="15906" width="11.453125" style="243" customWidth="1"/>
    <col min="15907" max="15907" width="11.81640625" style="243" customWidth="1"/>
    <col min="15908" max="15908" width="11.08984375" style="243" customWidth="1"/>
    <col min="15909" max="15909" width="10.90625" style="243" customWidth="1"/>
    <col min="15910" max="15913" width="8.81640625" style="243"/>
    <col min="15914" max="15914" width="11.453125" style="243" bestFit="1" customWidth="1"/>
    <col min="15915" max="15915" width="10.1796875" style="243" customWidth="1"/>
    <col min="15916" max="15916" width="11.54296875" style="243" customWidth="1"/>
    <col min="15917" max="15917" width="12.08984375" style="243" customWidth="1"/>
    <col min="15918" max="15918" width="13.1796875" style="243" customWidth="1"/>
    <col min="15919" max="15919" width="14.08984375" style="243" customWidth="1"/>
    <col min="15920" max="15920" width="11.81640625" style="243" customWidth="1"/>
    <col min="15921" max="15921" width="9.6328125" style="243" customWidth="1"/>
    <col min="15922" max="15925" width="8.81640625" style="243"/>
    <col min="15926" max="15926" width="28.81640625" style="243" customWidth="1"/>
    <col min="15927" max="15927" width="11.81640625" style="243" customWidth="1"/>
    <col min="15928" max="15928" width="10" style="243" customWidth="1"/>
    <col min="15929" max="15929" width="10.453125" style="243" customWidth="1"/>
    <col min="15930" max="15931" width="8.81640625" style="243"/>
    <col min="15932" max="15932" width="9.36328125" style="243" customWidth="1"/>
    <col min="15933" max="15933" width="18.453125" style="243" customWidth="1"/>
    <col min="15934" max="15934" width="11" style="243" customWidth="1"/>
    <col min="15935" max="15935" width="9.54296875" style="243" customWidth="1"/>
    <col min="15936" max="15936" width="10.6328125" style="243" customWidth="1"/>
    <col min="15937" max="15937" width="9.90625" style="243" customWidth="1"/>
    <col min="15938" max="15938" width="11.453125" style="243" customWidth="1"/>
    <col min="15939" max="15939" width="9.90625" style="243" customWidth="1"/>
    <col min="15940" max="15940" width="10" style="243" customWidth="1"/>
    <col min="15941" max="15941" width="6.81640625" style="243" customWidth="1"/>
    <col min="15942" max="15942" width="12.54296875" style="243" customWidth="1"/>
    <col min="15943" max="15943" width="9.54296875" style="243" customWidth="1"/>
    <col min="15944" max="15944" width="10.36328125" style="243" customWidth="1"/>
    <col min="15945" max="15945" width="7.81640625" style="243" customWidth="1"/>
    <col min="15946" max="15946" width="7.1796875" style="243" customWidth="1"/>
    <col min="15947" max="15947" width="17.6328125" style="243" customWidth="1"/>
    <col min="15948" max="15948" width="8.81640625" style="243" customWidth="1"/>
    <col min="15949" max="15949" width="13.08984375" style="243" bestFit="1" customWidth="1"/>
    <col min="15950" max="15950" width="13.81640625" style="243" customWidth="1"/>
    <col min="15951" max="15952" width="8.81640625" style="243"/>
    <col min="15953" max="15953" width="9" style="243" bestFit="1" customWidth="1"/>
    <col min="15954" max="15962" width="8.81640625" style="243"/>
    <col min="15963" max="15963" width="13.08984375" style="243" customWidth="1"/>
    <col min="15964" max="15964" width="8.81640625" style="243"/>
    <col min="15965" max="15965" width="9.90625" style="243" customWidth="1"/>
    <col min="15966" max="15969" width="8.81640625" style="243"/>
    <col min="15970" max="15970" width="8.54296875" style="243" customWidth="1"/>
    <col min="15971" max="15971" width="30.36328125" style="243" customWidth="1"/>
    <col min="15972" max="15972" width="9" style="243" bestFit="1" customWidth="1"/>
    <col min="15973" max="15973" width="8.81640625" style="243"/>
    <col min="15974" max="15974" width="5.90625" style="243" customWidth="1"/>
    <col min="15975" max="15975" width="6.90625" style="243" customWidth="1"/>
    <col min="15976" max="15976" width="23.90625" style="243" customWidth="1"/>
    <col min="15977" max="15983" width="8.81640625" style="243"/>
    <col min="15984" max="15984" width="9" style="243" bestFit="1" customWidth="1"/>
    <col min="15985" max="15986" width="8.81640625" style="243"/>
    <col min="15987" max="15987" width="32.90625" style="243" customWidth="1"/>
    <col min="15988" max="15988" width="16.6328125" style="243" customWidth="1"/>
    <col min="15989" max="15989" width="10.1796875" style="243" customWidth="1"/>
    <col min="15990" max="15990" width="12.453125" style="243" customWidth="1"/>
    <col min="15991" max="15991" width="10" style="243" bestFit="1" customWidth="1"/>
    <col min="15992" max="15992" width="8.81640625" style="243"/>
    <col min="15993" max="15993" width="9" style="243" bestFit="1" customWidth="1"/>
    <col min="15994" max="15995" width="8.81640625" style="243"/>
    <col min="15996" max="15996" width="11.6328125" style="243" customWidth="1"/>
    <col min="15997" max="15997" width="8.81640625" style="243"/>
    <col min="15998" max="15998" width="28.81640625" style="243" customWidth="1"/>
    <col min="15999" max="15999" width="12.36328125" style="243" customWidth="1"/>
    <col min="16000" max="16000" width="11.1796875" style="243" customWidth="1"/>
    <col min="16001" max="16128" width="8.81640625" style="243"/>
    <col min="16129" max="16129" width="5.6328125" style="243" customWidth="1"/>
    <col min="16130" max="16130" width="26.54296875" style="243" customWidth="1"/>
    <col min="16131" max="16131" width="11.453125" style="243" customWidth="1"/>
    <col min="16132" max="16132" width="7.453125" style="243" customWidth="1"/>
    <col min="16133" max="16133" width="8.54296875" style="243" customWidth="1"/>
    <col min="16134" max="16134" width="12.36328125" style="243" customWidth="1"/>
    <col min="16135" max="16135" width="11.81640625" style="243" customWidth="1"/>
    <col min="16136" max="16136" width="8.1796875" style="243" customWidth="1"/>
    <col min="16137" max="16137" width="12" style="243" customWidth="1"/>
    <col min="16138" max="16138" width="8.81640625" style="243" customWidth="1"/>
    <col min="16139" max="16139" width="11.08984375" style="243" customWidth="1"/>
    <col min="16140" max="16140" width="12.90625" style="243" customWidth="1"/>
    <col min="16141" max="16141" width="12.54296875" style="243" customWidth="1"/>
    <col min="16142" max="16142" width="9.6328125" style="243" customWidth="1"/>
    <col min="16143" max="16143" width="9.90625" style="243" customWidth="1"/>
    <col min="16144" max="16144" width="11.36328125" style="243" customWidth="1"/>
    <col min="16145" max="16145" width="11.54296875" style="243" customWidth="1"/>
    <col min="16146" max="16146" width="11.6328125" style="243" customWidth="1"/>
    <col min="16147" max="16147" width="10.36328125" style="243" customWidth="1"/>
    <col min="16148" max="16148" width="11.81640625" style="243" customWidth="1"/>
    <col min="16149" max="16149" width="12.08984375" style="243" customWidth="1"/>
    <col min="16150" max="16150" width="11" style="243" customWidth="1"/>
    <col min="16151" max="16151" width="12.08984375" style="243" customWidth="1"/>
    <col min="16152" max="16152" width="10.54296875" style="243" customWidth="1"/>
    <col min="16153" max="16153" width="9.90625" style="243" customWidth="1"/>
    <col min="16154" max="16154" width="10.81640625" style="243" customWidth="1"/>
    <col min="16155" max="16155" width="9.81640625" style="243" customWidth="1"/>
    <col min="16156" max="16156" width="11.1796875" style="243" customWidth="1"/>
    <col min="16157" max="16157" width="10.36328125" style="243" customWidth="1"/>
    <col min="16158" max="16158" width="11.90625" style="243" customWidth="1"/>
    <col min="16159" max="16159" width="8.81640625" style="243"/>
    <col min="16160" max="16160" width="13.90625" style="243" customWidth="1"/>
    <col min="16161" max="16161" width="10.90625" style="243" customWidth="1"/>
    <col min="16162" max="16162" width="11.453125" style="243" customWidth="1"/>
    <col min="16163" max="16163" width="11.81640625" style="243" customWidth="1"/>
    <col min="16164" max="16164" width="11.08984375" style="243" customWidth="1"/>
    <col min="16165" max="16165" width="10.90625" style="243" customWidth="1"/>
    <col min="16166" max="16169" width="8.81640625" style="243"/>
    <col min="16170" max="16170" width="11.453125" style="243" bestFit="1" customWidth="1"/>
    <col min="16171" max="16171" width="10.1796875" style="243" customWidth="1"/>
    <col min="16172" max="16172" width="11.54296875" style="243" customWidth="1"/>
    <col min="16173" max="16173" width="12.08984375" style="243" customWidth="1"/>
    <col min="16174" max="16174" width="13.1796875" style="243" customWidth="1"/>
    <col min="16175" max="16175" width="14.08984375" style="243" customWidth="1"/>
    <col min="16176" max="16176" width="11.81640625" style="243" customWidth="1"/>
    <col min="16177" max="16177" width="9.6328125" style="243" customWidth="1"/>
    <col min="16178" max="16181" width="8.81640625" style="243"/>
    <col min="16182" max="16182" width="28.81640625" style="243" customWidth="1"/>
    <col min="16183" max="16183" width="11.81640625" style="243" customWidth="1"/>
    <col min="16184" max="16184" width="10" style="243" customWidth="1"/>
    <col min="16185" max="16185" width="10.453125" style="243" customWidth="1"/>
    <col min="16186" max="16187" width="8.81640625" style="243"/>
    <col min="16188" max="16188" width="9.36328125" style="243" customWidth="1"/>
    <col min="16189" max="16189" width="18.453125" style="243" customWidth="1"/>
    <col min="16190" max="16190" width="11" style="243" customWidth="1"/>
    <col min="16191" max="16191" width="9.54296875" style="243" customWidth="1"/>
    <col min="16192" max="16192" width="10.6328125" style="243" customWidth="1"/>
    <col min="16193" max="16193" width="9.90625" style="243" customWidth="1"/>
    <col min="16194" max="16194" width="11.453125" style="243" customWidth="1"/>
    <col min="16195" max="16195" width="9.90625" style="243" customWidth="1"/>
    <col min="16196" max="16196" width="10" style="243" customWidth="1"/>
    <col min="16197" max="16197" width="6.81640625" style="243" customWidth="1"/>
    <col min="16198" max="16198" width="12.54296875" style="243" customWidth="1"/>
    <col min="16199" max="16199" width="9.54296875" style="243" customWidth="1"/>
    <col min="16200" max="16200" width="10.36328125" style="243" customWidth="1"/>
    <col min="16201" max="16201" width="7.81640625" style="243" customWidth="1"/>
    <col min="16202" max="16202" width="7.1796875" style="243" customWidth="1"/>
    <col min="16203" max="16203" width="17.6328125" style="243" customWidth="1"/>
    <col min="16204" max="16204" width="8.81640625" style="243" customWidth="1"/>
    <col min="16205" max="16205" width="13.08984375" style="243" bestFit="1" customWidth="1"/>
    <col min="16206" max="16206" width="13.81640625" style="243" customWidth="1"/>
    <col min="16207" max="16208" width="8.81640625" style="243"/>
    <col min="16209" max="16209" width="9" style="243" bestFit="1" customWidth="1"/>
    <col min="16210" max="16218" width="8.81640625" style="243"/>
    <col min="16219" max="16219" width="13.08984375" style="243" customWidth="1"/>
    <col min="16220" max="16220" width="8.81640625" style="243"/>
    <col min="16221" max="16221" width="9.90625" style="243" customWidth="1"/>
    <col min="16222" max="16225" width="8.81640625" style="243"/>
    <col min="16226" max="16226" width="8.54296875" style="243" customWidth="1"/>
    <col min="16227" max="16227" width="30.36328125" style="243" customWidth="1"/>
    <col min="16228" max="16228" width="9" style="243" bestFit="1" customWidth="1"/>
    <col min="16229" max="16229" width="8.81640625" style="243"/>
    <col min="16230" max="16230" width="5.90625" style="243" customWidth="1"/>
    <col min="16231" max="16231" width="6.90625" style="243" customWidth="1"/>
    <col min="16232" max="16232" width="23.90625" style="243" customWidth="1"/>
    <col min="16233" max="16239" width="8.81640625" style="243"/>
    <col min="16240" max="16240" width="9" style="243" bestFit="1" customWidth="1"/>
    <col min="16241" max="16242" width="8.81640625" style="243"/>
    <col min="16243" max="16243" width="32.90625" style="243" customWidth="1"/>
    <col min="16244" max="16244" width="16.6328125" style="243" customWidth="1"/>
    <col min="16245" max="16245" width="10.1796875" style="243" customWidth="1"/>
    <col min="16246" max="16246" width="12.453125" style="243" customWidth="1"/>
    <col min="16247" max="16247" width="10" style="243" bestFit="1" customWidth="1"/>
    <col min="16248" max="16248" width="8.81640625" style="243"/>
    <col min="16249" max="16249" width="9" style="243" bestFit="1" customWidth="1"/>
    <col min="16250" max="16251" width="8.81640625" style="243"/>
    <col min="16252" max="16252" width="11.6328125" style="243" customWidth="1"/>
    <col min="16253" max="16253" width="8.81640625" style="243"/>
    <col min="16254" max="16254" width="28.81640625" style="243" customWidth="1"/>
    <col min="16255" max="16255" width="12.36328125" style="243" customWidth="1"/>
    <col min="16256" max="16256" width="11.1796875" style="243" customWidth="1"/>
    <col min="16257" max="16384" width="8.81640625" style="243"/>
  </cols>
  <sheetData>
    <row r="1" spans="2:3" s="244" customFormat="1"/>
    <row r="2" spans="2:3" s="244" customFormat="1">
      <c r="B2" s="822"/>
      <c r="C2" s="819" t="s">
        <v>335</v>
      </c>
    </row>
    <row r="3" spans="2:3" s="244" customFormat="1" ht="19.2">
      <c r="B3" s="823" t="s">
        <v>774</v>
      </c>
      <c r="C3" s="244" t="e">
        <f>C17</f>
        <v>#REF!</v>
      </c>
    </row>
    <row r="4" spans="2:3" s="244" customFormat="1" ht="19.2">
      <c r="B4" s="823" t="s">
        <v>777</v>
      </c>
      <c r="C4" s="244" t="e">
        <f>C20</f>
        <v>#REF!</v>
      </c>
    </row>
    <row r="5" spans="2:3" s="244" customFormat="1" ht="19.2">
      <c r="B5" s="823" t="s">
        <v>781</v>
      </c>
      <c r="C5" s="244" t="e">
        <f>C24</f>
        <v>#REF!</v>
      </c>
    </row>
    <row r="6" spans="2:3" s="244" customFormat="1" ht="19.2">
      <c r="B6" s="823" t="s">
        <v>783</v>
      </c>
      <c r="C6" s="244" t="e">
        <f t="shared" ref="C6" si="0">C27</f>
        <v>#REF!</v>
      </c>
    </row>
    <row r="7" spans="2:3" s="244" customFormat="1"/>
    <row r="8" spans="2:3" s="244" customFormat="1"/>
    <row r="9" spans="2:3" s="244" customFormat="1"/>
    <row r="10" spans="2:3" s="244" customFormat="1"/>
    <row r="11" spans="2:3" s="244" customFormat="1"/>
    <row r="12" spans="2:3" s="244" customFormat="1"/>
    <row r="13" spans="2:3" s="244" customFormat="1"/>
    <row r="14" spans="2:3" s="244" customFormat="1"/>
    <row r="15" spans="2:3" s="244" customFormat="1"/>
    <row r="16" spans="2:3" s="244" customFormat="1">
      <c r="B16" s="243"/>
      <c r="C16" s="821" t="s">
        <v>335</v>
      </c>
    </row>
    <row r="17" spans="2:3" s="244" customFormat="1" ht="19.2">
      <c r="B17" s="820" t="s">
        <v>774</v>
      </c>
      <c r="C17" s="243" t="e">
        <f>#REF!/100</f>
        <v>#REF!</v>
      </c>
    </row>
    <row r="18" spans="2:3" s="244" customFormat="1" ht="19.2">
      <c r="B18" s="820" t="s">
        <v>775</v>
      </c>
      <c r="C18" s="243"/>
    </row>
    <row r="19" spans="2:3" s="244" customFormat="1" ht="19.2">
      <c r="B19" s="820" t="s">
        <v>776</v>
      </c>
      <c r="C19" s="1081"/>
    </row>
    <row r="20" spans="2:3" s="244" customFormat="1" ht="19.2">
      <c r="B20" s="820" t="s">
        <v>777</v>
      </c>
      <c r="C20" s="243" t="e">
        <f>#REF!/100+#REF!/100</f>
        <v>#REF!</v>
      </c>
    </row>
    <row r="21" spans="2:3" s="244" customFormat="1" ht="19.2">
      <c r="B21" s="820" t="s">
        <v>778</v>
      </c>
      <c r="C21" s="243"/>
    </row>
    <row r="22" spans="2:3" s="244" customFormat="1" ht="19.2">
      <c r="B22" s="820" t="s">
        <v>779</v>
      </c>
      <c r="C22" s="243"/>
    </row>
    <row r="23" spans="2:3" s="244" customFormat="1" ht="19.2">
      <c r="B23" s="820" t="s">
        <v>780</v>
      </c>
      <c r="C23" s="243"/>
    </row>
    <row r="24" spans="2:3" s="244" customFormat="1" ht="19.2">
      <c r="B24" s="820" t="s">
        <v>781</v>
      </c>
      <c r="C24" s="243" t="e">
        <f>#REF!/100</f>
        <v>#REF!</v>
      </c>
    </row>
    <row r="25" spans="2:3" s="244" customFormat="1" ht="19.2">
      <c r="B25" s="820" t="s">
        <v>86</v>
      </c>
      <c r="C25" s="243"/>
    </row>
    <row r="26" spans="2:3" s="244" customFormat="1" ht="19.2">
      <c r="B26" s="820" t="s">
        <v>782</v>
      </c>
      <c r="C26" s="243"/>
    </row>
    <row r="27" spans="2:3" s="244" customFormat="1" ht="19.2">
      <c r="B27" s="820" t="s">
        <v>783</v>
      </c>
      <c r="C27" s="243" t="e">
        <f>#REF!/100</f>
        <v>#REF!</v>
      </c>
    </row>
    <row r="28" spans="2:3" s="244" customFormat="1"/>
    <row r="29" spans="2:3" s="244" customFormat="1"/>
    <row r="30" spans="2:3" s="244" customFormat="1"/>
    <row r="31" spans="2:3" s="244" customFormat="1"/>
    <row r="32" spans="2:3" s="244" customFormat="1"/>
    <row r="33" s="244" customFormat="1"/>
    <row r="34" s="244" customFormat="1"/>
    <row r="35" s="244" customFormat="1"/>
    <row r="36" s="244" customFormat="1"/>
    <row r="37" s="244" customFormat="1"/>
    <row r="38" s="244" customFormat="1"/>
    <row r="39" s="244" customFormat="1"/>
    <row r="40" s="244" customFormat="1"/>
    <row r="41" s="244" customFormat="1"/>
    <row r="42" s="244" customFormat="1"/>
    <row r="43" s="244" customFormat="1"/>
    <row r="44" s="244" customFormat="1"/>
    <row r="45" s="244" customFormat="1"/>
    <row r="46" s="244" customFormat="1"/>
    <row r="47" s="244" customFormat="1"/>
    <row r="48" s="244" customFormat="1"/>
    <row r="49" s="244" customFormat="1"/>
    <row r="50" s="244" customFormat="1"/>
    <row r="51" s="244" customFormat="1"/>
    <row r="52" s="244" customFormat="1"/>
    <row r="53" s="244" customFormat="1"/>
    <row r="54" s="244" customFormat="1"/>
    <row r="55" s="244" customFormat="1"/>
    <row r="56" s="244" customFormat="1"/>
    <row r="57" s="244" customFormat="1"/>
    <row r="58" s="244" customFormat="1"/>
    <row r="59" s="244" customFormat="1"/>
    <row r="60" s="244" customFormat="1"/>
    <row r="61" s="244" customFormat="1"/>
    <row r="62" s="244" customFormat="1"/>
    <row r="63" s="244" customFormat="1"/>
    <row r="64" s="244" customFormat="1"/>
    <row r="65" s="244" customFormat="1"/>
    <row r="66" s="244" customFormat="1"/>
    <row r="67" s="244" customFormat="1"/>
    <row r="68" s="244" customFormat="1"/>
    <row r="69" s="244" customFormat="1"/>
    <row r="70" s="244" customFormat="1"/>
    <row r="71" s="244" customFormat="1"/>
    <row r="72" s="244" customFormat="1"/>
    <row r="73" s="244" customFormat="1"/>
    <row r="74" s="244" customFormat="1"/>
    <row r="75" s="244" customFormat="1"/>
    <row r="76" s="244" customFormat="1"/>
    <row r="77" s="244" customFormat="1"/>
    <row r="78" s="244" customFormat="1"/>
    <row r="79" s="244" customFormat="1"/>
    <row r="80" s="244" customFormat="1"/>
  </sheetData>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E3:R110"/>
  <sheetViews>
    <sheetView topLeftCell="C1" zoomScale="83" zoomScaleNormal="83" workbookViewId="0">
      <selection activeCell="F15" sqref="F15"/>
    </sheetView>
  </sheetViews>
  <sheetFormatPr defaultColWidth="8.90625" defaultRowHeight="15"/>
  <cols>
    <col min="1" max="4" width="8.90625" style="973"/>
    <col min="5" max="5" width="32.6328125" style="973" customWidth="1"/>
    <col min="6" max="6" width="9.36328125" style="973" customWidth="1"/>
    <col min="7" max="16384" width="8.90625" style="973"/>
  </cols>
  <sheetData>
    <row r="3" spans="5:18">
      <c r="F3" s="1286" t="s">
        <v>752</v>
      </c>
    </row>
    <row r="4" spans="5:18">
      <c r="F4" s="1286" t="s">
        <v>753</v>
      </c>
    </row>
    <row r="5" spans="5:18" ht="15.6" thickBot="1"/>
    <row r="6" spans="5:18" ht="15.6" thickBot="1">
      <c r="F6" s="1287" t="s">
        <v>754</v>
      </c>
      <c r="G6" s="1287" t="s">
        <v>755</v>
      </c>
      <c r="H6" s="1287" t="s">
        <v>756</v>
      </c>
      <c r="I6" s="1287" t="s">
        <v>757</v>
      </c>
      <c r="J6" s="1287" t="s">
        <v>758</v>
      </c>
      <c r="K6" s="1287" t="s">
        <v>759</v>
      </c>
      <c r="L6" s="1287" t="s">
        <v>760</v>
      </c>
      <c r="M6" s="1287" t="s">
        <v>761</v>
      </c>
      <c r="N6" s="1287" t="s">
        <v>762</v>
      </c>
      <c r="O6" s="1287" t="s">
        <v>763</v>
      </c>
      <c r="P6" s="1287" t="s">
        <v>764</v>
      </c>
      <c r="Q6" s="1287" t="s">
        <v>765</v>
      </c>
      <c r="R6" s="1287" t="s">
        <v>766</v>
      </c>
    </row>
    <row r="7" spans="5:18" ht="15.6" thickBot="1">
      <c r="F7" s="1291">
        <v>2024</v>
      </c>
      <c r="G7" s="1288">
        <v>129.80000000000001</v>
      </c>
      <c r="H7" s="1288"/>
      <c r="I7" s="1288"/>
      <c r="J7" s="1288"/>
      <c r="K7" s="1288"/>
      <c r="L7" s="1288"/>
      <c r="M7" s="1288"/>
      <c r="N7" s="1288"/>
      <c r="O7" s="1288"/>
      <c r="P7" s="1288"/>
      <c r="Q7" s="1288"/>
      <c r="R7" s="1288"/>
    </row>
    <row r="8" spans="5:18" ht="15.6" thickBot="1">
      <c r="F8" s="1291">
        <v>2023</v>
      </c>
      <c r="G8" s="1288">
        <v>127</v>
      </c>
      <c r="H8" s="1288">
        <v>127.7</v>
      </c>
      <c r="I8" s="1288">
        <v>128</v>
      </c>
      <c r="J8" s="1288">
        <v>128.4</v>
      </c>
      <c r="K8" s="1288">
        <v>128.5</v>
      </c>
      <c r="L8" s="1288">
        <v>128</v>
      </c>
      <c r="M8" s="1288">
        <v>128.6</v>
      </c>
      <c r="N8" s="1288">
        <v>128.5</v>
      </c>
      <c r="O8" s="1288">
        <v>129.19999999999999</v>
      </c>
      <c r="P8" s="1288">
        <v>128.9</v>
      </c>
      <c r="Q8" s="1288">
        <v>128.9</v>
      </c>
      <c r="R8" s="1288">
        <v>129.19999999999999</v>
      </c>
    </row>
    <row r="9" spans="5:18" ht="15.6" thickBot="1">
      <c r="F9" s="1291">
        <v>2022</v>
      </c>
      <c r="G9" s="1288">
        <v>121.6</v>
      </c>
      <c r="H9" s="1288">
        <v>122</v>
      </c>
      <c r="I9" s="1288">
        <v>122.7</v>
      </c>
      <c r="J9" s="1288">
        <v>124.3</v>
      </c>
      <c r="K9" s="1288">
        <v>124.9</v>
      </c>
      <c r="L9" s="1288">
        <v>125.1</v>
      </c>
      <c r="M9" s="1288">
        <v>125.8</v>
      </c>
      <c r="N9" s="1288">
        <v>126.1</v>
      </c>
      <c r="O9" s="1288">
        <v>126.4</v>
      </c>
      <c r="P9" s="1288">
        <v>126.3</v>
      </c>
      <c r="Q9" s="1288">
        <v>126.6</v>
      </c>
      <c r="R9" s="1288">
        <v>126.7</v>
      </c>
    </row>
    <row r="10" spans="5:18" ht="15.6" thickBot="1">
      <c r="F10" s="1289">
        <v>2021</v>
      </c>
      <c r="G10" s="1290">
        <v>115.3</v>
      </c>
      <c r="H10" s="1290">
        <v>115.4</v>
      </c>
      <c r="I10" s="1290">
        <v>116.1</v>
      </c>
      <c r="J10" s="1290">
        <v>116.7</v>
      </c>
      <c r="K10" s="1290">
        <v>117.3</v>
      </c>
      <c r="L10" s="1290">
        <v>118.1</v>
      </c>
      <c r="M10" s="1290">
        <v>119.2</v>
      </c>
      <c r="N10" s="1290">
        <v>119.6</v>
      </c>
      <c r="O10" s="1290">
        <v>120.7</v>
      </c>
      <c r="P10" s="1290">
        <v>120.4</v>
      </c>
      <c r="Q10" s="1290">
        <v>120.7</v>
      </c>
      <c r="R10" s="1290">
        <v>120.8</v>
      </c>
    </row>
    <row r="11" spans="5:18" ht="15.6" thickBot="1">
      <c r="F11" s="1289">
        <v>2020</v>
      </c>
      <c r="G11" s="1290">
        <v>113.2</v>
      </c>
      <c r="H11" s="1290">
        <v>113.2</v>
      </c>
      <c r="I11" s="1290">
        <v>113.3</v>
      </c>
      <c r="J11" s="1290">
        <v>113</v>
      </c>
      <c r="K11" s="1290">
        <v>112.9</v>
      </c>
      <c r="L11" s="1290">
        <v>112.7</v>
      </c>
      <c r="M11" s="1290">
        <v>112.9</v>
      </c>
      <c r="N11" s="1290">
        <v>113.7</v>
      </c>
      <c r="O11" s="1290">
        <v>113.7</v>
      </c>
      <c r="P11" s="1290">
        <v>114.2</v>
      </c>
      <c r="Q11" s="1290">
        <v>113.8</v>
      </c>
      <c r="R11" s="1290">
        <v>114.6</v>
      </c>
    </row>
    <row r="12" spans="5:18" ht="15.6" thickBot="1">
      <c r="F12" s="1289">
        <v>2019</v>
      </c>
      <c r="G12" s="1290">
        <v>111.8</v>
      </c>
      <c r="H12" s="1290">
        <v>111.9</v>
      </c>
      <c r="I12" s="1290">
        <v>112.3</v>
      </c>
      <c r="J12" s="1290">
        <v>112.5</v>
      </c>
      <c r="K12" s="1290">
        <v>112.9</v>
      </c>
      <c r="L12" s="1290">
        <v>113.2</v>
      </c>
      <c r="M12" s="1290">
        <v>113.2</v>
      </c>
      <c r="N12" s="1290">
        <v>113.6</v>
      </c>
      <c r="O12" s="1290">
        <v>113.6</v>
      </c>
      <c r="P12" s="1290">
        <v>112.7</v>
      </c>
      <c r="Q12" s="1290">
        <v>112.8</v>
      </c>
      <c r="R12" s="1290">
        <v>113</v>
      </c>
    </row>
    <row r="13" spans="5:18" ht="15.6" thickBot="1">
      <c r="F13" s="1291">
        <v>2016</v>
      </c>
      <c r="G13" s="1288">
        <v>108.2</v>
      </c>
      <c r="H13" s="1288">
        <v>108.1</v>
      </c>
      <c r="I13" s="1288">
        <v>108.5</v>
      </c>
      <c r="J13" s="1288">
        <v>107.8</v>
      </c>
      <c r="K13" s="1288">
        <v>107.7</v>
      </c>
      <c r="L13" s="1288">
        <v>108</v>
      </c>
      <c r="M13" s="1288">
        <v>107.8</v>
      </c>
      <c r="N13" s="1288">
        <v>107.5</v>
      </c>
      <c r="O13" s="1288">
        <v>107.4</v>
      </c>
      <c r="P13" s="1288">
        <v>107.9</v>
      </c>
      <c r="Q13" s="1288">
        <v>107.5</v>
      </c>
      <c r="R13" s="1288">
        <v>108.3</v>
      </c>
    </row>
    <row r="14" spans="5:18" ht="15.6" thickBot="1">
      <c r="F14" s="1291">
        <v>2013</v>
      </c>
      <c r="G14" s="1288">
        <v>104.3</v>
      </c>
      <c r="H14" s="1288">
        <v>104.6</v>
      </c>
      <c r="I14" s="1288">
        <v>105</v>
      </c>
      <c r="J14" s="1288">
        <v>105.9</v>
      </c>
      <c r="K14" s="1288">
        <v>105.5</v>
      </c>
      <c r="L14" s="1288">
        <v>104.8</v>
      </c>
      <c r="M14" s="1288">
        <v>104.1</v>
      </c>
      <c r="N14" s="1288">
        <v>105.1</v>
      </c>
      <c r="O14" s="1288">
        <v>105.3</v>
      </c>
      <c r="P14" s="1288">
        <v>105.8</v>
      </c>
      <c r="Q14" s="1288">
        <v>106.4</v>
      </c>
      <c r="R14" s="1288">
        <v>106.4</v>
      </c>
    </row>
    <row r="15" spans="5:18">
      <c r="E15" s="1294" t="s">
        <v>1388</v>
      </c>
      <c r="F15" s="1900">
        <f>G7/G9</f>
        <v>1.0674342105263159</v>
      </c>
    </row>
    <row r="16" spans="5:18">
      <c r="F16" s="944"/>
    </row>
    <row r="17" spans="6:18">
      <c r="F17" s="944"/>
    </row>
    <row r="21" spans="6:18">
      <c r="F21" s="1292" t="s">
        <v>752</v>
      </c>
    </row>
    <row r="22" spans="6:18">
      <c r="F22" s="1292" t="s">
        <v>806</v>
      </c>
    </row>
    <row r="23" spans="6:18" ht="15.6" thickBot="1">
      <c r="F23" s="1293"/>
    </row>
    <row r="24" spans="6:18" ht="15.6" thickBot="1">
      <c r="F24" s="1287" t="s">
        <v>754</v>
      </c>
      <c r="G24" s="1287" t="s">
        <v>755</v>
      </c>
      <c r="H24" s="1287" t="s">
        <v>756</v>
      </c>
      <c r="I24" s="1287" t="s">
        <v>757</v>
      </c>
      <c r="J24" s="1287" t="s">
        <v>758</v>
      </c>
      <c r="K24" s="1287" t="s">
        <v>759</v>
      </c>
      <c r="L24" s="1287" t="s">
        <v>760</v>
      </c>
      <c r="M24" s="1287" t="s">
        <v>761</v>
      </c>
      <c r="N24" s="1287" t="s">
        <v>762</v>
      </c>
      <c r="O24" s="1287" t="s">
        <v>763</v>
      </c>
      <c r="P24" s="1287" t="s">
        <v>764</v>
      </c>
      <c r="Q24" s="1287" t="s">
        <v>765</v>
      </c>
      <c r="R24" s="1287" t="s">
        <v>766</v>
      </c>
    </row>
    <row r="25" spans="6:18" ht="15.6" thickBot="1">
      <c r="F25" s="1291">
        <v>2024</v>
      </c>
      <c r="G25" s="1288">
        <v>151.1</v>
      </c>
      <c r="H25" s="1288"/>
      <c r="I25" s="1288"/>
      <c r="J25" s="1288"/>
      <c r="K25" s="1288"/>
      <c r="L25" s="1288"/>
      <c r="M25" s="1288"/>
      <c r="N25" s="1288"/>
      <c r="O25" s="1288"/>
      <c r="P25" s="1288"/>
      <c r="Q25" s="1288"/>
      <c r="R25" s="1288"/>
    </row>
    <row r="26" spans="6:18" ht="15.6" thickBot="1">
      <c r="F26" s="1291">
        <v>2023</v>
      </c>
      <c r="G26" s="1288">
        <v>150.69999999999999</v>
      </c>
      <c r="H26" s="1288">
        <v>150.9</v>
      </c>
      <c r="I26" s="1288">
        <v>151</v>
      </c>
      <c r="J26" s="1288">
        <v>151.1</v>
      </c>
      <c r="K26" s="1288">
        <v>149.4</v>
      </c>
      <c r="L26" s="1288">
        <v>148.9</v>
      </c>
      <c r="M26" s="1288">
        <v>152.1</v>
      </c>
      <c r="N26" s="1288">
        <v>152.5</v>
      </c>
      <c r="O26" s="1288">
        <v>151.80000000000001</v>
      </c>
      <c r="P26" s="1288">
        <v>152.5</v>
      </c>
      <c r="Q26" s="1288">
        <v>152.9</v>
      </c>
      <c r="R26" s="1288">
        <v>151.6</v>
      </c>
    </row>
    <row r="27" spans="6:18" ht="15.6" thickBot="1">
      <c r="F27" s="1291">
        <v>2022</v>
      </c>
      <c r="G27" s="1288">
        <v>143.80000000000001</v>
      </c>
      <c r="H27" s="1288">
        <v>145.30000000000001</v>
      </c>
      <c r="I27" s="1288">
        <v>148.9</v>
      </c>
      <c r="J27" s="1288">
        <v>152.30000000000001</v>
      </c>
      <c r="K27" s="1288">
        <v>155</v>
      </c>
      <c r="L27" s="1288">
        <v>155.4</v>
      </c>
      <c r="M27" s="1288">
        <v>154</v>
      </c>
      <c r="N27" s="1288">
        <v>153.19999999999999</v>
      </c>
      <c r="O27" s="1288">
        <v>151.9</v>
      </c>
      <c r="P27" s="1288">
        <v>152.5</v>
      </c>
      <c r="Q27" s="1288">
        <v>152.1</v>
      </c>
      <c r="R27" s="1288">
        <v>150.4</v>
      </c>
    </row>
    <row r="28" spans="6:18" ht="15.6" thickBot="1">
      <c r="F28" s="1291">
        <v>2021</v>
      </c>
      <c r="G28" s="1288">
        <v>126.5</v>
      </c>
      <c r="H28" s="1288">
        <v>128.1</v>
      </c>
      <c r="I28" s="1288">
        <v>129.9</v>
      </c>
      <c r="J28" s="1288">
        <v>132</v>
      </c>
      <c r="K28" s="1288">
        <v>132.9</v>
      </c>
      <c r="L28" s="1288">
        <v>133.69999999999999</v>
      </c>
      <c r="M28" s="1288">
        <v>135</v>
      </c>
      <c r="N28" s="1288">
        <v>136.19999999999999</v>
      </c>
      <c r="O28" s="1288">
        <v>137.4</v>
      </c>
      <c r="P28" s="1288">
        <v>140.69999999999999</v>
      </c>
      <c r="Q28" s="1288">
        <v>143.69999999999999</v>
      </c>
      <c r="R28" s="1288">
        <v>143.30000000000001</v>
      </c>
    </row>
    <row r="29" spans="6:18" ht="15.6" thickBot="1">
      <c r="F29" s="1289">
        <v>2020</v>
      </c>
      <c r="G29" s="1290">
        <v>123.4</v>
      </c>
      <c r="H29" s="1290">
        <v>122.2</v>
      </c>
      <c r="I29" s="1290">
        <v>120.4</v>
      </c>
      <c r="J29" s="1290">
        <v>119.2</v>
      </c>
      <c r="K29" s="1290">
        <v>117.5</v>
      </c>
      <c r="L29" s="1290">
        <v>119.3</v>
      </c>
      <c r="M29" s="1290">
        <v>121</v>
      </c>
      <c r="N29" s="1290">
        <v>122</v>
      </c>
      <c r="O29" s="1290">
        <v>122.9</v>
      </c>
      <c r="P29" s="1290">
        <v>123.6</v>
      </c>
      <c r="Q29" s="1290">
        <v>125.1</v>
      </c>
      <c r="R29" s="1290">
        <v>125.4</v>
      </c>
    </row>
    <row r="30" spans="6:18" ht="15.6" thickBot="1">
      <c r="F30" s="1289">
        <v>2019</v>
      </c>
      <c r="G30" s="1290">
        <v>119.2</v>
      </c>
      <c r="H30" s="1290">
        <v>119.5</v>
      </c>
      <c r="I30" s="1290">
        <v>119.9</v>
      </c>
      <c r="J30" s="1290">
        <v>121.1</v>
      </c>
      <c r="K30" s="1290">
        <v>121.6</v>
      </c>
      <c r="L30" s="1290">
        <v>121.5</v>
      </c>
      <c r="M30" s="1290">
        <v>121.3</v>
      </c>
      <c r="N30" s="1290">
        <v>121.5</v>
      </c>
      <c r="O30" s="1290">
        <v>121.3</v>
      </c>
      <c r="P30" s="1290">
        <v>122</v>
      </c>
      <c r="Q30" s="1290">
        <v>122.3</v>
      </c>
      <c r="R30" s="1290">
        <v>123</v>
      </c>
    </row>
    <row r="31" spans="6:18" ht="15.6" thickBot="1">
      <c r="F31" s="1291">
        <v>2018</v>
      </c>
      <c r="G31" s="1288">
        <v>116</v>
      </c>
      <c r="H31" s="1288">
        <v>116.1</v>
      </c>
      <c r="I31" s="1288">
        <v>116.3</v>
      </c>
      <c r="J31" s="1288">
        <v>117.3</v>
      </c>
      <c r="K31" s="1288">
        <v>118.3</v>
      </c>
      <c r="L31" s="1288">
        <v>119.1</v>
      </c>
      <c r="M31" s="1288">
        <v>119.9</v>
      </c>
      <c r="N31" s="1288">
        <v>120.1</v>
      </c>
      <c r="O31" s="1288">
        <v>120.9</v>
      </c>
      <c r="P31" s="1288">
        <v>122</v>
      </c>
      <c r="Q31" s="1288">
        <v>121.6</v>
      </c>
      <c r="R31" s="1288">
        <v>119.7</v>
      </c>
    </row>
    <row r="32" spans="6:18" ht="15.6" thickBot="1">
      <c r="F32" s="1291">
        <v>2017</v>
      </c>
      <c r="G32" s="1288">
        <v>112.6</v>
      </c>
      <c r="H32" s="1288">
        <v>113</v>
      </c>
      <c r="I32" s="1288">
        <v>113.2</v>
      </c>
      <c r="J32" s="1288">
        <v>113.2</v>
      </c>
      <c r="K32" s="1288">
        <v>112.9</v>
      </c>
      <c r="L32" s="1288">
        <v>112.7</v>
      </c>
      <c r="M32" s="1288">
        <v>113.9</v>
      </c>
      <c r="N32" s="1288">
        <v>114.8</v>
      </c>
      <c r="O32" s="1288">
        <v>114.9</v>
      </c>
      <c r="P32" s="1288">
        <v>115.6</v>
      </c>
      <c r="Q32" s="1288">
        <v>116.4</v>
      </c>
      <c r="R32" s="1288">
        <v>115.7</v>
      </c>
    </row>
    <row r="33" spans="5:18" ht="15.6" thickBot="1">
      <c r="F33" s="1291">
        <v>2016</v>
      </c>
      <c r="G33" s="1288">
        <v>108</v>
      </c>
      <c r="H33" s="1288">
        <v>107.1</v>
      </c>
      <c r="I33" s="1288">
        <v>107.7</v>
      </c>
      <c r="J33" s="1288">
        <v>109</v>
      </c>
      <c r="K33" s="1288">
        <v>110.4</v>
      </c>
      <c r="L33" s="1288">
        <v>111.7</v>
      </c>
      <c r="M33" s="1288">
        <v>111.8</v>
      </c>
      <c r="N33" s="1288">
        <v>111.2</v>
      </c>
      <c r="O33" s="1288">
        <v>111.4</v>
      </c>
      <c r="P33" s="1288">
        <v>111.5</v>
      </c>
      <c r="Q33" s="1288">
        <v>111.9</v>
      </c>
      <c r="R33" s="1288">
        <v>111.7</v>
      </c>
    </row>
    <row r="34" spans="5:18" ht="15.6" thickBot="1">
      <c r="F34" s="1291">
        <v>2015</v>
      </c>
      <c r="G34" s="1288">
        <v>110.8</v>
      </c>
      <c r="H34" s="1288">
        <v>109.6</v>
      </c>
      <c r="I34" s="1288">
        <v>109.9</v>
      </c>
      <c r="J34" s="1288">
        <v>110.2</v>
      </c>
      <c r="K34" s="1288">
        <v>111.4</v>
      </c>
      <c r="L34" s="1288">
        <v>111.8</v>
      </c>
      <c r="M34" s="1288">
        <v>111.1</v>
      </c>
      <c r="N34" s="1288">
        <v>110</v>
      </c>
      <c r="O34" s="1288">
        <v>109.9</v>
      </c>
      <c r="P34" s="1288">
        <v>110.1</v>
      </c>
      <c r="Q34" s="1288">
        <v>109.9</v>
      </c>
      <c r="R34" s="1288">
        <v>109.4</v>
      </c>
    </row>
    <row r="35" spans="5:18">
      <c r="E35" s="973" t="s">
        <v>1373</v>
      </c>
      <c r="F35" s="973">
        <f>Q27/H33</f>
        <v>1.4201680672268908</v>
      </c>
    </row>
    <row r="36" spans="5:18">
      <c r="E36" s="973" t="s">
        <v>1374</v>
      </c>
      <c r="F36" s="973">
        <f>Q27/I27</f>
        <v>1.0214909335124243</v>
      </c>
    </row>
    <row r="37" spans="5:18">
      <c r="E37" s="973" t="s">
        <v>1375</v>
      </c>
      <c r="F37" s="973">
        <f>I27/N28</f>
        <v>1.0932452276064613</v>
      </c>
    </row>
    <row r="41" spans="5:18">
      <c r="F41" s="1292" t="s">
        <v>752</v>
      </c>
    </row>
    <row r="42" spans="5:18">
      <c r="F42" s="1292" t="s">
        <v>1376</v>
      </c>
    </row>
    <row r="43" spans="5:18" ht="15.6" thickBot="1">
      <c r="F43" s="1293"/>
    </row>
    <row r="44" spans="5:18" ht="15.6" thickBot="1">
      <c r="F44" s="1287" t="s">
        <v>754</v>
      </c>
      <c r="G44" s="1287" t="s">
        <v>755</v>
      </c>
      <c r="H44" s="1287" t="s">
        <v>756</v>
      </c>
      <c r="I44" s="1287" t="s">
        <v>757</v>
      </c>
      <c r="J44" s="1287" t="s">
        <v>758</v>
      </c>
      <c r="K44" s="1287" t="s">
        <v>759</v>
      </c>
      <c r="L44" s="1287" t="s">
        <v>760</v>
      </c>
      <c r="M44" s="1287" t="s">
        <v>761</v>
      </c>
      <c r="N44" s="1287" t="s">
        <v>762</v>
      </c>
      <c r="O44" s="1287" t="s">
        <v>763</v>
      </c>
      <c r="P44" s="1287" t="s">
        <v>764</v>
      </c>
      <c r="Q44" s="1287" t="s">
        <v>765</v>
      </c>
      <c r="R44" s="1287" t="s">
        <v>766</v>
      </c>
    </row>
    <row r="45" spans="5:18" ht="15.6" thickBot="1">
      <c r="F45" s="1291">
        <v>2024</v>
      </c>
      <c r="G45" s="1288">
        <v>144.9</v>
      </c>
      <c r="H45" s="1288"/>
      <c r="I45" s="1288"/>
      <c r="J45" s="1288"/>
      <c r="K45" s="1288"/>
      <c r="L45" s="1288"/>
      <c r="M45" s="1288"/>
      <c r="N45" s="1288"/>
      <c r="O45" s="1288"/>
      <c r="P45" s="1288"/>
      <c r="Q45" s="1288"/>
      <c r="R45" s="1288"/>
    </row>
    <row r="46" spans="5:18" ht="15.6" thickBot="1">
      <c r="F46" s="1291">
        <v>2023</v>
      </c>
      <c r="G46" s="1288">
        <v>140.80000000000001</v>
      </c>
      <c r="H46" s="1288">
        <v>142.19999999999999</v>
      </c>
      <c r="I46" s="1288">
        <v>141</v>
      </c>
      <c r="J46" s="1288">
        <v>143.80000000000001</v>
      </c>
      <c r="K46" s="1288">
        <v>141.4</v>
      </c>
      <c r="L46" s="1288">
        <v>142</v>
      </c>
      <c r="M46" s="1288">
        <v>142.30000000000001</v>
      </c>
      <c r="N46" s="1288">
        <v>143.4</v>
      </c>
      <c r="O46" s="1288">
        <v>144.80000000000001</v>
      </c>
      <c r="P46" s="1288">
        <v>141.1</v>
      </c>
      <c r="Q46" s="1288">
        <v>142.80000000000001</v>
      </c>
      <c r="R46" s="1288">
        <v>141.80000000000001</v>
      </c>
    </row>
    <row r="47" spans="5:18" ht="15.6" thickBot="1">
      <c r="F47" s="1291">
        <v>2022</v>
      </c>
      <c r="G47" s="1288">
        <v>134.5</v>
      </c>
      <c r="H47" s="1288">
        <v>138.30000000000001</v>
      </c>
      <c r="I47" s="1288">
        <v>135.30000000000001</v>
      </c>
      <c r="J47" s="1288">
        <v>137.80000000000001</v>
      </c>
      <c r="K47" s="1288">
        <v>138.19999999999999</v>
      </c>
      <c r="L47" s="1288">
        <v>137.5</v>
      </c>
      <c r="M47" s="1288">
        <v>140.6</v>
      </c>
      <c r="N47" s="1288">
        <v>141.5</v>
      </c>
      <c r="O47" s="1288">
        <v>141</v>
      </c>
      <c r="P47" s="1288">
        <v>145.69999999999999</v>
      </c>
      <c r="Q47" s="1288">
        <v>146.4</v>
      </c>
      <c r="R47" s="1288">
        <v>144.6</v>
      </c>
    </row>
    <row r="48" spans="5:18" ht="15.6" thickBot="1">
      <c r="F48" s="1291">
        <v>2021</v>
      </c>
      <c r="G48" s="1288">
        <v>128.6</v>
      </c>
      <c r="H48" s="1288">
        <v>130.4</v>
      </c>
      <c r="I48" s="1288">
        <v>129.5</v>
      </c>
      <c r="J48" s="1288">
        <v>130.9</v>
      </c>
      <c r="K48" s="1288">
        <v>132.9</v>
      </c>
      <c r="L48" s="1288">
        <v>131</v>
      </c>
      <c r="M48" s="1288">
        <v>132.6</v>
      </c>
      <c r="N48" s="1288">
        <v>131.5</v>
      </c>
      <c r="O48" s="1288">
        <v>126.9</v>
      </c>
      <c r="P48" s="1288">
        <v>128</v>
      </c>
      <c r="Q48" s="1288">
        <v>128.80000000000001</v>
      </c>
      <c r="R48" s="1288">
        <v>133.69999999999999</v>
      </c>
    </row>
    <row r="49" spans="5:18">
      <c r="F49" s="2052"/>
      <c r="G49" s="2053"/>
      <c r="H49" s="2053"/>
      <c r="I49" s="2053"/>
      <c r="J49" s="2053"/>
      <c r="K49" s="2053"/>
      <c r="L49" s="2053"/>
      <c r="M49" s="2053"/>
      <c r="N49" s="2053"/>
      <c r="O49" s="2053"/>
      <c r="P49" s="2053"/>
      <c r="Q49" s="2053"/>
      <c r="R49" s="2053"/>
    </row>
    <row r="50" spans="5:18">
      <c r="E50" s="1298" t="s">
        <v>1377</v>
      </c>
      <c r="F50" s="1016">
        <f>M46/J48</f>
        <v>1.0870893812070284</v>
      </c>
      <c r="G50" s="2053"/>
      <c r="H50" s="2053"/>
      <c r="I50" s="2053"/>
      <c r="J50" s="2053"/>
      <c r="K50" s="2053"/>
      <c r="L50" s="2053"/>
      <c r="M50" s="2053"/>
      <c r="N50" s="2053"/>
      <c r="O50" s="2053"/>
      <c r="P50" s="2053"/>
      <c r="Q50" s="2053"/>
      <c r="R50" s="2053"/>
    </row>
    <row r="51" spans="5:18">
      <c r="E51" s="2054" t="s">
        <v>1378</v>
      </c>
      <c r="F51" s="2055">
        <f>M46/L48</f>
        <v>1.086259541984733</v>
      </c>
      <c r="G51" s="2053"/>
      <c r="H51" s="2053"/>
      <c r="I51" s="2053"/>
      <c r="J51" s="2053"/>
      <c r="K51" s="2053"/>
      <c r="L51" s="2053"/>
      <c r="M51" s="2053"/>
      <c r="N51" s="2053"/>
      <c r="O51" s="2053"/>
      <c r="P51" s="2053"/>
      <c r="Q51" s="2053"/>
      <c r="R51" s="2053"/>
    </row>
    <row r="55" spans="5:18">
      <c r="F55" s="1295" t="s">
        <v>752</v>
      </c>
      <c r="G55" s="2053"/>
      <c r="H55" s="2053"/>
      <c r="I55" s="2053"/>
      <c r="J55" s="2053"/>
      <c r="K55" s="2053"/>
      <c r="L55" s="2053"/>
      <c r="M55" s="2053"/>
      <c r="N55" s="2053"/>
      <c r="O55" s="2053"/>
      <c r="P55" s="2053"/>
      <c r="Q55" s="2053"/>
      <c r="R55" s="2053"/>
    </row>
    <row r="56" spans="5:18">
      <c r="F56" s="1295" t="s">
        <v>1379</v>
      </c>
      <c r="G56" s="2053"/>
      <c r="H56" s="2053"/>
      <c r="I56" s="2053"/>
      <c r="J56" s="2053"/>
      <c r="K56" s="2053"/>
      <c r="L56" s="2053"/>
      <c r="M56" s="2053"/>
      <c r="N56" s="2053"/>
      <c r="O56" s="2053"/>
      <c r="P56" s="2053"/>
      <c r="Q56" s="2053"/>
      <c r="R56" s="2053"/>
    </row>
    <row r="57" spans="5:18">
      <c r="F57" s="1296"/>
    </row>
    <row r="58" spans="5:18" ht="15.6" thickBot="1">
      <c r="F58" s="2056" t="s">
        <v>754</v>
      </c>
      <c r="G58" s="2056" t="s">
        <v>755</v>
      </c>
      <c r="H58" s="2056" t="s">
        <v>756</v>
      </c>
      <c r="I58" s="2056" t="s">
        <v>757</v>
      </c>
      <c r="J58" s="2056" t="s">
        <v>758</v>
      </c>
      <c r="K58" s="2056" t="s">
        <v>759</v>
      </c>
      <c r="L58" s="2056" t="s">
        <v>760</v>
      </c>
      <c r="M58" s="2056" t="s">
        <v>761</v>
      </c>
      <c r="N58" s="2056" t="s">
        <v>762</v>
      </c>
      <c r="O58" s="2056" t="s">
        <v>763</v>
      </c>
      <c r="P58" s="2056" t="s">
        <v>764</v>
      </c>
      <c r="Q58" s="2056" t="s">
        <v>765</v>
      </c>
      <c r="R58" s="2056" t="s">
        <v>766</v>
      </c>
    </row>
    <row r="59" spans="5:18" ht="15.6" thickBot="1">
      <c r="F59" s="2056"/>
      <c r="G59" s="2056"/>
      <c r="H59" s="2056"/>
      <c r="I59" s="2056"/>
      <c r="J59" s="2056"/>
      <c r="K59" s="2056"/>
      <c r="L59" s="2056"/>
      <c r="M59" s="2056"/>
      <c r="N59" s="2056"/>
      <c r="O59" s="2056"/>
      <c r="P59" s="2056"/>
      <c r="Q59" s="2056"/>
      <c r="R59" s="2057"/>
    </row>
    <row r="60" spans="5:18" ht="15.6" thickBot="1">
      <c r="F60" s="2056"/>
      <c r="G60" s="2056"/>
      <c r="H60" s="2056"/>
      <c r="I60" s="2056"/>
      <c r="J60" s="2056"/>
      <c r="K60" s="2056"/>
      <c r="L60" s="2056"/>
      <c r="M60" s="2056"/>
      <c r="N60" s="2056"/>
      <c r="O60" s="2056"/>
      <c r="P60" s="2056"/>
      <c r="Q60" s="2056"/>
      <c r="R60" s="2057"/>
    </row>
    <row r="61" spans="5:18" ht="15.6" thickBot="1">
      <c r="F61" s="1291">
        <v>2022</v>
      </c>
      <c r="G61" s="1288">
        <v>119.1</v>
      </c>
      <c r="H61" s="1288">
        <v>119.9</v>
      </c>
      <c r="I61" s="1288">
        <v>119</v>
      </c>
      <c r="J61" s="1288">
        <v>118.9</v>
      </c>
      <c r="K61" s="1288">
        <v>118.3</v>
      </c>
      <c r="L61" s="1288">
        <v>119</v>
      </c>
      <c r="M61" s="1288">
        <v>118.9</v>
      </c>
      <c r="N61" s="1288">
        <v>120</v>
      </c>
      <c r="O61" s="1288">
        <v>120.2</v>
      </c>
      <c r="P61" s="1288">
        <v>119.1</v>
      </c>
      <c r="Q61" s="2058"/>
    </row>
    <row r="62" spans="5:18" ht="15.6" thickBot="1">
      <c r="F62" s="1289">
        <v>2021</v>
      </c>
      <c r="G62" s="1290">
        <v>110.9</v>
      </c>
      <c r="H62" s="1290">
        <v>111.1</v>
      </c>
      <c r="I62" s="1290">
        <v>113.5</v>
      </c>
      <c r="J62" s="1290">
        <v>111.8</v>
      </c>
      <c r="K62" s="1290">
        <v>113.6</v>
      </c>
      <c r="L62" s="1290">
        <v>113</v>
      </c>
      <c r="M62" s="1290">
        <v>114.2</v>
      </c>
      <c r="N62" s="1290">
        <v>114</v>
      </c>
      <c r="O62" s="1290">
        <v>111.2</v>
      </c>
      <c r="P62" s="1290">
        <v>115.4</v>
      </c>
      <c r="Q62" s="1290">
        <v>116.7</v>
      </c>
      <c r="R62" s="1290">
        <v>119</v>
      </c>
    </row>
    <row r="63" spans="5:18" ht="15.6" thickBot="1">
      <c r="F63" s="1289">
        <v>2020</v>
      </c>
      <c r="G63" s="1290">
        <v>108.6</v>
      </c>
      <c r="H63" s="1290">
        <v>108.6</v>
      </c>
      <c r="I63" s="1290">
        <v>107.8</v>
      </c>
      <c r="J63" s="1290">
        <v>107.3</v>
      </c>
      <c r="K63" s="1290">
        <v>107.3</v>
      </c>
      <c r="L63" s="1290">
        <v>109.1</v>
      </c>
      <c r="M63" s="1290">
        <v>109.1</v>
      </c>
      <c r="N63" s="1290">
        <v>107.7</v>
      </c>
      <c r="O63" s="1290">
        <v>108.5</v>
      </c>
      <c r="P63" s="1290">
        <v>109</v>
      </c>
      <c r="Q63" s="1290">
        <v>110.2</v>
      </c>
      <c r="R63" s="1290">
        <v>109.7</v>
      </c>
    </row>
    <row r="64" spans="5:18" ht="15.6" thickBot="1">
      <c r="F64" s="1289">
        <v>2019</v>
      </c>
      <c r="G64" s="1290">
        <v>112.3</v>
      </c>
      <c r="H64" s="1290">
        <v>111.1</v>
      </c>
      <c r="I64" s="1290">
        <v>110.4</v>
      </c>
      <c r="J64" s="1290">
        <v>108</v>
      </c>
      <c r="K64" s="1290">
        <v>107.7</v>
      </c>
      <c r="L64" s="1290">
        <v>109.4</v>
      </c>
      <c r="M64" s="1290">
        <v>110.5</v>
      </c>
      <c r="N64" s="1290">
        <v>109.7</v>
      </c>
      <c r="O64" s="1290">
        <v>109.6</v>
      </c>
      <c r="P64" s="1290">
        <v>109.3</v>
      </c>
      <c r="Q64" s="1290">
        <v>108.5</v>
      </c>
      <c r="R64" s="1290">
        <v>106.9</v>
      </c>
    </row>
    <row r="66" spans="5:18">
      <c r="E66" s="973" t="s">
        <v>1380</v>
      </c>
      <c r="F66" s="973">
        <f>I61/P62</f>
        <v>1.0311958405545927</v>
      </c>
    </row>
    <row r="67" spans="5:18">
      <c r="E67" s="973" t="s">
        <v>1381</v>
      </c>
      <c r="F67" s="973">
        <f>I61/R62</f>
        <v>1</v>
      </c>
    </row>
    <row r="72" spans="5:18">
      <c r="F72" s="1295" t="s">
        <v>752</v>
      </c>
    </row>
    <row r="73" spans="5:18">
      <c r="F73" s="1295" t="s">
        <v>807</v>
      </c>
    </row>
    <row r="74" spans="5:18" ht="15.6" thickBot="1">
      <c r="F74" s="1296"/>
    </row>
    <row r="75" spans="5:18" ht="15.6" thickBot="1">
      <c r="F75" s="1297" t="s">
        <v>754</v>
      </c>
      <c r="G75" s="1297" t="s">
        <v>755</v>
      </c>
      <c r="H75" s="1297" t="s">
        <v>756</v>
      </c>
      <c r="I75" s="1297" t="s">
        <v>757</v>
      </c>
      <c r="J75" s="1297" t="s">
        <v>758</v>
      </c>
      <c r="K75" s="1297" t="s">
        <v>759</v>
      </c>
      <c r="L75" s="1297" t="s">
        <v>760</v>
      </c>
      <c r="M75" s="1297" t="s">
        <v>761</v>
      </c>
      <c r="N75" s="1297" t="s">
        <v>762</v>
      </c>
      <c r="O75" s="1297" t="s">
        <v>763</v>
      </c>
      <c r="P75" s="1297" t="s">
        <v>764</v>
      </c>
      <c r="Q75" s="1297" t="s">
        <v>765</v>
      </c>
      <c r="R75" s="1297" t="s">
        <v>766</v>
      </c>
    </row>
    <row r="76" spans="5:18" ht="15.6" thickBot="1">
      <c r="F76" s="1297"/>
      <c r="G76" s="1297"/>
      <c r="H76" s="1297"/>
      <c r="I76" s="1297"/>
      <c r="J76" s="1297"/>
      <c r="K76" s="1297"/>
      <c r="L76" s="1297"/>
      <c r="M76" s="1297"/>
      <c r="N76" s="1297"/>
      <c r="O76" s="1297"/>
      <c r="P76" s="1297"/>
      <c r="Q76" s="1297"/>
      <c r="R76" s="1297"/>
    </row>
    <row r="77" spans="5:18" ht="15.6" thickBot="1">
      <c r="F77" s="1291">
        <v>2023</v>
      </c>
      <c r="G77" s="1288">
        <v>144.1</v>
      </c>
      <c r="H77" s="1288">
        <v>150.5</v>
      </c>
      <c r="I77" s="1288">
        <v>151</v>
      </c>
      <c r="J77" s="1288">
        <v>150.4</v>
      </c>
      <c r="K77" s="1288">
        <v>147.69999999999999</v>
      </c>
      <c r="L77" s="1288">
        <v>144.5</v>
      </c>
      <c r="M77" s="1288">
        <v>142.80000000000001</v>
      </c>
      <c r="N77" s="1288">
        <v>141.80000000000001</v>
      </c>
      <c r="O77" s="1288">
        <v>144.69999999999999</v>
      </c>
      <c r="P77" s="1288">
        <v>145.9</v>
      </c>
      <c r="Q77" s="1288">
        <v>143.5</v>
      </c>
      <c r="R77" s="1288"/>
    </row>
    <row r="78" spans="5:18" ht="15.6" thickBot="1">
      <c r="F78" s="1291">
        <v>2022</v>
      </c>
      <c r="G78" s="1288">
        <v>157.1</v>
      </c>
      <c r="H78" s="1288">
        <v>160.30000000000001</v>
      </c>
      <c r="I78" s="1288">
        <v>170.2</v>
      </c>
      <c r="J78" s="1288">
        <v>179.1</v>
      </c>
      <c r="K78" s="1288">
        <v>174.1</v>
      </c>
      <c r="L78" s="1288">
        <v>162.30000000000001</v>
      </c>
      <c r="M78" s="1288">
        <v>156.6</v>
      </c>
      <c r="N78" s="1288">
        <v>153.4</v>
      </c>
      <c r="O78" s="1288">
        <v>149.6</v>
      </c>
      <c r="P78" s="1288">
        <v>148.69999999999999</v>
      </c>
      <c r="Q78" s="1288">
        <v>146.4</v>
      </c>
      <c r="R78" s="1288">
        <v>143.80000000000001</v>
      </c>
    </row>
    <row r="79" spans="5:18" ht="15.6" thickBot="1">
      <c r="F79" s="1289">
        <v>2021</v>
      </c>
      <c r="G79" s="1290">
        <v>136.80000000000001</v>
      </c>
      <c r="H79" s="1290">
        <v>134.4</v>
      </c>
      <c r="I79" s="1290">
        <v>133.5</v>
      </c>
      <c r="J79" s="1290">
        <v>142.80000000000001</v>
      </c>
      <c r="K79" s="1290">
        <v>152.4</v>
      </c>
      <c r="L79" s="1290">
        <v>154.9</v>
      </c>
      <c r="M79" s="1290">
        <v>156.30000000000001</v>
      </c>
      <c r="N79" s="1290">
        <v>156.4</v>
      </c>
      <c r="O79" s="1290">
        <v>156.30000000000001</v>
      </c>
      <c r="P79" s="1290">
        <v>159.69999999999999</v>
      </c>
      <c r="Q79" s="1290">
        <v>163.5</v>
      </c>
      <c r="R79" s="1290">
        <v>160.6</v>
      </c>
    </row>
    <row r="80" spans="5:18" ht="15.6" thickBot="1">
      <c r="F80" s="1289">
        <v>2020</v>
      </c>
      <c r="G80" s="1290">
        <v>106.9</v>
      </c>
      <c r="H80" s="1290">
        <v>109.5</v>
      </c>
      <c r="I80" s="1290">
        <v>108.5</v>
      </c>
      <c r="J80" s="1290">
        <v>105.1</v>
      </c>
      <c r="K80" s="1290">
        <v>107</v>
      </c>
      <c r="L80" s="1290">
        <v>106.5</v>
      </c>
      <c r="M80" s="1290">
        <v>105.4</v>
      </c>
      <c r="N80" s="1290">
        <v>108.8</v>
      </c>
      <c r="O80" s="1290">
        <v>111.6</v>
      </c>
      <c r="P80" s="1290">
        <v>115.6</v>
      </c>
      <c r="Q80" s="1290">
        <v>118.2</v>
      </c>
      <c r="R80" s="1290">
        <v>123.5</v>
      </c>
    </row>
    <row r="81" spans="5:18" ht="15.6" thickBot="1">
      <c r="F81" s="1289">
        <v>2019</v>
      </c>
      <c r="G81" s="1290">
        <v>109.5</v>
      </c>
      <c r="H81" s="1290">
        <v>109.9</v>
      </c>
      <c r="I81" s="1290">
        <v>110.1</v>
      </c>
      <c r="J81" s="1290">
        <v>110.1</v>
      </c>
      <c r="K81" s="1290">
        <v>109.4</v>
      </c>
      <c r="L81" s="1290">
        <v>108.4</v>
      </c>
      <c r="M81" s="1290">
        <v>106.1</v>
      </c>
      <c r="N81" s="1290">
        <v>104.2</v>
      </c>
      <c r="O81" s="1290">
        <v>103.4</v>
      </c>
      <c r="P81" s="1290">
        <v>102.6</v>
      </c>
      <c r="Q81" s="1290">
        <v>101.9</v>
      </c>
      <c r="R81" s="1290">
        <v>102.4</v>
      </c>
    </row>
    <row r="82" spans="5:18" ht="15.6" thickBot="1">
      <c r="F82" s="1291">
        <v>2018</v>
      </c>
      <c r="G82" s="1288">
        <v>111.8</v>
      </c>
      <c r="H82" s="1288">
        <v>115.2</v>
      </c>
      <c r="I82" s="1288">
        <v>117.8</v>
      </c>
      <c r="J82" s="1288">
        <v>119.2</v>
      </c>
      <c r="K82" s="1288">
        <v>120.5</v>
      </c>
      <c r="L82" s="1288">
        <v>120.6</v>
      </c>
      <c r="M82" s="1288">
        <v>120.7</v>
      </c>
      <c r="N82" s="1288">
        <v>119.8</v>
      </c>
      <c r="O82" s="1288">
        <v>122</v>
      </c>
      <c r="P82" s="1288">
        <v>123</v>
      </c>
      <c r="Q82" s="1288">
        <v>122.2</v>
      </c>
      <c r="R82" s="1288">
        <v>119.7</v>
      </c>
    </row>
    <row r="83" spans="5:18" ht="15.6" thickBot="1">
      <c r="F83" s="1291">
        <v>2017</v>
      </c>
      <c r="G83" s="1288">
        <v>92.7</v>
      </c>
      <c r="H83" s="1288">
        <v>91.4</v>
      </c>
      <c r="I83" s="1288">
        <v>97.7</v>
      </c>
      <c r="J83" s="1288">
        <v>99.8</v>
      </c>
      <c r="K83" s="1288">
        <v>97.8</v>
      </c>
      <c r="L83" s="1288">
        <v>97.4</v>
      </c>
      <c r="M83" s="1288">
        <v>98.3</v>
      </c>
      <c r="N83" s="1288">
        <v>99.9</v>
      </c>
      <c r="O83" s="1288">
        <v>104.7</v>
      </c>
      <c r="P83" s="1288">
        <v>104.8</v>
      </c>
      <c r="Q83" s="1288">
        <v>105</v>
      </c>
      <c r="R83" s="1288">
        <v>106.2</v>
      </c>
    </row>
    <row r="84" spans="5:18" ht="15.6" thickBot="1">
      <c r="F84" s="1291">
        <v>2016</v>
      </c>
      <c r="G84" s="1288">
        <v>81.900000000000006</v>
      </c>
      <c r="H84" s="1288">
        <v>82.2</v>
      </c>
      <c r="I84" s="1288">
        <v>86.9</v>
      </c>
      <c r="J84" s="1288">
        <v>87.6</v>
      </c>
      <c r="K84" s="1288">
        <v>89.3</v>
      </c>
      <c r="L84" s="1288">
        <v>87.4</v>
      </c>
      <c r="M84" s="1288">
        <v>85.2</v>
      </c>
      <c r="N84" s="1288">
        <v>83.5</v>
      </c>
      <c r="O84" s="1288">
        <v>85.8</v>
      </c>
      <c r="P84" s="1288">
        <v>89.8</v>
      </c>
      <c r="Q84" s="1288">
        <v>90.8</v>
      </c>
      <c r="R84" s="1288">
        <v>91.6</v>
      </c>
    </row>
    <row r="85" spans="5:18">
      <c r="E85" s="973" t="s">
        <v>1373</v>
      </c>
      <c r="F85" s="973">
        <f>Q78/H84</f>
        <v>1.781021897810219</v>
      </c>
    </row>
    <row r="86" spans="5:18">
      <c r="E86" s="973" t="s">
        <v>1382</v>
      </c>
      <c r="F86" s="973">
        <f>I78/P80</f>
        <v>1.472318339100346</v>
      </c>
    </row>
    <row r="89" spans="5:18">
      <c r="F89" s="1292" t="s">
        <v>752</v>
      </c>
    </row>
    <row r="90" spans="5:18">
      <c r="F90" s="1292" t="s">
        <v>1383</v>
      </c>
    </row>
    <row r="91" spans="5:18" ht="15.6" thickBot="1">
      <c r="F91" s="1293"/>
    </row>
    <row r="92" spans="5:18" ht="21" customHeight="1" thickBot="1">
      <c r="F92" s="1287" t="s">
        <v>754</v>
      </c>
      <c r="G92" s="1287" t="s">
        <v>755</v>
      </c>
      <c r="H92" s="1287" t="s">
        <v>756</v>
      </c>
      <c r="I92" s="1287" t="s">
        <v>757</v>
      </c>
      <c r="J92" s="1287" t="s">
        <v>758</v>
      </c>
      <c r="K92" s="1287" t="s">
        <v>759</v>
      </c>
      <c r="L92" s="1287" t="s">
        <v>760</v>
      </c>
      <c r="M92" s="1287" t="s">
        <v>761</v>
      </c>
      <c r="N92" s="1287" t="s">
        <v>762</v>
      </c>
      <c r="O92" s="1287" t="s">
        <v>763</v>
      </c>
      <c r="P92" s="1287" t="s">
        <v>764</v>
      </c>
      <c r="Q92" s="1287" t="s">
        <v>765</v>
      </c>
      <c r="R92" s="1287" t="s">
        <v>766</v>
      </c>
    </row>
    <row r="93" spans="5:18" ht="21" customHeight="1" thickBot="1">
      <c r="F93" s="1287"/>
      <c r="G93" s="1287"/>
      <c r="H93" s="1287"/>
      <c r="I93" s="1287"/>
      <c r="J93" s="1287"/>
      <c r="K93" s="1287"/>
      <c r="L93" s="1287"/>
      <c r="M93" s="1287"/>
      <c r="N93" s="1287"/>
      <c r="O93" s="1287"/>
      <c r="P93" s="1287"/>
      <c r="Q93" s="1287"/>
      <c r="R93" s="1287"/>
    </row>
    <row r="94" spans="5:18" ht="21" customHeight="1" thickBot="1">
      <c r="F94" s="1291">
        <v>2023</v>
      </c>
      <c r="G94" s="1288">
        <v>140.5</v>
      </c>
      <c r="H94" s="1288">
        <v>138.9</v>
      </c>
      <c r="I94" s="1288">
        <v>140.5</v>
      </c>
      <c r="J94" s="1288">
        <v>138.5</v>
      </c>
      <c r="K94" s="1288">
        <v>139.1</v>
      </c>
      <c r="L94" s="1288">
        <v>139</v>
      </c>
      <c r="M94" s="1288">
        <v>136.19999999999999</v>
      </c>
      <c r="N94" s="1288">
        <v>137.4</v>
      </c>
      <c r="O94" s="1288">
        <v>137.80000000000001</v>
      </c>
      <c r="P94" s="1288">
        <v>137.9</v>
      </c>
      <c r="Q94" s="1288">
        <v>139.30000000000001</v>
      </c>
      <c r="R94" s="1288"/>
    </row>
    <row r="95" spans="5:18" ht="15.6" thickBot="1">
      <c r="F95" s="1291">
        <v>2022</v>
      </c>
      <c r="G95" s="1288">
        <v>132.19999999999999</v>
      </c>
      <c r="H95" s="1288">
        <v>133.19999999999999</v>
      </c>
      <c r="I95" s="1288">
        <v>137.80000000000001</v>
      </c>
      <c r="J95" s="1288">
        <v>140.4</v>
      </c>
      <c r="K95" s="1288">
        <v>141.30000000000001</v>
      </c>
      <c r="L95" s="1288">
        <v>141.19999999999999</v>
      </c>
      <c r="M95" s="1288">
        <v>141</v>
      </c>
      <c r="N95" s="1288">
        <v>141.4</v>
      </c>
      <c r="O95" s="1288">
        <v>139.80000000000001</v>
      </c>
      <c r="P95" s="1288">
        <v>138.9</v>
      </c>
      <c r="Q95" s="1288">
        <v>138.19999999999999</v>
      </c>
      <c r="R95" s="1288">
        <v>137.4</v>
      </c>
    </row>
    <row r="96" spans="5:18" ht="15.6" thickBot="1">
      <c r="F96" s="1291">
        <v>2021</v>
      </c>
      <c r="G96" s="1288">
        <v>134.69999999999999</v>
      </c>
      <c r="H96" s="1288">
        <v>137.5</v>
      </c>
      <c r="I96" s="1288">
        <v>141.4</v>
      </c>
      <c r="J96" s="1288">
        <v>140.4</v>
      </c>
      <c r="K96" s="1288">
        <v>146.4</v>
      </c>
      <c r="L96" s="1288">
        <v>145.4</v>
      </c>
      <c r="M96" s="1288">
        <v>148.5</v>
      </c>
      <c r="N96" s="1288">
        <v>151.6</v>
      </c>
      <c r="O96" s="1288">
        <v>154.30000000000001</v>
      </c>
      <c r="P96" s="1288">
        <v>159.9</v>
      </c>
      <c r="Q96" s="1288">
        <v>160.1</v>
      </c>
      <c r="R96" s="1288">
        <v>161.80000000000001</v>
      </c>
    </row>
    <row r="97" spans="5:18" ht="15.6" thickBot="1">
      <c r="F97" s="1291">
        <v>2020</v>
      </c>
      <c r="G97" s="1288">
        <v>126.9</v>
      </c>
      <c r="H97" s="1288">
        <v>127.4</v>
      </c>
      <c r="I97" s="1288">
        <v>125</v>
      </c>
      <c r="J97" s="1288">
        <v>125.3</v>
      </c>
      <c r="K97" s="1288">
        <v>123.3</v>
      </c>
      <c r="L97" s="1288">
        <v>120.9</v>
      </c>
      <c r="M97" s="1288">
        <v>123.3</v>
      </c>
      <c r="N97" s="1288">
        <v>125.3</v>
      </c>
      <c r="O97" s="1288">
        <v>123.2</v>
      </c>
      <c r="P97" s="1288">
        <v>123.4</v>
      </c>
      <c r="Q97" s="1288">
        <v>126.7</v>
      </c>
      <c r="R97" s="1288">
        <v>129.80000000000001</v>
      </c>
    </row>
    <row r="98" spans="5:18" ht="15.6" thickBot="1">
      <c r="F98" s="1291">
        <v>2019</v>
      </c>
      <c r="G98" s="1288">
        <v>115.1</v>
      </c>
      <c r="H98" s="1288">
        <v>114.4</v>
      </c>
      <c r="I98" s="1288">
        <v>114.3</v>
      </c>
      <c r="J98" s="1288">
        <v>115.3</v>
      </c>
      <c r="K98" s="1288">
        <v>115.4</v>
      </c>
      <c r="L98" s="1288">
        <v>114.6</v>
      </c>
      <c r="M98" s="1288">
        <v>114.6</v>
      </c>
      <c r="N98" s="1288">
        <v>114.3</v>
      </c>
      <c r="O98" s="1288">
        <v>112.3</v>
      </c>
      <c r="P98" s="1288">
        <v>112.8</v>
      </c>
      <c r="Q98" s="1288">
        <v>112.7</v>
      </c>
      <c r="R98" s="1288">
        <v>111.6</v>
      </c>
    </row>
    <row r="99" spans="5:18">
      <c r="E99" s="973" t="s">
        <v>1384</v>
      </c>
      <c r="F99" s="2053">
        <f>P95/O98</f>
        <v>1.2368655387355298</v>
      </c>
      <c r="G99" s="2053"/>
      <c r="H99" s="2053"/>
      <c r="I99" s="2053"/>
      <c r="J99" s="2053"/>
      <c r="K99" s="2053"/>
      <c r="L99" s="2053"/>
      <c r="M99" s="2053"/>
      <c r="N99" s="2053"/>
      <c r="O99" s="2053"/>
      <c r="P99" s="2053"/>
      <c r="Q99" s="2053"/>
      <c r="R99" s="2053"/>
    </row>
    <row r="100" spans="5:18">
      <c r="F100" s="2052"/>
      <c r="G100" s="2053"/>
      <c r="H100" s="2053"/>
      <c r="I100" s="2053"/>
      <c r="J100" s="2053"/>
      <c r="K100" s="2053"/>
      <c r="L100" s="2053"/>
      <c r="M100" s="2053"/>
      <c r="N100" s="2053"/>
      <c r="O100" s="2053"/>
      <c r="P100" s="2053"/>
      <c r="Q100" s="2053"/>
      <c r="R100" s="2053"/>
    </row>
    <row r="101" spans="5:18">
      <c r="F101" s="2052"/>
      <c r="G101" s="2053"/>
      <c r="H101" s="2053"/>
      <c r="I101" s="2053"/>
      <c r="J101" s="2053"/>
      <c r="K101" s="2053"/>
      <c r="L101" s="2053"/>
      <c r="M101" s="2053"/>
      <c r="N101" s="2053"/>
      <c r="O101" s="2053"/>
      <c r="P101" s="2053"/>
      <c r="Q101" s="2053"/>
      <c r="R101" s="2053"/>
    </row>
    <row r="102" spans="5:18">
      <c r="F102" s="1292" t="s">
        <v>752</v>
      </c>
    </row>
    <row r="103" spans="5:18">
      <c r="F103" s="1292" t="s">
        <v>1385</v>
      </c>
    </row>
    <row r="104" spans="5:18" ht="15.6" thickBot="1">
      <c r="F104" s="2059"/>
    </row>
    <row r="105" spans="5:18" ht="15.6" thickBot="1">
      <c r="F105" s="1287" t="s">
        <v>754</v>
      </c>
      <c r="G105" s="1287" t="s">
        <v>755</v>
      </c>
      <c r="H105" s="1287" t="s">
        <v>756</v>
      </c>
      <c r="I105" s="1287" t="s">
        <v>757</v>
      </c>
      <c r="J105" s="1287" t="s">
        <v>758</v>
      </c>
      <c r="K105" s="1287" t="s">
        <v>759</v>
      </c>
      <c r="L105" s="1287" t="s">
        <v>760</v>
      </c>
      <c r="M105" s="1287" t="s">
        <v>761</v>
      </c>
      <c r="N105" s="1287" t="s">
        <v>762</v>
      </c>
      <c r="O105" s="1287" t="s">
        <v>763</v>
      </c>
      <c r="P105" s="1287" t="s">
        <v>764</v>
      </c>
      <c r="Q105" s="1287" t="s">
        <v>765</v>
      </c>
      <c r="R105" s="1287" t="s">
        <v>766</v>
      </c>
    </row>
    <row r="106" spans="5:18" ht="15.6" thickBot="1">
      <c r="F106" s="1287"/>
      <c r="G106" s="1287"/>
      <c r="H106" s="1287"/>
      <c r="I106" s="1287"/>
      <c r="J106" s="1287"/>
      <c r="K106" s="1287"/>
      <c r="L106" s="1287"/>
      <c r="M106" s="1287"/>
      <c r="N106" s="1287"/>
      <c r="O106" s="1287"/>
      <c r="P106" s="1287"/>
      <c r="Q106" s="1287"/>
      <c r="R106" s="1287"/>
    </row>
    <row r="107" spans="5:18" ht="15.6" thickBot="1">
      <c r="F107" s="1291">
        <v>2023</v>
      </c>
      <c r="G107" s="1288">
        <v>137.19999999999999</v>
      </c>
      <c r="H107" s="1288">
        <v>133.4</v>
      </c>
      <c r="I107" s="1288">
        <v>133.4</v>
      </c>
      <c r="J107" s="1288">
        <v>130.80000000000001</v>
      </c>
      <c r="K107" s="1288">
        <v>136.1</v>
      </c>
      <c r="L107" s="1288">
        <v>140.80000000000001</v>
      </c>
      <c r="M107" s="1288">
        <v>136.6</v>
      </c>
      <c r="N107" s="1288">
        <v>136.6</v>
      </c>
      <c r="O107" s="1288">
        <v>138.9</v>
      </c>
      <c r="P107" s="1288"/>
      <c r="Q107" s="1288"/>
      <c r="R107" s="1288"/>
    </row>
    <row r="108" spans="5:18" ht="15.6" thickBot="1">
      <c r="F108" s="1291">
        <v>2022</v>
      </c>
      <c r="G108" s="1288">
        <v>137.6</v>
      </c>
      <c r="H108" s="1288">
        <v>139.4</v>
      </c>
      <c r="I108" s="1288">
        <v>137.80000000000001</v>
      </c>
      <c r="J108" s="1288">
        <v>138.6</v>
      </c>
      <c r="K108" s="1288">
        <v>133.5</v>
      </c>
      <c r="L108" s="973" t="s">
        <v>1386</v>
      </c>
      <c r="M108" s="1288">
        <v>137.30000000000001</v>
      </c>
      <c r="N108" s="1288">
        <v>136.9</v>
      </c>
      <c r="O108" s="1288">
        <v>137.19999999999999</v>
      </c>
      <c r="P108" s="1288">
        <v>139.9</v>
      </c>
      <c r="Q108" s="1288">
        <v>138.9</v>
      </c>
      <c r="R108" s="1288">
        <v>132.4</v>
      </c>
    </row>
    <row r="109" spans="5:18">
      <c r="E109" s="973" t="s">
        <v>1387</v>
      </c>
      <c r="F109" s="2060">
        <f>P108/I108</f>
        <v>1.0152394775036284</v>
      </c>
      <c r="G109" s="2053"/>
      <c r="H109" s="2053"/>
      <c r="I109" s="2053"/>
      <c r="J109" s="2053"/>
      <c r="K109" s="2053"/>
      <c r="L109" s="2053"/>
      <c r="M109" s="2053"/>
      <c r="N109" s="2053"/>
      <c r="O109" s="2053"/>
      <c r="P109" s="2053"/>
      <c r="Q109" s="2053"/>
      <c r="R109" s="2053"/>
    </row>
    <row r="110" spans="5:18">
      <c r="F110" s="2060"/>
      <c r="G110" s="2053"/>
      <c r="H110" s="2053"/>
      <c r="I110" s="2053"/>
      <c r="J110" s="2053"/>
      <c r="K110" s="2053"/>
      <c r="L110" s="2053"/>
      <c r="M110" s="2053"/>
      <c r="N110" s="2053"/>
      <c r="O110" s="2053"/>
      <c r="P110" s="2053"/>
      <c r="Q110" s="2053"/>
      <c r="R110" s="2053"/>
    </row>
  </sheetData>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BD116"/>
  <sheetViews>
    <sheetView topLeftCell="A4" zoomScale="55" zoomScaleNormal="55" workbookViewId="0">
      <selection activeCell="S12" sqref="S12:S18"/>
    </sheetView>
  </sheetViews>
  <sheetFormatPr defaultColWidth="8.90625" defaultRowHeight="14.4"/>
  <cols>
    <col min="1" max="1" width="8.90625" style="1901"/>
    <col min="2" max="2" width="67.36328125" style="1901" customWidth="1"/>
    <col min="3" max="4" width="8.90625" style="1901"/>
    <col min="5" max="5" width="11.08984375" style="1901" customWidth="1"/>
    <col min="6" max="6" width="9.6328125" style="1901" customWidth="1"/>
    <col min="7" max="7" width="8.90625" style="1901"/>
    <col min="8" max="8" width="9.36328125" style="1901" bestFit="1" customWidth="1"/>
    <col min="9" max="11" width="8.90625" style="1901"/>
    <col min="12" max="12" width="13.08984375" style="1901" bestFit="1" customWidth="1"/>
    <col min="13" max="13" width="12.81640625" style="1901" bestFit="1" customWidth="1"/>
    <col min="14" max="16384" width="8.90625" style="1901"/>
  </cols>
  <sheetData>
    <row r="1" spans="1:20" ht="15.6">
      <c r="A1" s="2552" t="s">
        <v>1</v>
      </c>
      <c r="B1" s="2552"/>
      <c r="C1" s="2552"/>
      <c r="D1" s="2552"/>
      <c r="E1" s="2552"/>
      <c r="F1" s="2552"/>
      <c r="G1" s="2552"/>
      <c r="H1" s="2552"/>
      <c r="I1" s="2552"/>
    </row>
    <row r="2" spans="1:20">
      <c r="A2" s="2553" t="s">
        <v>1084</v>
      </c>
      <c r="B2" s="2553"/>
      <c r="C2" s="2553"/>
      <c r="D2" s="2553"/>
      <c r="E2" s="2553"/>
      <c r="F2" s="2553"/>
      <c r="G2" s="2553"/>
      <c r="H2" s="2553"/>
      <c r="I2" s="2553"/>
    </row>
    <row r="3" spans="1:20" ht="17.25" customHeight="1">
      <c r="A3" s="2554" t="s">
        <v>987</v>
      </c>
      <c r="B3" s="2554"/>
      <c r="C3" s="2554"/>
      <c r="D3" s="2554"/>
      <c r="E3" s="2554"/>
      <c r="F3" s="2554"/>
      <c r="G3" s="2554"/>
      <c r="H3" s="2554"/>
      <c r="I3" s="2554"/>
    </row>
    <row r="4" spans="1:20">
      <c r="A4" s="2553" t="s">
        <v>988</v>
      </c>
      <c r="B4" s="2553"/>
      <c r="C4" s="2553"/>
      <c r="D4" s="2553"/>
      <c r="E4" s="2553"/>
      <c r="F4" s="2553"/>
      <c r="G4" s="2553"/>
      <c r="H4" s="2553"/>
      <c r="I4" s="2553"/>
    </row>
    <row r="5" spans="1:20">
      <c r="A5" s="2555" t="s">
        <v>1178</v>
      </c>
      <c r="B5" s="2555"/>
      <c r="C5" s="2555"/>
      <c r="D5" s="2555"/>
      <c r="E5" s="2555"/>
      <c r="F5" s="2555"/>
      <c r="G5" s="2555"/>
      <c r="H5" s="2555"/>
      <c r="I5" s="2555"/>
    </row>
    <row r="6" spans="1:20">
      <c r="A6" s="1902"/>
      <c r="B6" s="1902"/>
      <c r="C6" s="1902"/>
      <c r="D6" s="1902"/>
      <c r="E6" s="1902"/>
      <c r="F6" s="1902"/>
      <c r="G6" s="1902"/>
      <c r="H6" s="1902"/>
      <c r="I6" s="1902"/>
    </row>
    <row r="7" spans="1:20" ht="14.25" customHeight="1">
      <c r="A7" s="1902"/>
      <c r="B7" s="1902"/>
      <c r="C7" s="1902"/>
      <c r="D7" s="1902"/>
      <c r="E7" s="1902"/>
      <c r="F7" s="1902"/>
      <c r="G7" s="1902"/>
      <c r="H7" s="1902"/>
      <c r="I7" s="1902"/>
    </row>
    <row r="8" spans="1:20" ht="106.5" customHeight="1">
      <c r="A8" s="1903" t="s">
        <v>1179</v>
      </c>
      <c r="B8" s="1903" t="s">
        <v>294</v>
      </c>
      <c r="C8" s="1903" t="s">
        <v>198</v>
      </c>
      <c r="D8" s="1903" t="s">
        <v>1180</v>
      </c>
      <c r="E8" s="1903" t="s">
        <v>1299</v>
      </c>
      <c r="F8" s="1904" t="s">
        <v>1335</v>
      </c>
      <c r="G8" s="1651" t="s">
        <v>1297</v>
      </c>
      <c r="H8" s="1651" t="s">
        <v>1292</v>
      </c>
      <c r="I8" s="1651" t="s">
        <v>1317</v>
      </c>
      <c r="J8" s="1651" t="s">
        <v>1293</v>
      </c>
      <c r="K8" s="1651" t="s">
        <v>1294</v>
      </c>
      <c r="L8" s="1651" t="s">
        <v>1295</v>
      </c>
      <c r="M8" s="1651" t="s">
        <v>1296</v>
      </c>
      <c r="O8" s="1903" t="s">
        <v>1299</v>
      </c>
      <c r="P8" s="1903" t="s">
        <v>538</v>
      </c>
      <c r="Q8" s="1903" t="s">
        <v>1291</v>
      </c>
      <c r="R8" s="1903" t="s">
        <v>824</v>
      </c>
      <c r="S8" s="1903" t="s">
        <v>1298</v>
      </c>
      <c r="T8" s="1903" t="s">
        <v>991</v>
      </c>
    </row>
    <row r="9" spans="1:20" ht="19.2">
      <c r="A9" s="1905" t="s">
        <v>197</v>
      </c>
      <c r="B9" s="1905" t="s">
        <v>61</v>
      </c>
      <c r="C9" s="1905" t="s">
        <v>62</v>
      </c>
      <c r="D9" s="1905" t="s">
        <v>63</v>
      </c>
      <c r="E9" s="1905" t="s">
        <v>64</v>
      </c>
      <c r="F9" s="1905"/>
      <c r="G9" s="1905" t="s">
        <v>65</v>
      </c>
      <c r="H9" s="1905" t="s">
        <v>66</v>
      </c>
      <c r="I9" s="1905" t="s">
        <v>1300</v>
      </c>
      <c r="J9" s="1905" t="s">
        <v>298</v>
      </c>
      <c r="K9" s="1905" t="s">
        <v>1301</v>
      </c>
      <c r="L9" s="1905" t="s">
        <v>1302</v>
      </c>
      <c r="M9" s="1905" t="s">
        <v>1303</v>
      </c>
      <c r="N9" s="1905"/>
      <c r="O9" s="1905" t="str">
        <f>E9</f>
        <v>e</v>
      </c>
      <c r="P9" s="1905"/>
      <c r="Q9" s="1905"/>
      <c r="R9" s="1905"/>
      <c r="S9" s="1905" t="str">
        <f>G9</f>
        <v>f</v>
      </c>
      <c r="T9" s="1905"/>
    </row>
    <row r="10" spans="1:20" ht="19.2">
      <c r="A10" s="1905"/>
      <c r="B10" s="1905"/>
      <c r="C10" s="1905"/>
      <c r="D10" s="1905"/>
      <c r="E10" s="1905"/>
      <c r="F10" s="1905"/>
      <c r="G10" s="1905"/>
      <c r="H10" s="1905"/>
      <c r="I10" s="1905"/>
      <c r="J10" s="1905"/>
      <c r="K10" s="1905"/>
      <c r="L10" s="1905"/>
      <c r="M10" s="1905"/>
      <c r="O10" s="1905"/>
      <c r="P10" s="1905"/>
      <c r="Q10" s="1905"/>
      <c r="R10" s="1905"/>
      <c r="S10" s="1905"/>
      <c r="T10" s="1905"/>
    </row>
    <row r="11" spans="1:20" ht="19.8" thickBot="1">
      <c r="A11" s="1905" t="s">
        <v>93</v>
      </c>
      <c r="B11" s="1905" t="s">
        <v>1183</v>
      </c>
      <c r="C11" s="1905"/>
      <c r="D11" s="1905"/>
      <c r="E11" s="1905"/>
      <c r="F11" s="1905"/>
      <c r="G11" s="1906"/>
      <c r="H11" s="1906">
        <v>0.18</v>
      </c>
      <c r="I11" s="1906"/>
      <c r="J11" s="1906"/>
      <c r="O11" s="1905"/>
      <c r="P11" s="1906">
        <v>0.12</v>
      </c>
      <c r="Q11" s="1907">
        <v>0.05</v>
      </c>
      <c r="R11" s="1906">
        <v>0.02</v>
      </c>
    </row>
    <row r="12" spans="1:20" ht="34.5" customHeight="1">
      <c r="A12" s="2550" t="s">
        <v>1184</v>
      </c>
      <c r="B12" s="1908" t="s">
        <v>1185</v>
      </c>
      <c r="C12" s="2550" t="s">
        <v>1039</v>
      </c>
      <c r="D12" s="2550">
        <v>1600</v>
      </c>
      <c r="E12" s="2550">
        <v>24</v>
      </c>
      <c r="F12" s="2557">
        <f>D12*E12/100000</f>
        <v>0.38400000000000001</v>
      </c>
      <c r="G12" s="2550">
        <f>S12</f>
        <v>28.704000000000001</v>
      </c>
      <c r="H12" s="2550">
        <f>G12*$H$11</f>
        <v>5.1667199999999998</v>
      </c>
      <c r="I12" s="2550">
        <f>G12+H12</f>
        <v>33.870719999999999</v>
      </c>
      <c r="J12" s="2550">
        <f>H12</f>
        <v>5.1667199999999998</v>
      </c>
      <c r="K12" s="2550">
        <f>I12-J12</f>
        <v>28.704000000000001</v>
      </c>
      <c r="L12" s="2550">
        <f>I12*D12</f>
        <v>54193.151999999995</v>
      </c>
      <c r="M12" s="2550">
        <f>K12*D12</f>
        <v>45926.400000000001</v>
      </c>
      <c r="O12" s="2550">
        <f>E12</f>
        <v>24</v>
      </c>
      <c r="P12" s="2550">
        <f>O12*$P$11</f>
        <v>2.88</v>
      </c>
      <c r="Q12" s="2550">
        <f>(O12+P12)*$Q$11</f>
        <v>1.3440000000000001</v>
      </c>
      <c r="R12" s="2550">
        <f>O12*$R$11</f>
        <v>0.48</v>
      </c>
      <c r="S12" s="2550">
        <f>SUM(O12:R18)</f>
        <v>28.704000000000001</v>
      </c>
      <c r="T12" s="2550" t="s">
        <v>1019</v>
      </c>
    </row>
    <row r="13" spans="1:20" ht="16.5" customHeight="1">
      <c r="A13" s="2551"/>
      <c r="B13" s="1909"/>
      <c r="C13" s="2551"/>
      <c r="D13" s="2551"/>
      <c r="E13" s="2551"/>
      <c r="F13" s="2558"/>
      <c r="G13" s="2551"/>
      <c r="H13" s="2551"/>
      <c r="I13" s="2551"/>
      <c r="J13" s="2551"/>
      <c r="K13" s="2551"/>
      <c r="L13" s="2551"/>
      <c r="M13" s="2551"/>
      <c r="O13" s="2551"/>
      <c r="P13" s="2551"/>
      <c r="Q13" s="2551"/>
      <c r="R13" s="2551"/>
      <c r="S13" s="2551"/>
      <c r="T13" s="2551"/>
    </row>
    <row r="14" spans="1:20" ht="19.2">
      <c r="A14" s="2551"/>
      <c r="B14" s="1910"/>
      <c r="C14" s="2551"/>
      <c r="D14" s="2551"/>
      <c r="E14" s="2551"/>
      <c r="F14" s="2558"/>
      <c r="G14" s="2551"/>
      <c r="H14" s="2551"/>
      <c r="I14" s="2551"/>
      <c r="J14" s="2551"/>
      <c r="K14" s="2551"/>
      <c r="L14" s="2551"/>
      <c r="M14" s="2551"/>
      <c r="O14" s="2551"/>
      <c r="P14" s="2551"/>
      <c r="Q14" s="2551"/>
      <c r="R14" s="2551"/>
      <c r="S14" s="2551"/>
      <c r="T14" s="2551"/>
    </row>
    <row r="15" spans="1:20" ht="19.2">
      <c r="A15" s="2551"/>
      <c r="B15" s="1910" t="s">
        <v>1186</v>
      </c>
      <c r="C15" s="2551"/>
      <c r="D15" s="2551"/>
      <c r="E15" s="2551"/>
      <c r="F15" s="2558"/>
      <c r="G15" s="2551"/>
      <c r="H15" s="2551"/>
      <c r="I15" s="2551"/>
      <c r="J15" s="2551"/>
      <c r="K15" s="2551"/>
      <c r="L15" s="2551"/>
      <c r="M15" s="2551"/>
      <c r="O15" s="2551"/>
      <c r="P15" s="2551"/>
      <c r="Q15" s="2551"/>
      <c r="R15" s="2551"/>
      <c r="S15" s="2551"/>
      <c r="T15" s="2551"/>
    </row>
    <row r="16" spans="1:20" ht="19.2">
      <c r="A16" s="2551"/>
      <c r="B16" s="1910"/>
      <c r="C16" s="2551"/>
      <c r="D16" s="2551"/>
      <c r="E16" s="2551"/>
      <c r="F16" s="2558"/>
      <c r="G16" s="2551"/>
      <c r="H16" s="2551"/>
      <c r="I16" s="2551"/>
      <c r="J16" s="2551"/>
      <c r="K16" s="2551"/>
      <c r="L16" s="2551"/>
      <c r="M16" s="2551"/>
      <c r="O16" s="2551"/>
      <c r="P16" s="2551"/>
      <c r="Q16" s="2551"/>
      <c r="R16" s="2551"/>
      <c r="S16" s="2551"/>
      <c r="T16" s="2551"/>
    </row>
    <row r="17" spans="1:20" ht="19.2">
      <c r="A17" s="2551"/>
      <c r="B17" s="1911" t="s">
        <v>1187</v>
      </c>
      <c r="C17" s="2551"/>
      <c r="D17" s="2551"/>
      <c r="E17" s="2551"/>
      <c r="F17" s="2558"/>
      <c r="G17" s="2551"/>
      <c r="H17" s="2551"/>
      <c r="I17" s="2551"/>
      <c r="J17" s="2551"/>
      <c r="K17" s="2551"/>
      <c r="L17" s="2551"/>
      <c r="M17" s="2551"/>
      <c r="O17" s="2551"/>
      <c r="P17" s="2551"/>
      <c r="Q17" s="2551"/>
      <c r="R17" s="2551"/>
      <c r="S17" s="2551"/>
      <c r="T17" s="2551"/>
    </row>
    <row r="18" spans="1:20" ht="19.8" thickBot="1">
      <c r="A18" s="2556"/>
      <c r="B18" s="1912" t="s">
        <v>1188</v>
      </c>
      <c r="C18" s="2556"/>
      <c r="D18" s="2556"/>
      <c r="E18" s="2556"/>
      <c r="F18" s="2559"/>
      <c r="G18" s="2551"/>
      <c r="H18" s="2551"/>
      <c r="I18" s="2551"/>
      <c r="J18" s="2551"/>
      <c r="K18" s="2551"/>
      <c r="L18" s="2551"/>
      <c r="M18" s="2551"/>
      <c r="O18" s="2556"/>
      <c r="P18" s="2551"/>
      <c r="Q18" s="2551"/>
      <c r="R18" s="2551"/>
      <c r="S18" s="2551"/>
      <c r="T18" s="2551"/>
    </row>
    <row r="19" spans="1:20" ht="51.75" customHeight="1">
      <c r="A19" s="2550" t="s">
        <v>1189</v>
      </c>
      <c r="B19" s="1910" t="s">
        <v>1190</v>
      </c>
      <c r="C19" s="2550" t="s">
        <v>1039</v>
      </c>
      <c r="D19" s="2550">
        <v>1760</v>
      </c>
      <c r="E19" s="2560">
        <f>((2189*0.75*1.05*1.075)+((4*2*2*702)/1760)+93)*1.05</f>
        <v>2050.1324872159094</v>
      </c>
      <c r="F19" s="2557">
        <f>D19*E19/100000</f>
        <v>36.082331775</v>
      </c>
      <c r="G19" s="2550">
        <f t="shared" ref="G19" si="0">S19</f>
        <v>2451.9584547102277</v>
      </c>
      <c r="H19" s="2550">
        <f t="shared" ref="H19" si="1">G19*$H$11</f>
        <v>441.35252184784099</v>
      </c>
      <c r="I19" s="2550">
        <f t="shared" ref="I19" si="2">G19+H19</f>
        <v>2893.3109765580684</v>
      </c>
      <c r="J19" s="2550">
        <f t="shared" ref="J19" si="3">H19</f>
        <v>441.35252184784099</v>
      </c>
      <c r="K19" s="2550">
        <f t="shared" ref="K19" si="4">I19-J19</f>
        <v>2451.9584547102277</v>
      </c>
      <c r="L19" s="2550">
        <f t="shared" ref="L19" si="5">I19*D19</f>
        <v>5092227.3187422007</v>
      </c>
      <c r="M19" s="2550">
        <f t="shared" ref="M19" si="6">K19*D19</f>
        <v>4315446.8802900007</v>
      </c>
      <c r="O19" s="2550">
        <f t="shared" ref="O19" si="7">E19</f>
        <v>2050.1324872159094</v>
      </c>
      <c r="P19" s="2550">
        <f>O19*$P$11</f>
        <v>246.01589846590912</v>
      </c>
      <c r="Q19" s="2550">
        <f t="shared" ref="Q19" si="8">(O19+P19)*$Q$11</f>
        <v>114.80741928409094</v>
      </c>
      <c r="R19" s="2550">
        <f>O19*$R$11</f>
        <v>41.002649744318191</v>
      </c>
      <c r="S19" s="2550">
        <f>SUM(O19:R25)</f>
        <v>2451.9584547102277</v>
      </c>
      <c r="T19" s="2560" t="s">
        <v>1334</v>
      </c>
    </row>
    <row r="20" spans="1:20" ht="38.4">
      <c r="A20" s="2551"/>
      <c r="B20" s="1910" t="s">
        <v>1191</v>
      </c>
      <c r="C20" s="2551"/>
      <c r="D20" s="2551"/>
      <c r="E20" s="2561"/>
      <c r="F20" s="2558"/>
      <c r="G20" s="2551"/>
      <c r="H20" s="2551"/>
      <c r="I20" s="2551"/>
      <c r="J20" s="2551"/>
      <c r="K20" s="2551"/>
      <c r="L20" s="2551"/>
      <c r="M20" s="2551"/>
      <c r="O20" s="2551"/>
      <c r="P20" s="2551"/>
      <c r="Q20" s="2551"/>
      <c r="R20" s="2551"/>
      <c r="S20" s="2551"/>
      <c r="T20" s="2561"/>
    </row>
    <row r="21" spans="1:20" ht="19.2">
      <c r="A21" s="2551"/>
      <c r="B21" s="1910"/>
      <c r="C21" s="2551"/>
      <c r="D21" s="2551"/>
      <c r="E21" s="2561"/>
      <c r="F21" s="2558"/>
      <c r="G21" s="2551"/>
      <c r="H21" s="2551"/>
      <c r="I21" s="2551"/>
      <c r="J21" s="2551"/>
      <c r="K21" s="2551"/>
      <c r="L21" s="2551"/>
      <c r="M21" s="2551"/>
      <c r="O21" s="2551"/>
      <c r="P21" s="2551"/>
      <c r="Q21" s="2551"/>
      <c r="R21" s="2551"/>
      <c r="S21" s="2551"/>
      <c r="T21" s="2561"/>
    </row>
    <row r="22" spans="1:20" ht="19.2">
      <c r="A22" s="2551"/>
      <c r="B22" s="1910" t="s">
        <v>1192</v>
      </c>
      <c r="C22" s="2551"/>
      <c r="D22" s="2551"/>
      <c r="E22" s="2561"/>
      <c r="F22" s="2558"/>
      <c r="G22" s="2551"/>
      <c r="H22" s="2551"/>
      <c r="I22" s="2551"/>
      <c r="J22" s="2551"/>
      <c r="K22" s="2551"/>
      <c r="L22" s="2551"/>
      <c r="M22" s="2551"/>
      <c r="O22" s="2551"/>
      <c r="P22" s="2551"/>
      <c r="Q22" s="2551"/>
      <c r="R22" s="2551"/>
      <c r="S22" s="2551"/>
      <c r="T22" s="2561"/>
    </row>
    <row r="23" spans="1:20" ht="19.2">
      <c r="A23" s="2551"/>
      <c r="B23" s="1910"/>
      <c r="C23" s="2551"/>
      <c r="D23" s="2551"/>
      <c r="E23" s="2561"/>
      <c r="F23" s="2558"/>
      <c r="G23" s="2551"/>
      <c r="H23" s="2551"/>
      <c r="I23" s="2551"/>
      <c r="J23" s="2551"/>
      <c r="K23" s="2551"/>
      <c r="L23" s="2551"/>
      <c r="M23" s="2551"/>
      <c r="O23" s="2551"/>
      <c r="P23" s="2551"/>
      <c r="Q23" s="2551"/>
      <c r="R23" s="2551"/>
      <c r="S23" s="2551"/>
      <c r="T23" s="2561"/>
    </row>
    <row r="24" spans="1:20" ht="19.2">
      <c r="A24" s="2551"/>
      <c r="B24" s="1911" t="s">
        <v>1187</v>
      </c>
      <c r="C24" s="2551"/>
      <c r="D24" s="2551"/>
      <c r="E24" s="2561"/>
      <c r="F24" s="2558"/>
      <c r="G24" s="2551"/>
      <c r="H24" s="2551"/>
      <c r="I24" s="2551"/>
      <c r="J24" s="2551"/>
      <c r="K24" s="2551"/>
      <c r="L24" s="2551"/>
      <c r="M24" s="2551"/>
      <c r="O24" s="2551"/>
      <c r="P24" s="2551"/>
      <c r="Q24" s="2551"/>
      <c r="R24" s="2551"/>
      <c r="S24" s="2551"/>
      <c r="T24" s="2561"/>
    </row>
    <row r="25" spans="1:20" ht="19.8" thickBot="1">
      <c r="A25" s="2551"/>
      <c r="B25" s="1910" t="s">
        <v>1193</v>
      </c>
      <c r="C25" s="2551"/>
      <c r="D25" s="2551"/>
      <c r="E25" s="2561"/>
      <c r="F25" s="2558"/>
      <c r="G25" s="2551"/>
      <c r="H25" s="2551"/>
      <c r="I25" s="2551"/>
      <c r="J25" s="2551"/>
      <c r="K25" s="2551"/>
      <c r="L25" s="2551"/>
      <c r="M25" s="2551"/>
      <c r="O25" s="2556"/>
      <c r="P25" s="2551"/>
      <c r="Q25" s="2551"/>
      <c r="R25" s="2551"/>
      <c r="S25" s="2551"/>
      <c r="T25" s="2561"/>
    </row>
    <row r="26" spans="1:20" ht="51.75" customHeight="1">
      <c r="A26" s="2562" t="s">
        <v>1194</v>
      </c>
      <c r="B26" s="1913" t="s">
        <v>1195</v>
      </c>
      <c r="C26" s="2562" t="s">
        <v>1039</v>
      </c>
      <c r="D26" s="2562">
        <v>440</v>
      </c>
      <c r="E26" s="2564">
        <f>531*1.4</f>
        <v>743.4</v>
      </c>
      <c r="F26" s="2566">
        <f>D26*E26/100000</f>
        <v>3.2709600000000001</v>
      </c>
      <c r="G26" s="2550">
        <f t="shared" ref="G26" si="9">S26</f>
        <v>889.10640000000001</v>
      </c>
      <c r="H26" s="2550">
        <f t="shared" ref="H26" si="10">G26*$H$11</f>
        <v>160.039152</v>
      </c>
      <c r="I26" s="2550">
        <f>G26+H26</f>
        <v>1049.145552</v>
      </c>
      <c r="J26" s="2550">
        <f t="shared" ref="J26" si="11">H26</f>
        <v>160.039152</v>
      </c>
      <c r="K26" s="2550">
        <f t="shared" ref="K26" si="12">I26-J26</f>
        <v>889.10639999999989</v>
      </c>
      <c r="L26" s="2550">
        <f t="shared" ref="L26" si="13">I26*D26</f>
        <v>461624.04287999996</v>
      </c>
      <c r="M26" s="2550">
        <f t="shared" ref="M26" si="14">K26*D26</f>
        <v>391206.81599999993</v>
      </c>
      <c r="O26" s="2550">
        <f t="shared" ref="O26" si="15">E26</f>
        <v>743.4</v>
      </c>
      <c r="P26" s="2550">
        <f>O26*$P$11</f>
        <v>89.207999999999998</v>
      </c>
      <c r="Q26" s="2550">
        <f t="shared" ref="Q26" si="16">(O26+P26)*$Q$11</f>
        <v>41.630400000000002</v>
      </c>
      <c r="R26" s="2550">
        <f>O26*$R$11</f>
        <v>14.868</v>
      </c>
      <c r="S26" s="2550">
        <f>SUM(O26:R32)</f>
        <v>889.10640000000001</v>
      </c>
      <c r="T26" s="2550" t="s">
        <v>1043</v>
      </c>
    </row>
    <row r="27" spans="1:20" ht="19.2">
      <c r="A27" s="2562"/>
      <c r="B27" s="1913"/>
      <c r="C27" s="2562"/>
      <c r="D27" s="2562"/>
      <c r="E27" s="2564"/>
      <c r="F27" s="2566"/>
      <c r="G27" s="2551"/>
      <c r="H27" s="2551"/>
      <c r="I27" s="2551"/>
      <c r="J27" s="2551"/>
      <c r="K27" s="2551"/>
      <c r="L27" s="2551"/>
      <c r="M27" s="2551"/>
      <c r="O27" s="2551"/>
      <c r="P27" s="2551"/>
      <c r="Q27" s="2551"/>
      <c r="R27" s="2551"/>
      <c r="S27" s="2551"/>
      <c r="T27" s="2551"/>
    </row>
    <row r="28" spans="1:20" ht="19.2">
      <c r="A28" s="2562"/>
      <c r="B28" s="1913" t="s">
        <v>1196</v>
      </c>
      <c r="C28" s="2562"/>
      <c r="D28" s="2562"/>
      <c r="E28" s="2564"/>
      <c r="F28" s="2566"/>
      <c r="G28" s="2551"/>
      <c r="H28" s="2551"/>
      <c r="I28" s="2551"/>
      <c r="J28" s="2551"/>
      <c r="K28" s="2551"/>
      <c r="L28" s="2551"/>
      <c r="M28" s="2551"/>
      <c r="O28" s="2551"/>
      <c r="P28" s="2551"/>
      <c r="Q28" s="2551"/>
      <c r="R28" s="2551"/>
      <c r="S28" s="2551"/>
      <c r="T28" s="2551"/>
    </row>
    <row r="29" spans="1:20" ht="19.2">
      <c r="A29" s="2562"/>
      <c r="B29" s="1913"/>
      <c r="C29" s="2562"/>
      <c r="D29" s="2562"/>
      <c r="E29" s="2564"/>
      <c r="F29" s="2566"/>
      <c r="G29" s="2551"/>
      <c r="H29" s="2551"/>
      <c r="I29" s="2551"/>
      <c r="J29" s="2551"/>
      <c r="K29" s="2551"/>
      <c r="L29" s="2551"/>
      <c r="M29" s="2551"/>
      <c r="O29" s="2551"/>
      <c r="P29" s="2551"/>
      <c r="Q29" s="2551"/>
      <c r="R29" s="2551"/>
      <c r="S29" s="2551"/>
      <c r="T29" s="2551"/>
    </row>
    <row r="30" spans="1:20" ht="19.2">
      <c r="A30" s="2562"/>
      <c r="B30" s="1914" t="s">
        <v>1187</v>
      </c>
      <c r="C30" s="2562"/>
      <c r="D30" s="2562"/>
      <c r="E30" s="2564"/>
      <c r="F30" s="2566"/>
      <c r="G30" s="2551"/>
      <c r="H30" s="2551"/>
      <c r="I30" s="2551"/>
      <c r="J30" s="2551"/>
      <c r="K30" s="2551"/>
      <c r="L30" s="2551"/>
      <c r="M30" s="2551"/>
      <c r="O30" s="2551"/>
      <c r="P30" s="2551"/>
      <c r="Q30" s="2551"/>
      <c r="R30" s="2551"/>
      <c r="S30" s="2551"/>
      <c r="T30" s="2551"/>
    </row>
    <row r="31" spans="1:20" ht="19.2">
      <c r="A31" s="2562"/>
      <c r="B31" s="1913" t="s">
        <v>1197</v>
      </c>
      <c r="C31" s="2562"/>
      <c r="D31" s="2562"/>
      <c r="E31" s="2564"/>
      <c r="F31" s="2566"/>
      <c r="G31" s="2551"/>
      <c r="H31" s="2551"/>
      <c r="I31" s="2551"/>
      <c r="J31" s="2551"/>
      <c r="K31" s="2551"/>
      <c r="L31" s="2551"/>
      <c r="M31" s="2551"/>
      <c r="O31" s="2551"/>
      <c r="P31" s="2551"/>
      <c r="Q31" s="2551"/>
      <c r="R31" s="2551"/>
      <c r="S31" s="2551"/>
      <c r="T31" s="2551"/>
    </row>
    <row r="32" spans="1:20" ht="19.8" thickBot="1">
      <c r="A32" s="2563"/>
      <c r="B32" s="1915"/>
      <c r="C32" s="2563"/>
      <c r="D32" s="2563"/>
      <c r="E32" s="2565"/>
      <c r="F32" s="2567"/>
      <c r="G32" s="2551"/>
      <c r="H32" s="2551"/>
      <c r="I32" s="2556"/>
      <c r="J32" s="2556"/>
      <c r="K32" s="2556"/>
      <c r="L32" s="2556"/>
      <c r="M32" s="2556"/>
      <c r="O32" s="2556"/>
      <c r="P32" s="2556"/>
      <c r="Q32" s="2556"/>
      <c r="R32" s="2556"/>
      <c r="S32" s="2556"/>
      <c r="T32" s="2556"/>
    </row>
    <row r="33" spans="1:56" s="1922" customFormat="1" ht="19.8" thickBot="1">
      <c r="A33" s="1916" t="s">
        <v>1198</v>
      </c>
      <c r="B33" s="1917" t="s">
        <v>1199</v>
      </c>
      <c r="C33" s="1918" t="s">
        <v>1200</v>
      </c>
      <c r="D33" s="1918">
        <v>1</v>
      </c>
      <c r="E33" s="1918"/>
      <c r="F33" s="1919">
        <f>SUM(F12:F32)</f>
        <v>39.737291775000003</v>
      </c>
      <c r="G33" s="1920"/>
      <c r="H33" s="1921"/>
      <c r="O33" s="1923"/>
      <c r="P33" s="1924"/>
      <c r="Q33" s="1921"/>
    </row>
    <row r="34" spans="1:56" ht="19.8" thickBot="1">
      <c r="A34" s="1925" t="s">
        <v>94</v>
      </c>
      <c r="B34" s="1925" t="s">
        <v>993</v>
      </c>
      <c r="C34" s="1926"/>
      <c r="D34" s="1926"/>
      <c r="E34" s="1926"/>
      <c r="F34" s="1926"/>
      <c r="O34" s="1927"/>
      <c r="P34" s="1928"/>
      <c r="V34" s="1922"/>
      <c r="W34" s="1922"/>
      <c r="X34" s="1922"/>
      <c r="Y34" s="1922"/>
      <c r="Z34" s="1922"/>
      <c r="AA34" s="1922"/>
      <c r="AB34" s="1922"/>
      <c r="AC34" s="1922"/>
      <c r="AD34" s="1922"/>
      <c r="AE34" s="1922"/>
      <c r="AF34" s="1922"/>
      <c r="AG34" s="1922"/>
      <c r="AH34" s="1922"/>
      <c r="AI34" s="1922"/>
      <c r="AJ34" s="1922"/>
      <c r="AK34" s="1922"/>
      <c r="AL34" s="1922"/>
      <c r="AM34" s="1922"/>
      <c r="AN34" s="1922"/>
      <c r="AO34" s="1922"/>
      <c r="AP34" s="1922"/>
      <c r="AQ34" s="1922"/>
      <c r="AR34" s="1922"/>
      <c r="AS34" s="1922"/>
      <c r="AT34" s="1922"/>
      <c r="AU34" s="1922"/>
      <c r="AV34" s="1922"/>
      <c r="AW34" s="1922"/>
      <c r="AX34" s="1922"/>
      <c r="AY34" s="1922"/>
      <c r="AZ34" s="1922"/>
    </row>
    <row r="35" spans="1:56" ht="38.4">
      <c r="A35" s="2562" t="s">
        <v>1201</v>
      </c>
      <c r="B35" s="1913" t="s">
        <v>1202</v>
      </c>
      <c r="C35" s="2562" t="s">
        <v>1039</v>
      </c>
      <c r="D35" s="2562">
        <v>40</v>
      </c>
      <c r="E35" s="2562">
        <v>206</v>
      </c>
      <c r="F35" s="2566">
        <f>D35*E35/100000</f>
        <v>8.2400000000000001E-2</v>
      </c>
      <c r="G35" s="2572">
        <f t="shared" ref="G35" si="17">S35</f>
        <v>246.376</v>
      </c>
      <c r="H35" s="2575">
        <f t="shared" ref="H35" si="18">G35*$H$11</f>
        <v>44.347679999999997</v>
      </c>
      <c r="I35" s="2578">
        <f>G35+H35</f>
        <v>290.72368</v>
      </c>
      <c r="J35" s="2550">
        <f t="shared" ref="J35" si="19">H35</f>
        <v>44.347679999999997</v>
      </c>
      <c r="K35" s="2550">
        <f t="shared" ref="K35" si="20">I35-J35</f>
        <v>246.376</v>
      </c>
      <c r="L35" s="2550">
        <f t="shared" ref="L35" si="21">I35*D35</f>
        <v>11628.947200000001</v>
      </c>
      <c r="M35" s="2550">
        <f t="shared" ref="M35" si="22">K35*D35</f>
        <v>9855.0400000000009</v>
      </c>
      <c r="O35" s="2550">
        <f t="shared" ref="O35" si="23">E35</f>
        <v>206</v>
      </c>
      <c r="P35" s="2550">
        <f>O35*$P$11</f>
        <v>24.72</v>
      </c>
      <c r="Q35" s="2550">
        <f t="shared" ref="Q35" si="24">(O35+P35)*$Q$11</f>
        <v>11.536000000000001</v>
      </c>
      <c r="R35" s="2550">
        <f>O35*$R$11</f>
        <v>4.12</v>
      </c>
      <c r="S35" s="2550">
        <f>SUM(O35:R41)</f>
        <v>246.376</v>
      </c>
      <c r="T35" s="2550" t="s">
        <v>1203</v>
      </c>
      <c r="V35" s="1922"/>
      <c r="W35" s="1922"/>
      <c r="X35" s="1922"/>
      <c r="Y35" s="1922"/>
      <c r="Z35" s="1922"/>
      <c r="AA35" s="1922"/>
      <c r="AB35" s="1922"/>
      <c r="AC35" s="1922"/>
      <c r="AD35" s="1922"/>
      <c r="AE35" s="1922"/>
      <c r="AF35" s="1922"/>
      <c r="AG35" s="1922"/>
      <c r="AH35" s="1922"/>
      <c r="AI35" s="1922"/>
      <c r="AJ35" s="1922"/>
      <c r="AK35" s="1922"/>
      <c r="AL35" s="1922"/>
      <c r="AM35" s="1922"/>
      <c r="AN35" s="1922"/>
      <c r="AO35" s="1922"/>
      <c r="AP35" s="1922"/>
      <c r="AQ35" s="1922"/>
      <c r="AR35" s="1922"/>
      <c r="AS35" s="1922"/>
      <c r="AT35" s="1922"/>
      <c r="AU35" s="1922"/>
      <c r="AV35" s="1922"/>
      <c r="AW35" s="1922"/>
      <c r="AX35" s="1922"/>
      <c r="AY35" s="1922"/>
      <c r="AZ35" s="1922"/>
    </row>
    <row r="36" spans="1:56" ht="19.2">
      <c r="A36" s="2562"/>
      <c r="B36" s="1913"/>
      <c r="C36" s="2562"/>
      <c r="D36" s="2562"/>
      <c r="E36" s="2562"/>
      <c r="F36" s="2566"/>
      <c r="G36" s="2573"/>
      <c r="H36" s="2576"/>
      <c r="I36" s="2579"/>
      <c r="J36" s="2551"/>
      <c r="K36" s="2551"/>
      <c r="L36" s="2551"/>
      <c r="M36" s="2551"/>
      <c r="O36" s="2551"/>
      <c r="P36" s="2551"/>
      <c r="Q36" s="2551"/>
      <c r="R36" s="2551"/>
      <c r="S36" s="2551"/>
      <c r="T36" s="2551"/>
      <c r="V36" s="1922"/>
      <c r="W36" s="1922"/>
      <c r="X36" s="1922"/>
      <c r="Y36" s="1922"/>
      <c r="Z36" s="1922"/>
      <c r="AA36" s="1922"/>
      <c r="AB36" s="1922"/>
      <c r="AC36" s="1922"/>
      <c r="AD36" s="1922"/>
      <c r="AE36" s="1922"/>
      <c r="AF36" s="1922"/>
      <c r="AG36" s="1922"/>
      <c r="AH36" s="1922"/>
      <c r="AI36" s="1922"/>
      <c r="AJ36" s="1922"/>
      <c r="AK36" s="1922"/>
      <c r="AL36" s="1922"/>
      <c r="AM36" s="1922"/>
      <c r="AN36" s="1922"/>
      <c r="AO36" s="1922"/>
      <c r="AP36" s="1922"/>
      <c r="AQ36" s="1922"/>
      <c r="AR36" s="1922"/>
      <c r="AS36" s="1922"/>
      <c r="AT36" s="1922"/>
      <c r="AU36" s="1922"/>
      <c r="AV36" s="1922"/>
      <c r="AW36" s="1922"/>
      <c r="AX36" s="1922"/>
      <c r="AY36" s="1922"/>
      <c r="AZ36" s="1922"/>
    </row>
    <row r="37" spans="1:56" ht="19.2">
      <c r="A37" s="2562"/>
      <c r="B37" s="1913"/>
      <c r="C37" s="2562"/>
      <c r="D37" s="2562"/>
      <c r="E37" s="2562"/>
      <c r="F37" s="2566"/>
      <c r="G37" s="2573"/>
      <c r="H37" s="2576"/>
      <c r="I37" s="2579"/>
      <c r="J37" s="2551"/>
      <c r="K37" s="2551"/>
      <c r="L37" s="2551"/>
      <c r="M37" s="2551"/>
      <c r="O37" s="2551"/>
      <c r="P37" s="2551"/>
      <c r="Q37" s="2551"/>
      <c r="R37" s="2551"/>
      <c r="S37" s="2551"/>
      <c r="T37" s="2551"/>
      <c r="V37" s="1922"/>
      <c r="W37" s="1922"/>
      <c r="X37" s="1922"/>
      <c r="Y37" s="1922"/>
      <c r="Z37" s="1922"/>
      <c r="AA37" s="1922"/>
      <c r="AB37" s="1922"/>
      <c r="AC37" s="1922"/>
      <c r="AD37" s="1922"/>
      <c r="AE37" s="1922"/>
      <c r="AF37" s="1922"/>
      <c r="AG37" s="1922"/>
      <c r="AH37" s="1922"/>
      <c r="AI37" s="1922"/>
      <c r="AJ37" s="1922"/>
      <c r="AK37" s="1922"/>
      <c r="AL37" s="1922"/>
      <c r="AM37" s="1922"/>
      <c r="AN37" s="1922"/>
      <c r="AO37" s="1922"/>
      <c r="AP37" s="1922"/>
      <c r="AQ37" s="1922"/>
      <c r="AR37" s="1922"/>
      <c r="AS37" s="1922"/>
      <c r="AT37" s="1922"/>
      <c r="AU37" s="1922"/>
      <c r="AV37" s="1922"/>
      <c r="AW37" s="1922"/>
      <c r="AX37" s="1922"/>
      <c r="AY37" s="1922"/>
      <c r="AZ37" s="1922"/>
    </row>
    <row r="38" spans="1:56" ht="19.2">
      <c r="A38" s="2562"/>
      <c r="B38" s="1913"/>
      <c r="C38" s="2562"/>
      <c r="D38" s="2562"/>
      <c r="E38" s="2562"/>
      <c r="F38" s="2566"/>
      <c r="G38" s="2573"/>
      <c r="H38" s="2576"/>
      <c r="I38" s="2579"/>
      <c r="J38" s="2551"/>
      <c r="K38" s="2551"/>
      <c r="L38" s="2551"/>
      <c r="M38" s="2551"/>
      <c r="O38" s="2551"/>
      <c r="P38" s="2551"/>
      <c r="Q38" s="2551"/>
      <c r="R38" s="2551"/>
      <c r="S38" s="2551"/>
      <c r="T38" s="2551"/>
      <c r="V38" s="1922"/>
      <c r="W38" s="1922"/>
      <c r="X38" s="1922"/>
      <c r="Y38" s="1922"/>
      <c r="Z38" s="1922"/>
      <c r="AA38" s="1922"/>
      <c r="AB38" s="1922"/>
      <c r="AC38" s="1922"/>
      <c r="AD38" s="1922"/>
      <c r="AE38" s="1922"/>
      <c r="AF38" s="1922"/>
      <c r="AG38" s="1922"/>
      <c r="AH38" s="1922"/>
      <c r="AI38" s="1922"/>
      <c r="AJ38" s="1922"/>
      <c r="AK38" s="1922"/>
      <c r="AL38" s="1922"/>
      <c r="AM38" s="1922"/>
      <c r="AN38" s="1922"/>
      <c r="AO38" s="1922"/>
      <c r="AP38" s="1922"/>
      <c r="AQ38" s="1922"/>
      <c r="AR38" s="1922"/>
      <c r="AS38" s="1922"/>
      <c r="AT38" s="1922"/>
      <c r="AU38" s="1922"/>
      <c r="AV38" s="1922"/>
      <c r="AW38" s="1922"/>
      <c r="AX38" s="1922"/>
      <c r="AY38" s="1922"/>
      <c r="AZ38" s="1922"/>
    </row>
    <row r="39" spans="1:56" ht="19.2">
      <c r="A39" s="2562"/>
      <c r="B39" s="1913"/>
      <c r="C39" s="2562"/>
      <c r="D39" s="2562"/>
      <c r="E39" s="2562"/>
      <c r="F39" s="2566"/>
      <c r="G39" s="2573"/>
      <c r="H39" s="2576"/>
      <c r="I39" s="2579"/>
      <c r="J39" s="2551"/>
      <c r="K39" s="2551"/>
      <c r="L39" s="2551"/>
      <c r="M39" s="2551"/>
      <c r="O39" s="2551"/>
      <c r="P39" s="2551"/>
      <c r="Q39" s="2551"/>
      <c r="R39" s="2551"/>
      <c r="S39" s="2551"/>
      <c r="T39" s="2551"/>
      <c r="V39" s="1922"/>
      <c r="W39" s="1922"/>
      <c r="X39" s="1922"/>
      <c r="Y39" s="1922"/>
      <c r="Z39" s="1922"/>
      <c r="AA39" s="1922"/>
      <c r="AB39" s="1922"/>
      <c r="AC39" s="1922"/>
      <c r="AD39" s="1922"/>
      <c r="AE39" s="1922"/>
      <c r="AF39" s="1922"/>
      <c r="AG39" s="1922"/>
      <c r="AH39" s="1922"/>
      <c r="AI39" s="1922"/>
      <c r="AJ39" s="1922"/>
      <c r="AK39" s="1922"/>
      <c r="AL39" s="1922"/>
      <c r="AM39" s="1922"/>
      <c r="AN39" s="1922"/>
      <c r="AO39" s="1922"/>
      <c r="AP39" s="1922"/>
      <c r="AQ39" s="1922"/>
      <c r="AR39" s="1922"/>
      <c r="AS39" s="1922"/>
      <c r="AT39" s="1922"/>
      <c r="AU39" s="1922"/>
      <c r="AV39" s="1922"/>
      <c r="AW39" s="1922"/>
      <c r="AX39" s="1922"/>
      <c r="AY39" s="1922"/>
      <c r="AZ39" s="1922"/>
    </row>
    <row r="40" spans="1:56" ht="19.2">
      <c r="A40" s="2562"/>
      <c r="B40" s="1913"/>
      <c r="C40" s="2562"/>
      <c r="D40" s="2562"/>
      <c r="E40" s="2562"/>
      <c r="F40" s="2566"/>
      <c r="G40" s="2573"/>
      <c r="H40" s="2576"/>
      <c r="I40" s="2579"/>
      <c r="J40" s="2551"/>
      <c r="K40" s="2551"/>
      <c r="L40" s="2551"/>
      <c r="M40" s="2551"/>
      <c r="N40" s="1922"/>
      <c r="O40" s="2551"/>
      <c r="P40" s="2551"/>
      <c r="Q40" s="2551"/>
      <c r="R40" s="2551"/>
      <c r="S40" s="2551"/>
      <c r="T40" s="2551"/>
      <c r="U40" s="1922"/>
      <c r="V40" s="1922"/>
      <c r="W40" s="1922"/>
      <c r="X40" s="1922"/>
      <c r="Y40" s="1922"/>
      <c r="Z40" s="1922"/>
      <c r="AA40" s="1922"/>
      <c r="AB40" s="1922"/>
      <c r="AC40" s="1922"/>
      <c r="AD40" s="1922"/>
      <c r="AE40" s="1922"/>
      <c r="AF40" s="1922"/>
      <c r="AG40" s="1922"/>
      <c r="AH40" s="1922"/>
      <c r="AI40" s="1922"/>
      <c r="AJ40" s="1922"/>
      <c r="AK40" s="1922"/>
      <c r="AL40" s="1922"/>
      <c r="AM40" s="1922"/>
      <c r="AN40" s="1922"/>
      <c r="AO40" s="1922"/>
      <c r="AP40" s="1922"/>
      <c r="AQ40" s="1922"/>
      <c r="AR40" s="1922"/>
      <c r="AS40" s="1922"/>
      <c r="AT40" s="1922"/>
      <c r="AU40" s="1922"/>
      <c r="AV40" s="1922"/>
      <c r="AW40" s="1922"/>
      <c r="AX40" s="1922"/>
      <c r="AY40" s="1922"/>
      <c r="AZ40" s="1922"/>
    </row>
    <row r="41" spans="1:56" ht="19.8" thickBot="1">
      <c r="A41" s="2562"/>
      <c r="B41" s="1913" t="s">
        <v>1204</v>
      </c>
      <c r="C41" s="2562"/>
      <c r="D41" s="2562"/>
      <c r="E41" s="2562"/>
      <c r="F41" s="2566"/>
      <c r="G41" s="2574"/>
      <c r="H41" s="2577"/>
      <c r="I41" s="2580"/>
      <c r="J41" s="2556"/>
      <c r="K41" s="2556"/>
      <c r="L41" s="2556"/>
      <c r="M41" s="2556"/>
      <c r="N41" s="1922"/>
      <c r="O41" s="2556"/>
      <c r="P41" s="2556"/>
      <c r="Q41" s="2556"/>
      <c r="R41" s="2556"/>
      <c r="S41" s="2556"/>
      <c r="T41" s="2556"/>
      <c r="U41" s="1922"/>
      <c r="V41" s="1922"/>
      <c r="W41" s="1922"/>
      <c r="X41" s="1922"/>
      <c r="Y41" s="1922"/>
      <c r="Z41" s="1922"/>
      <c r="AA41" s="1922"/>
      <c r="AB41" s="1922"/>
      <c r="AC41" s="1922"/>
      <c r="AD41" s="1922"/>
      <c r="AE41" s="1922"/>
      <c r="AF41" s="1922"/>
      <c r="AG41" s="1922"/>
      <c r="AH41" s="1922"/>
      <c r="AI41" s="1922"/>
      <c r="AJ41" s="1922"/>
      <c r="AK41" s="1922"/>
      <c r="AL41" s="1922"/>
      <c r="AM41" s="1922"/>
      <c r="AN41" s="1922"/>
      <c r="AO41" s="1922"/>
      <c r="AP41" s="1922"/>
      <c r="AQ41" s="1922"/>
      <c r="AR41" s="1922"/>
      <c r="AS41" s="1922"/>
      <c r="AT41" s="1922"/>
      <c r="AU41" s="1922"/>
      <c r="AV41" s="1922"/>
      <c r="AW41" s="1922"/>
      <c r="AX41" s="1922"/>
      <c r="AY41" s="1922"/>
      <c r="AZ41" s="1922"/>
    </row>
    <row r="42" spans="1:56" ht="30.75" customHeight="1" thickBot="1">
      <c r="G42" s="1922"/>
      <c r="H42" s="1922"/>
      <c r="I42" s="1922"/>
      <c r="J42" s="1922"/>
      <c r="K42" s="1922"/>
      <c r="L42" s="1929">
        <f>SUM(L12:L41)</f>
        <v>5619673.4608222004</v>
      </c>
      <c r="M42" s="1930">
        <f>SUM(M12:M41)</f>
        <v>4762435.1362900008</v>
      </c>
      <c r="N42" s="1922"/>
      <c r="O42" s="1922"/>
      <c r="P42" s="1922"/>
      <c r="Q42" s="1922"/>
      <c r="R42" s="1922"/>
      <c r="S42" s="1922"/>
      <c r="T42" s="1922"/>
      <c r="U42" s="1922"/>
      <c r="V42" s="1922"/>
      <c r="W42" s="1922"/>
      <c r="X42" s="1922"/>
      <c r="Y42" s="1922"/>
      <c r="Z42" s="1922"/>
      <c r="AA42" s="1922"/>
      <c r="AB42" s="1922"/>
      <c r="AC42" s="1922"/>
      <c r="AD42" s="1922"/>
      <c r="AE42" s="1922"/>
      <c r="AF42" s="1922"/>
      <c r="AG42" s="1922"/>
      <c r="AH42" s="1922"/>
      <c r="AI42" s="1922"/>
      <c r="AJ42" s="1922"/>
      <c r="AK42" s="1922"/>
      <c r="AL42" s="1922"/>
      <c r="AM42" s="1922"/>
      <c r="AN42" s="1922"/>
      <c r="AO42" s="1922"/>
      <c r="AP42" s="1922"/>
      <c r="AQ42" s="1922"/>
      <c r="AR42" s="1922"/>
      <c r="AS42" s="1922"/>
      <c r="AT42" s="1922"/>
      <c r="AU42" s="1922"/>
      <c r="AV42" s="1922"/>
      <c r="AW42" s="1922"/>
      <c r="AX42" s="1922"/>
      <c r="AY42" s="1922"/>
      <c r="AZ42" s="1922"/>
    </row>
    <row r="43" spans="1:56" s="1922" customFormat="1" ht="19.8" thickBot="1">
      <c r="A43" s="1931" t="s">
        <v>1205</v>
      </c>
      <c r="B43" s="1932" t="s">
        <v>1206</v>
      </c>
      <c r="C43" s="1931" t="s">
        <v>1200</v>
      </c>
      <c r="D43" s="1931">
        <v>1</v>
      </c>
      <c r="E43" s="1931"/>
      <c r="F43" s="1931">
        <f>F35</f>
        <v>8.2400000000000001E-2</v>
      </c>
    </row>
    <row r="44" spans="1:56" hidden="1">
      <c r="A44" s="1933"/>
      <c r="B44" s="1933"/>
      <c r="C44" s="1933"/>
      <c r="D44" s="1933"/>
      <c r="E44" s="1933"/>
      <c r="G44" s="1922"/>
      <c r="H44" s="1922"/>
      <c r="I44" s="1922"/>
      <c r="J44" s="1922"/>
      <c r="K44" s="1922"/>
      <c r="L44" s="1922"/>
      <c r="M44" s="1922"/>
      <c r="N44" s="1922"/>
      <c r="O44" s="1922"/>
      <c r="P44" s="1922"/>
      <c r="Q44" s="1922"/>
      <c r="R44" s="1922"/>
      <c r="S44" s="1922"/>
      <c r="T44" s="1922"/>
      <c r="U44" s="1922"/>
      <c r="V44" s="1922"/>
      <c r="W44" s="1922"/>
      <c r="X44" s="1922"/>
      <c r="Y44" s="1922"/>
      <c r="Z44" s="1922"/>
      <c r="AA44" s="1922"/>
      <c r="AB44" s="1922"/>
      <c r="AC44" s="1922"/>
      <c r="AD44" s="1922"/>
      <c r="AE44" s="1922"/>
      <c r="AF44" s="1922"/>
      <c r="AG44" s="1922"/>
      <c r="AH44" s="1922"/>
      <c r="AI44" s="1922"/>
      <c r="AJ44" s="1922"/>
      <c r="AK44" s="1922"/>
      <c r="AL44" s="1922"/>
      <c r="AM44" s="1922"/>
      <c r="AN44" s="1922"/>
      <c r="AO44" s="1922"/>
      <c r="AP44" s="1922"/>
      <c r="AQ44" s="1922"/>
      <c r="AR44" s="1922"/>
      <c r="AS44" s="1922"/>
      <c r="AT44" s="1922"/>
      <c r="AU44" s="1922"/>
      <c r="AV44" s="1922"/>
      <c r="AW44" s="1922"/>
      <c r="AX44" s="1922"/>
      <c r="AY44" s="1922"/>
      <c r="AZ44" s="1922"/>
    </row>
    <row r="45" spans="1:56" s="1937" customFormat="1" ht="19.8" hidden="1" thickBot="1">
      <c r="A45" s="1932" t="s">
        <v>60</v>
      </c>
      <c r="B45" s="1932" t="s">
        <v>1207</v>
      </c>
      <c r="C45" s="1932" t="s">
        <v>1200</v>
      </c>
      <c r="D45" s="1934">
        <v>1</v>
      </c>
      <c r="E45" s="1934"/>
      <c r="F45" s="1935">
        <f>F33+F43</f>
        <v>39.819691775000003</v>
      </c>
      <c r="G45" s="1922"/>
      <c r="H45" s="1922"/>
      <c r="I45" s="1922"/>
      <c r="J45" s="1922"/>
      <c r="K45" s="1922"/>
      <c r="L45" s="1922"/>
      <c r="M45" s="1922"/>
      <c r="N45" s="1922"/>
      <c r="O45" s="1922"/>
      <c r="P45" s="1922"/>
      <c r="Q45" s="1922"/>
      <c r="R45" s="1922"/>
      <c r="S45" s="1922"/>
      <c r="T45" s="1922"/>
      <c r="U45" s="1922"/>
      <c r="V45" s="1922"/>
      <c r="W45" s="1922"/>
      <c r="X45" s="1922"/>
      <c r="Y45" s="1922"/>
      <c r="Z45" s="1922"/>
      <c r="AA45" s="1922"/>
      <c r="AB45" s="1922"/>
      <c r="AC45" s="1922"/>
      <c r="AD45" s="1922"/>
      <c r="AE45" s="1922"/>
      <c r="AF45" s="1922"/>
      <c r="AG45" s="1922"/>
      <c r="AH45" s="1922"/>
      <c r="AI45" s="1922"/>
      <c r="AJ45" s="1922"/>
      <c r="AK45" s="1922"/>
      <c r="AL45" s="1922"/>
      <c r="AM45" s="1922"/>
      <c r="AN45" s="1922"/>
      <c r="AO45" s="1922"/>
      <c r="AP45" s="1922"/>
      <c r="AQ45" s="1922"/>
      <c r="AR45" s="1922"/>
      <c r="AS45" s="1922"/>
      <c r="AT45" s="1922"/>
      <c r="AU45" s="1922"/>
      <c r="AV45" s="1922"/>
      <c r="AW45" s="1922"/>
      <c r="AX45" s="1922"/>
      <c r="AY45" s="1922"/>
      <c r="AZ45" s="1922"/>
      <c r="BA45" s="1936"/>
      <c r="BB45" s="1936"/>
      <c r="BC45" s="1936"/>
      <c r="BD45" s="1936"/>
    </row>
    <row r="46" spans="1:56" ht="27.75" customHeight="1">
      <c r="D46" s="2570" t="s">
        <v>1336</v>
      </c>
      <c r="E46" s="2570"/>
      <c r="F46" s="1938">
        <f>F33+F43</f>
        <v>39.819691775000003</v>
      </c>
      <c r="G46" s="1922"/>
      <c r="H46" s="1922"/>
      <c r="I46" s="1922"/>
      <c r="J46" s="1922"/>
      <c r="K46" s="1922"/>
      <c r="L46" s="1922">
        <f>L42/10^7</f>
        <v>0.56196734608221999</v>
      </c>
      <c r="M46" s="1922">
        <f>M42/10^7</f>
        <v>0.47624351362900008</v>
      </c>
      <c r="N46" s="1922"/>
      <c r="O46" s="1922"/>
      <c r="P46" s="1922"/>
      <c r="Q46" s="1922"/>
      <c r="R46" s="1922"/>
      <c r="S46" s="1922"/>
      <c r="T46" s="1922"/>
      <c r="U46" s="1922"/>
      <c r="V46" s="1922"/>
      <c r="W46" s="1922"/>
      <c r="X46" s="1922"/>
      <c r="Y46" s="1922"/>
      <c r="Z46" s="1922"/>
      <c r="AA46" s="1922"/>
      <c r="AB46" s="1922"/>
      <c r="AC46" s="1922"/>
      <c r="AD46" s="1922"/>
      <c r="AE46" s="1922"/>
      <c r="AF46" s="1922"/>
      <c r="AG46" s="1922"/>
      <c r="AH46" s="1922"/>
      <c r="AI46" s="1922"/>
      <c r="AJ46" s="1922"/>
      <c r="AK46" s="1922"/>
      <c r="AL46" s="1922"/>
      <c r="AM46" s="1922"/>
      <c r="AN46" s="1922"/>
      <c r="AO46" s="1922"/>
      <c r="AP46" s="1922"/>
      <c r="AQ46" s="1922"/>
      <c r="AR46" s="1922"/>
      <c r="AS46" s="1922"/>
      <c r="AT46" s="1922"/>
      <c r="AU46" s="1922"/>
      <c r="AV46" s="1922"/>
      <c r="AW46" s="1922"/>
      <c r="AX46" s="1922"/>
      <c r="AY46" s="1922"/>
      <c r="AZ46" s="1922"/>
      <c r="BA46" s="1939"/>
      <c r="BB46" s="1939"/>
      <c r="BC46" s="1939"/>
      <c r="BD46" s="1939"/>
    </row>
    <row r="47" spans="1:56">
      <c r="G47" s="1922"/>
      <c r="H47" s="1922"/>
      <c r="I47" s="1922"/>
      <c r="J47" s="1922"/>
      <c r="K47" s="1922"/>
      <c r="L47" s="1922"/>
      <c r="M47" s="1922"/>
      <c r="N47" s="1922"/>
      <c r="O47" s="1922"/>
      <c r="P47" s="1922"/>
      <c r="Q47" s="1922"/>
      <c r="R47" s="1922"/>
      <c r="S47" s="1922"/>
      <c r="T47" s="1922"/>
      <c r="U47" s="1922"/>
      <c r="V47" s="1922"/>
      <c r="W47" s="1922"/>
      <c r="X47" s="1922"/>
      <c r="Y47" s="1922"/>
      <c r="Z47" s="1922"/>
      <c r="AA47" s="1922"/>
      <c r="AB47" s="1922"/>
      <c r="AC47" s="1922"/>
      <c r="AD47" s="1922"/>
      <c r="AE47" s="1922"/>
      <c r="AF47" s="1922"/>
      <c r="AG47" s="1922"/>
      <c r="AH47" s="1922"/>
      <c r="AI47" s="1922"/>
      <c r="AJ47" s="1922"/>
      <c r="AK47" s="1922"/>
      <c r="AL47" s="1922"/>
      <c r="AM47" s="1922"/>
      <c r="AN47" s="1922"/>
      <c r="AO47" s="1922"/>
      <c r="AP47" s="1922"/>
      <c r="AQ47" s="1922"/>
      <c r="AR47" s="1922"/>
      <c r="AS47" s="1922"/>
      <c r="AT47" s="1922"/>
      <c r="AU47" s="1922"/>
      <c r="AV47" s="1922"/>
      <c r="AW47" s="1922"/>
      <c r="AX47" s="1922"/>
      <c r="AY47" s="1922"/>
      <c r="AZ47" s="1922"/>
    </row>
    <row r="48" spans="1:56">
      <c r="G48" s="1922"/>
      <c r="H48" s="1922"/>
      <c r="I48" s="1922"/>
      <c r="J48" s="1922"/>
      <c r="K48" s="1922"/>
      <c r="L48" s="1922"/>
      <c r="M48" s="1922"/>
      <c r="N48" s="1922"/>
      <c r="O48" s="1922"/>
      <c r="P48" s="1922"/>
      <c r="Q48" s="1922"/>
      <c r="R48" s="1922"/>
      <c r="S48" s="1922"/>
      <c r="T48" s="1922"/>
      <c r="U48" s="1922"/>
      <c r="V48" s="1922"/>
      <c r="W48" s="1922"/>
      <c r="X48" s="1922"/>
      <c r="Y48" s="1922"/>
      <c r="Z48" s="1922"/>
      <c r="AA48" s="1922"/>
      <c r="AB48" s="1922"/>
      <c r="AC48" s="1922"/>
      <c r="AD48" s="1922"/>
      <c r="AE48" s="1922"/>
      <c r="AF48" s="1922"/>
      <c r="AG48" s="1922"/>
      <c r="AH48" s="1922"/>
      <c r="AI48" s="1922"/>
      <c r="AJ48" s="1922"/>
      <c r="AK48" s="1922"/>
      <c r="AL48" s="1922"/>
      <c r="AM48" s="1922"/>
      <c r="AN48" s="1922"/>
      <c r="AO48" s="1922"/>
      <c r="AP48" s="1922"/>
      <c r="AQ48" s="1922"/>
      <c r="AR48" s="1922"/>
      <c r="AS48" s="1922"/>
      <c r="AT48" s="1922"/>
      <c r="AU48" s="1922"/>
      <c r="AV48" s="1922"/>
      <c r="AW48" s="1922"/>
      <c r="AX48" s="1922"/>
      <c r="AY48" s="1922"/>
      <c r="AZ48" s="1922"/>
    </row>
    <row r="49" spans="1:52">
      <c r="V49" s="1922"/>
      <c r="W49" s="1922"/>
      <c r="X49" s="1922"/>
      <c r="Y49" s="1922"/>
      <c r="Z49" s="1922"/>
      <c r="AA49" s="1922"/>
      <c r="AB49" s="1922"/>
      <c r="AC49" s="1922"/>
      <c r="AD49" s="1922"/>
      <c r="AE49" s="1922"/>
      <c r="AF49" s="1922"/>
      <c r="AG49" s="1922"/>
      <c r="AH49" s="1922"/>
      <c r="AI49" s="1922"/>
      <c r="AJ49" s="1922"/>
      <c r="AK49" s="1922"/>
      <c r="AL49" s="1922"/>
      <c r="AM49" s="1922"/>
      <c r="AN49" s="1922"/>
      <c r="AO49" s="1922"/>
      <c r="AP49" s="1922"/>
      <c r="AQ49" s="1922"/>
      <c r="AR49" s="1922"/>
      <c r="AS49" s="1922"/>
      <c r="AT49" s="1922"/>
      <c r="AU49" s="1922"/>
      <c r="AV49" s="1922"/>
      <c r="AW49" s="1922"/>
      <c r="AX49" s="1922"/>
      <c r="AY49" s="1922"/>
      <c r="AZ49" s="1922"/>
    </row>
    <row r="60" spans="1:52" ht="38.4">
      <c r="A60" s="1903" t="s">
        <v>1179</v>
      </c>
      <c r="B60" s="1903" t="s">
        <v>294</v>
      </c>
      <c r="C60" s="1903" t="s">
        <v>198</v>
      </c>
      <c r="D60" s="1903" t="s">
        <v>1180</v>
      </c>
      <c r="E60" s="1903" t="s">
        <v>1304</v>
      </c>
      <c r="F60" s="1903" t="s">
        <v>1182</v>
      </c>
      <c r="G60" s="1666"/>
      <c r="H60" s="1666"/>
      <c r="I60" s="1666"/>
      <c r="J60" s="1666"/>
      <c r="K60" s="1666"/>
      <c r="L60" s="1666"/>
      <c r="M60" s="1666"/>
      <c r="O60" s="1905"/>
      <c r="P60" s="1905"/>
      <c r="Q60" s="1905"/>
      <c r="R60" s="1905"/>
      <c r="S60" s="1905"/>
      <c r="T60" s="1905"/>
    </row>
    <row r="61" spans="1:52" ht="19.2">
      <c r="A61" s="1905" t="s">
        <v>197</v>
      </c>
      <c r="B61" s="1905" t="s">
        <v>61</v>
      </c>
      <c r="C61" s="1905" t="s">
        <v>62</v>
      </c>
      <c r="D61" s="1905" t="s">
        <v>63</v>
      </c>
      <c r="E61" s="1905" t="s">
        <v>64</v>
      </c>
      <c r="F61" s="1905"/>
      <c r="G61" s="1905"/>
      <c r="H61" s="1905"/>
      <c r="I61" s="1905"/>
      <c r="J61" s="1905"/>
      <c r="K61" s="1905"/>
      <c r="L61" s="1905"/>
      <c r="M61" s="1905"/>
      <c r="N61" s="1905"/>
      <c r="O61" s="1905"/>
      <c r="P61" s="1905"/>
      <c r="Q61" s="1905"/>
      <c r="R61" s="1905"/>
      <c r="S61" s="1905"/>
      <c r="T61" s="1905"/>
    </row>
    <row r="62" spans="1:52" ht="19.8" thickBot="1">
      <c r="A62" s="1905"/>
      <c r="B62" s="1905"/>
      <c r="C62" s="1905"/>
      <c r="D62" s="1905"/>
      <c r="E62" s="1905"/>
      <c r="F62" s="1905"/>
      <c r="G62" s="1666"/>
      <c r="H62" s="1666"/>
      <c r="I62" s="1666"/>
      <c r="J62" s="1666"/>
      <c r="K62" s="1666"/>
      <c r="L62" s="1666"/>
      <c r="M62" s="1666"/>
      <c r="O62" s="1905"/>
      <c r="P62" s="1905"/>
      <c r="Q62" s="1905"/>
      <c r="R62" s="1905"/>
      <c r="S62" s="1905"/>
      <c r="T62" s="1905"/>
    </row>
    <row r="63" spans="1:52" ht="231" thickBot="1">
      <c r="A63" s="1940" t="s">
        <v>1209</v>
      </c>
      <c r="B63" s="1937" t="s">
        <v>1210</v>
      </c>
      <c r="C63" s="1941" t="s">
        <v>1211</v>
      </c>
      <c r="D63" s="1941">
        <v>300</v>
      </c>
      <c r="E63" s="1942">
        <v>85000</v>
      </c>
      <c r="F63" s="1943">
        <f>D63*E63/10^5</f>
        <v>255</v>
      </c>
      <c r="G63" s="1943">
        <f>E63*F63/10^5</f>
        <v>216.75</v>
      </c>
      <c r="H63" s="1901" t="s">
        <v>0</v>
      </c>
    </row>
    <row r="64" spans="1:52" ht="173.4" thickBot="1">
      <c r="A64" s="1944" t="s">
        <v>1212</v>
      </c>
      <c r="B64" s="1912" t="s">
        <v>1213</v>
      </c>
      <c r="C64" s="1945" t="s">
        <v>1211</v>
      </c>
      <c r="D64" s="1945">
        <v>300</v>
      </c>
      <c r="E64" s="1942">
        <f>17440</f>
        <v>17440</v>
      </c>
      <c r="F64" s="1942">
        <f t="shared" ref="F64:G69" si="25">D64*E64/10^5</f>
        <v>52.32</v>
      </c>
      <c r="G64" s="1942">
        <f t="shared" si="25"/>
        <v>9.1246080000000003</v>
      </c>
    </row>
    <row r="65" spans="1:8" ht="269.39999999999998" thickBot="1">
      <c r="A65" s="1944" t="s">
        <v>1214</v>
      </c>
      <c r="B65" s="1946" t="s">
        <v>1215</v>
      </c>
      <c r="C65" s="1945" t="s">
        <v>1211</v>
      </c>
      <c r="D65" s="1945">
        <v>3</v>
      </c>
      <c r="E65" s="1942">
        <v>92650</v>
      </c>
      <c r="F65" s="1943">
        <f t="shared" si="25"/>
        <v>2.7795000000000001</v>
      </c>
      <c r="G65" s="1943">
        <f t="shared" si="25"/>
        <v>2.57520675</v>
      </c>
    </row>
    <row r="66" spans="1:8" ht="115.8" thickBot="1">
      <c r="A66" s="1944" t="s">
        <v>1216</v>
      </c>
      <c r="B66" s="1947" t="s">
        <v>1217</v>
      </c>
      <c r="C66" s="1945" t="s">
        <v>1218</v>
      </c>
      <c r="D66" s="1945">
        <v>3500</v>
      </c>
      <c r="E66" s="1942">
        <v>1635</v>
      </c>
      <c r="F66" s="1942">
        <f t="shared" si="25"/>
        <v>57.225000000000001</v>
      </c>
      <c r="G66" s="1942">
        <f t="shared" si="25"/>
        <v>0.93562875000000001</v>
      </c>
    </row>
    <row r="67" spans="1:8" ht="115.8" thickBot="1">
      <c r="A67" s="1944" t="s">
        <v>1219</v>
      </c>
      <c r="B67" s="1947" t="s">
        <v>1220</v>
      </c>
      <c r="C67" s="1945" t="s">
        <v>1218</v>
      </c>
      <c r="D67" s="1948">
        <v>100</v>
      </c>
      <c r="F67" s="1942">
        <f t="shared" si="25"/>
        <v>0</v>
      </c>
      <c r="G67" s="1942">
        <f t="shared" si="25"/>
        <v>0</v>
      </c>
    </row>
    <row r="68" spans="1:8" ht="135" thickBot="1">
      <c r="A68" s="1944" t="s">
        <v>1221</v>
      </c>
      <c r="B68" s="1947" t="s">
        <v>1222</v>
      </c>
      <c r="C68" s="1945" t="s">
        <v>1211</v>
      </c>
      <c r="D68" s="1948">
        <v>130</v>
      </c>
      <c r="E68" s="1942">
        <v>13080</v>
      </c>
      <c r="F68" s="1943">
        <f t="shared" si="25"/>
        <v>17.004000000000001</v>
      </c>
      <c r="G68" s="1943">
        <f t="shared" si="25"/>
        <v>2.2241232000000002</v>
      </c>
    </row>
    <row r="69" spans="1:8" ht="135" thickBot="1">
      <c r="A69" s="1949" t="s">
        <v>1223</v>
      </c>
      <c r="B69" s="1947" t="s">
        <v>1224</v>
      </c>
      <c r="C69" s="1945" t="s">
        <v>1225</v>
      </c>
      <c r="D69" s="1948">
        <v>2500</v>
      </c>
      <c r="F69" s="1942">
        <f t="shared" si="25"/>
        <v>0</v>
      </c>
      <c r="G69" s="1942">
        <f t="shared" si="25"/>
        <v>0</v>
      </c>
    </row>
    <row r="80" spans="1:8">
      <c r="H80" s="1933" t="s">
        <v>1305</v>
      </c>
    </row>
    <row r="83" spans="1:7" ht="38.4">
      <c r="A83" s="1903" t="s">
        <v>1179</v>
      </c>
      <c r="B83" s="1903" t="s">
        <v>294</v>
      </c>
      <c r="C83" s="1903" t="s">
        <v>198</v>
      </c>
      <c r="D83" s="1903" t="s">
        <v>1180</v>
      </c>
      <c r="E83" s="1903" t="s">
        <v>1181</v>
      </c>
      <c r="F83" s="1903" t="s">
        <v>1182</v>
      </c>
      <c r="G83" s="1903" t="s">
        <v>1226</v>
      </c>
    </row>
    <row r="84" spans="1:7" ht="19.2">
      <c r="A84" s="2571" t="s">
        <v>33</v>
      </c>
      <c r="B84" s="2571"/>
      <c r="C84" s="2571"/>
      <c r="D84" s="2571"/>
      <c r="E84" s="2571"/>
      <c r="F84" s="2571"/>
      <c r="G84" s="1939"/>
    </row>
    <row r="85" spans="1:7" ht="96">
      <c r="A85" s="1950" t="s">
        <v>1227</v>
      </c>
      <c r="B85" s="1936" t="s">
        <v>1228</v>
      </c>
      <c r="C85" s="1951" t="s">
        <v>673</v>
      </c>
      <c r="D85" s="1952">
        <v>70</v>
      </c>
      <c r="E85" s="1953">
        <v>2928.1</v>
      </c>
      <c r="F85" s="1951">
        <f>E85*D85</f>
        <v>204967</v>
      </c>
      <c r="G85" s="1954" t="s">
        <v>1229</v>
      </c>
    </row>
    <row r="86" spans="1:7" ht="96">
      <c r="A86" s="1950" t="s">
        <v>1230</v>
      </c>
      <c r="B86" s="1936" t="s">
        <v>1231</v>
      </c>
      <c r="C86" s="1951" t="s">
        <v>673</v>
      </c>
      <c r="D86" s="1952">
        <v>2</v>
      </c>
      <c r="E86" s="1953">
        <v>2007.1</v>
      </c>
      <c r="F86" s="1951">
        <f t="shared" ref="F86:F98" si="26">E86*D86</f>
        <v>4014.2</v>
      </c>
      <c r="G86" s="1954" t="s">
        <v>1232</v>
      </c>
    </row>
    <row r="87" spans="1:7" ht="96">
      <c r="A87" s="1950" t="s">
        <v>1233</v>
      </c>
      <c r="B87" s="1936" t="s">
        <v>1234</v>
      </c>
      <c r="C87" s="1951" t="s">
        <v>673</v>
      </c>
      <c r="D87" s="1952">
        <v>10</v>
      </c>
      <c r="E87" s="1953">
        <v>2619.4499999999998</v>
      </c>
      <c r="F87" s="1951">
        <f t="shared" si="26"/>
        <v>26194.5</v>
      </c>
      <c r="G87" s="1954" t="s">
        <v>1067</v>
      </c>
    </row>
    <row r="88" spans="1:7" ht="19.2">
      <c r="A88" s="2568" t="s">
        <v>1235</v>
      </c>
      <c r="B88" s="2569"/>
      <c r="C88" s="1955"/>
      <c r="D88" s="1955"/>
      <c r="E88" s="1955"/>
      <c r="F88" s="1956"/>
      <c r="G88" s="1939"/>
    </row>
    <row r="89" spans="1:7" ht="172.8">
      <c r="A89" s="1950" t="s">
        <v>1236</v>
      </c>
      <c r="B89" s="1936" t="s">
        <v>1237</v>
      </c>
      <c r="C89" s="1951" t="s">
        <v>673</v>
      </c>
      <c r="D89" s="1952">
        <v>200</v>
      </c>
      <c r="E89" s="1953">
        <f>286.85</f>
        <v>286.85000000000002</v>
      </c>
      <c r="F89" s="1951">
        <f t="shared" si="26"/>
        <v>57370.000000000007</v>
      </c>
      <c r="G89" s="1954" t="s">
        <v>1238</v>
      </c>
    </row>
    <row r="90" spans="1:7" ht="57.6">
      <c r="A90" s="1950" t="s">
        <v>1239</v>
      </c>
      <c r="B90" s="1950" t="s">
        <v>1240</v>
      </c>
      <c r="C90" s="1951" t="s">
        <v>673</v>
      </c>
      <c r="D90" s="1952">
        <v>80</v>
      </c>
      <c r="E90" s="1953">
        <v>253.95</v>
      </c>
      <c r="F90" s="1951">
        <f t="shared" si="26"/>
        <v>20316</v>
      </c>
      <c r="G90" s="1954" t="s">
        <v>1241</v>
      </c>
    </row>
    <row r="91" spans="1:7" ht="96">
      <c r="A91" s="1936" t="s">
        <v>1242</v>
      </c>
      <c r="B91" s="1936" t="s">
        <v>1243</v>
      </c>
      <c r="C91" s="1952" t="s">
        <v>673</v>
      </c>
      <c r="D91" s="1952">
        <v>120</v>
      </c>
      <c r="E91" s="1953">
        <v>271.45</v>
      </c>
      <c r="F91" s="1951">
        <f t="shared" si="26"/>
        <v>32574</v>
      </c>
      <c r="G91" s="1954" t="s">
        <v>1244</v>
      </c>
    </row>
    <row r="92" spans="1:7" ht="38.4">
      <c r="A92" s="1936" t="s">
        <v>1245</v>
      </c>
      <c r="B92" s="1936" t="s">
        <v>1246</v>
      </c>
      <c r="C92" s="1952" t="s">
        <v>673</v>
      </c>
      <c r="D92" s="1952">
        <v>5</v>
      </c>
      <c r="E92" s="1953">
        <v>2161.1999999999998</v>
      </c>
      <c r="F92" s="1951">
        <f t="shared" si="26"/>
        <v>10806</v>
      </c>
      <c r="G92" s="1954" t="s">
        <v>1247</v>
      </c>
    </row>
    <row r="93" spans="1:7" ht="57.6">
      <c r="A93" s="1936" t="s">
        <v>1248</v>
      </c>
      <c r="B93" s="1936" t="s">
        <v>1249</v>
      </c>
      <c r="C93" s="1952" t="s">
        <v>1225</v>
      </c>
      <c r="D93" s="1952">
        <v>200</v>
      </c>
      <c r="E93" s="1953">
        <v>28.15</v>
      </c>
      <c r="F93" s="1951">
        <f t="shared" si="26"/>
        <v>5630</v>
      </c>
      <c r="G93" s="1954" t="s">
        <v>1250</v>
      </c>
    </row>
    <row r="94" spans="1:7" ht="19.2">
      <c r="A94" s="2568" t="s">
        <v>1251</v>
      </c>
      <c r="B94" s="2569"/>
      <c r="C94" s="1955"/>
      <c r="D94" s="1955"/>
      <c r="E94" s="1955"/>
      <c r="F94" s="1956"/>
      <c r="G94" s="1939"/>
    </row>
    <row r="95" spans="1:7" ht="115.2">
      <c r="A95" s="1936" t="s">
        <v>1252</v>
      </c>
      <c r="B95" s="1936" t="s">
        <v>1253</v>
      </c>
      <c r="C95" s="1952" t="s">
        <v>564</v>
      </c>
      <c r="D95" s="1952">
        <v>1</v>
      </c>
      <c r="E95" s="1953">
        <v>50000</v>
      </c>
      <c r="F95" s="1951">
        <f t="shared" si="26"/>
        <v>50000</v>
      </c>
      <c r="G95" s="1954" t="s">
        <v>1254</v>
      </c>
    </row>
    <row r="96" spans="1:7" ht="192">
      <c r="A96" s="1950" t="s">
        <v>1255</v>
      </c>
      <c r="B96" s="1957" t="s">
        <v>1256</v>
      </c>
      <c r="C96" s="1951" t="s">
        <v>1039</v>
      </c>
      <c r="D96" s="1952">
        <v>360</v>
      </c>
      <c r="E96" s="1958">
        <v>3060.1</v>
      </c>
      <c r="F96" s="1951">
        <f t="shared" si="26"/>
        <v>1101636</v>
      </c>
      <c r="G96" s="1959" t="s">
        <v>1080</v>
      </c>
    </row>
    <row r="97" spans="1:7" ht="154.19999999999999">
      <c r="A97" s="1936" t="s">
        <v>1257</v>
      </c>
      <c r="B97" s="1913" t="s">
        <v>1258</v>
      </c>
      <c r="C97" s="1960" t="s">
        <v>1259</v>
      </c>
      <c r="D97" s="1952">
        <v>8</v>
      </c>
      <c r="E97" s="1958">
        <v>89650</v>
      </c>
      <c r="F97" s="1951">
        <f t="shared" si="26"/>
        <v>717200</v>
      </c>
      <c r="G97" s="1961" t="s">
        <v>750</v>
      </c>
    </row>
    <row r="98" spans="1:7" ht="57.6">
      <c r="A98" s="1962" t="s">
        <v>1260</v>
      </c>
      <c r="B98" s="1963" t="s">
        <v>1261</v>
      </c>
      <c r="C98" s="1964" t="s">
        <v>1259</v>
      </c>
      <c r="D98" s="1965">
        <v>3</v>
      </c>
      <c r="E98" s="1966">
        <v>93050</v>
      </c>
      <c r="F98" s="1951">
        <f t="shared" si="26"/>
        <v>279150</v>
      </c>
      <c r="G98" s="1961" t="s">
        <v>1078</v>
      </c>
    </row>
    <row r="99" spans="1:7" ht="115.2">
      <c r="A99" s="1962" t="s">
        <v>1262</v>
      </c>
      <c r="B99" s="1967" t="s">
        <v>1263</v>
      </c>
      <c r="C99" s="1964"/>
      <c r="D99" s="1965"/>
      <c r="E99" s="1968"/>
      <c r="F99" s="1968"/>
      <c r="G99" s="1939"/>
    </row>
    <row r="100" spans="1:7" ht="38.4">
      <c r="A100" s="1962"/>
      <c r="B100" s="1967" t="s">
        <v>1264</v>
      </c>
      <c r="C100" s="1964"/>
      <c r="D100" s="1965"/>
      <c r="E100" s="1968"/>
      <c r="F100" s="1968"/>
      <c r="G100" s="1939"/>
    </row>
    <row r="101" spans="1:7" ht="38.4">
      <c r="A101" s="1962"/>
      <c r="B101" s="1967" t="s">
        <v>1265</v>
      </c>
      <c r="C101" s="1964"/>
      <c r="D101" s="1965"/>
      <c r="E101" s="1968"/>
      <c r="F101" s="1968"/>
      <c r="G101" s="1939"/>
    </row>
    <row r="102" spans="1:7" ht="57.6">
      <c r="A102" s="1962"/>
      <c r="B102" s="1967" t="s">
        <v>1266</v>
      </c>
      <c r="C102" s="1964"/>
      <c r="D102" s="1965"/>
      <c r="E102" s="1968"/>
      <c r="F102" s="1968"/>
      <c r="G102" s="1939"/>
    </row>
    <row r="103" spans="1:7" ht="38.4">
      <c r="A103" s="1962"/>
      <c r="B103" s="1967" t="s">
        <v>1267</v>
      </c>
      <c r="C103" s="1964"/>
      <c r="D103" s="1965"/>
      <c r="E103" s="1968"/>
      <c r="F103" s="1968"/>
      <c r="G103" s="1939"/>
    </row>
    <row r="104" spans="1:7" ht="19.2">
      <c r="A104" s="1969" t="s">
        <v>937</v>
      </c>
      <c r="B104" s="1963" t="s">
        <v>1268</v>
      </c>
      <c r="C104" s="1965" t="s">
        <v>768</v>
      </c>
      <c r="D104" s="1965">
        <v>1</v>
      </c>
      <c r="E104" s="1958">
        <v>57531.3</v>
      </c>
      <c r="F104" s="1951">
        <f t="shared" ref="F104:F115" si="27">E104*D104</f>
        <v>57531.3</v>
      </c>
      <c r="G104" s="1961" t="s">
        <v>1269</v>
      </c>
    </row>
    <row r="105" spans="1:7" ht="19.2">
      <c r="A105" s="1969" t="s">
        <v>938</v>
      </c>
      <c r="B105" s="1963" t="s">
        <v>1270</v>
      </c>
      <c r="C105" s="1965" t="s">
        <v>768</v>
      </c>
      <c r="D105" s="1965">
        <v>1</v>
      </c>
      <c r="E105" s="1958">
        <v>30505</v>
      </c>
      <c r="F105" s="1951">
        <f t="shared" si="27"/>
        <v>30505</v>
      </c>
      <c r="G105" s="1961" t="s">
        <v>1271</v>
      </c>
    </row>
    <row r="106" spans="1:7" ht="19.2">
      <c r="A106" s="1969" t="s">
        <v>939</v>
      </c>
      <c r="B106" s="1963" t="s">
        <v>1272</v>
      </c>
      <c r="C106" s="1965" t="s">
        <v>768</v>
      </c>
      <c r="D106" s="1965">
        <v>1</v>
      </c>
      <c r="E106" s="1966">
        <v>45000</v>
      </c>
      <c r="F106" s="1951">
        <f t="shared" si="27"/>
        <v>45000</v>
      </c>
      <c r="G106" s="1961" t="s">
        <v>1254</v>
      </c>
    </row>
    <row r="107" spans="1:7" ht="19.2">
      <c r="A107" s="2568" t="s">
        <v>1273</v>
      </c>
      <c r="B107" s="2569"/>
      <c r="C107" s="1955"/>
      <c r="D107" s="1955"/>
      <c r="E107" s="1955"/>
      <c r="F107" s="1956"/>
      <c r="G107" s="1939"/>
    </row>
    <row r="108" spans="1:7" ht="96">
      <c r="A108" s="1950" t="s">
        <v>1274</v>
      </c>
      <c r="B108" s="1913" t="s">
        <v>1275</v>
      </c>
      <c r="C108" s="1951" t="s">
        <v>673</v>
      </c>
      <c r="D108" s="1952">
        <v>10</v>
      </c>
      <c r="E108" s="1953">
        <v>6833.4</v>
      </c>
      <c r="F108" s="1951">
        <f t="shared" si="27"/>
        <v>68334</v>
      </c>
      <c r="G108" s="1961" t="s">
        <v>1069</v>
      </c>
    </row>
    <row r="109" spans="1:7" ht="135">
      <c r="A109" s="1950" t="s">
        <v>1276</v>
      </c>
      <c r="B109" s="1957" t="s">
        <v>1277</v>
      </c>
      <c r="C109" s="1951" t="s">
        <v>673</v>
      </c>
      <c r="D109" s="1952">
        <v>2</v>
      </c>
      <c r="E109" s="1970">
        <f>1.1*8599.35</f>
        <v>9459.2850000000017</v>
      </c>
      <c r="F109" s="1951">
        <f t="shared" si="27"/>
        <v>18918.570000000003</v>
      </c>
      <c r="G109" s="1971" t="s">
        <v>1073</v>
      </c>
    </row>
    <row r="110" spans="1:7" ht="172.8">
      <c r="A110" s="1950" t="s">
        <v>1278</v>
      </c>
      <c r="B110" s="1913" t="s">
        <v>1279</v>
      </c>
      <c r="C110" s="1951" t="s">
        <v>673</v>
      </c>
      <c r="D110" s="1952">
        <v>90</v>
      </c>
      <c r="E110" s="1953">
        <v>7997.3</v>
      </c>
      <c r="F110" s="1951">
        <f t="shared" si="27"/>
        <v>719757</v>
      </c>
      <c r="G110" s="1954" t="s">
        <v>1280</v>
      </c>
    </row>
    <row r="111" spans="1:7" ht="96.6">
      <c r="A111" s="1936" t="s">
        <v>1281</v>
      </c>
      <c r="B111" s="1913" t="s">
        <v>1282</v>
      </c>
      <c r="C111" s="1952" t="s">
        <v>1259</v>
      </c>
      <c r="D111" s="1952">
        <v>10</v>
      </c>
      <c r="E111" s="1966">
        <v>89500</v>
      </c>
      <c r="F111" s="1951">
        <f t="shared" si="27"/>
        <v>895000</v>
      </c>
      <c r="G111" s="1961" t="s">
        <v>750</v>
      </c>
    </row>
    <row r="112" spans="1:7" ht="19.2">
      <c r="A112" s="2568" t="s">
        <v>1283</v>
      </c>
      <c r="B112" s="2569"/>
      <c r="C112" s="1955"/>
      <c r="D112" s="1955"/>
      <c r="E112" s="1955"/>
      <c r="F112" s="1956"/>
      <c r="G112" s="1939"/>
    </row>
    <row r="113" spans="1:7" ht="57.6">
      <c r="A113" s="1936" t="s">
        <v>1284</v>
      </c>
      <c r="B113" s="1913" t="s">
        <v>1285</v>
      </c>
      <c r="C113" s="1952" t="s">
        <v>1225</v>
      </c>
      <c r="D113" s="1952">
        <v>75</v>
      </c>
      <c r="E113" s="1953">
        <v>76.400000000000006</v>
      </c>
      <c r="F113" s="1951">
        <f t="shared" si="27"/>
        <v>5730</v>
      </c>
      <c r="G113" s="1959" t="s">
        <v>1286</v>
      </c>
    </row>
    <row r="114" spans="1:7" ht="153.6">
      <c r="A114" s="1936" t="s">
        <v>1287</v>
      </c>
      <c r="B114" s="1913" t="s">
        <v>1288</v>
      </c>
      <c r="C114" s="1952" t="s">
        <v>673</v>
      </c>
      <c r="D114" s="1952">
        <v>5</v>
      </c>
      <c r="E114" s="1953">
        <v>27763.65</v>
      </c>
      <c r="F114" s="1951">
        <f t="shared" si="27"/>
        <v>138818.25</v>
      </c>
      <c r="G114" s="1972">
        <v>5.36</v>
      </c>
    </row>
    <row r="115" spans="1:7" ht="134.4">
      <c r="A115" s="1936" t="s">
        <v>1289</v>
      </c>
      <c r="B115" s="1913" t="s">
        <v>1290</v>
      </c>
      <c r="C115" s="1952" t="s">
        <v>1259</v>
      </c>
      <c r="D115" s="1952">
        <v>2</v>
      </c>
      <c r="E115" s="1958">
        <v>93050</v>
      </c>
      <c r="F115" s="1951">
        <f t="shared" si="27"/>
        <v>186100</v>
      </c>
      <c r="G115" s="1954" t="s">
        <v>1078</v>
      </c>
    </row>
    <row r="116" spans="1:7" ht="20.399999999999999">
      <c r="D116" s="1973"/>
      <c r="E116" s="1974" t="s">
        <v>9</v>
      </c>
      <c r="F116" s="1975">
        <f>SUM(F85:F115)</f>
        <v>4675551.82</v>
      </c>
    </row>
  </sheetData>
  <mergeCells count="83">
    <mergeCell ref="S26:S32"/>
    <mergeCell ref="G35:G41"/>
    <mergeCell ref="H35:H41"/>
    <mergeCell ref="I35:I41"/>
    <mergeCell ref="L35:L41"/>
    <mergeCell ref="P26:P32"/>
    <mergeCell ref="A112:B112"/>
    <mergeCell ref="T35:T41"/>
    <mergeCell ref="D46:E46"/>
    <mergeCell ref="A84:F84"/>
    <mergeCell ref="A88:B88"/>
    <mergeCell ref="A94:B94"/>
    <mergeCell ref="A107:B107"/>
    <mergeCell ref="M35:M41"/>
    <mergeCell ref="O35:O41"/>
    <mergeCell ref="P35:P41"/>
    <mergeCell ref="Q35:Q41"/>
    <mergeCell ref="R35:R41"/>
    <mergeCell ref="S35:S41"/>
    <mergeCell ref="T26:T32"/>
    <mergeCell ref="A35:A41"/>
    <mergeCell ref="C35:C41"/>
    <mergeCell ref="D35:D41"/>
    <mergeCell ref="E35:E41"/>
    <mergeCell ref="F35:F41"/>
    <mergeCell ref="I26:I32"/>
    <mergeCell ref="J26:J32"/>
    <mergeCell ref="K26:K32"/>
    <mergeCell ref="L26:L32"/>
    <mergeCell ref="M26:M32"/>
    <mergeCell ref="O26:O32"/>
    <mergeCell ref="J35:J41"/>
    <mergeCell ref="K35:K41"/>
    <mergeCell ref="Q26:Q32"/>
    <mergeCell ref="R26:R32"/>
    <mergeCell ref="R19:R25"/>
    <mergeCell ref="S19:S25"/>
    <mergeCell ref="T19:T25"/>
    <mergeCell ref="A26:A32"/>
    <mergeCell ref="C26:C32"/>
    <mergeCell ref="D26:D32"/>
    <mergeCell ref="E26:E32"/>
    <mergeCell ref="F26:F32"/>
    <mergeCell ref="G26:G32"/>
    <mergeCell ref="H26:H32"/>
    <mergeCell ref="K19:K25"/>
    <mergeCell ref="L19:L25"/>
    <mergeCell ref="M19:M25"/>
    <mergeCell ref="O19:O25"/>
    <mergeCell ref="P19:P25"/>
    <mergeCell ref="Q19:Q25"/>
    <mergeCell ref="T12:T18"/>
    <mergeCell ref="A19:A25"/>
    <mergeCell ref="C19:C25"/>
    <mergeCell ref="D19:D25"/>
    <mergeCell ref="E19:E25"/>
    <mergeCell ref="F19:F25"/>
    <mergeCell ref="G19:G25"/>
    <mergeCell ref="H19:H25"/>
    <mergeCell ref="I19:I25"/>
    <mergeCell ref="J19:J25"/>
    <mergeCell ref="M12:M18"/>
    <mergeCell ref="O12:O18"/>
    <mergeCell ref="P12:P18"/>
    <mergeCell ref="Q12:Q18"/>
    <mergeCell ref="R12:R18"/>
    <mergeCell ref="S12:S18"/>
    <mergeCell ref="L12:L18"/>
    <mergeCell ref="A1:I1"/>
    <mergeCell ref="A2:I2"/>
    <mergeCell ref="A3:I3"/>
    <mergeCell ref="A4:I4"/>
    <mergeCell ref="A5:I5"/>
    <mergeCell ref="A12:A18"/>
    <mergeCell ref="C12:C18"/>
    <mergeCell ref="D12:D18"/>
    <mergeCell ref="E12:E18"/>
    <mergeCell ref="F12:F18"/>
    <mergeCell ref="G12:G18"/>
    <mergeCell ref="H12:H18"/>
    <mergeCell ref="I12:I18"/>
    <mergeCell ref="J12:J18"/>
    <mergeCell ref="K12:K18"/>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P29"/>
  <sheetViews>
    <sheetView showZeros="0" topLeftCell="A22" zoomScale="74" zoomScaleNormal="74" workbookViewId="0">
      <selection activeCell="E17" sqref="E17"/>
    </sheetView>
  </sheetViews>
  <sheetFormatPr defaultColWidth="8.90625" defaultRowHeight="14.4"/>
  <cols>
    <col min="1" max="1" width="8.90625" style="1976"/>
    <col min="2" max="2" width="67.36328125" style="1976" customWidth="1"/>
    <col min="3" max="4" width="8.90625" style="1976"/>
    <col min="5" max="5" width="11.08984375" style="1976" customWidth="1"/>
    <col min="6" max="6" width="9.6328125" style="1976" customWidth="1"/>
    <col min="7" max="7" width="10.453125" style="1976" bestFit="1" customWidth="1"/>
    <col min="8" max="8" width="10.81640625" style="1976" bestFit="1" customWidth="1"/>
    <col min="9" max="9" width="10.453125" style="1976" bestFit="1" customWidth="1"/>
    <col min="10" max="10" width="11.08984375" style="1976" bestFit="1" customWidth="1"/>
    <col min="11" max="11" width="12.6328125" style="1976" bestFit="1" customWidth="1"/>
    <col min="12" max="12" width="13.1796875" style="1976" bestFit="1" customWidth="1"/>
    <col min="13" max="13" width="14.36328125" style="1976" customWidth="1"/>
    <col min="14" max="14" width="14.6328125" style="1976" customWidth="1"/>
    <col min="15" max="15" width="8.90625" style="1976"/>
    <col min="16" max="16" width="9.36328125" style="1976" customWidth="1"/>
    <col min="17" max="16384" width="8.90625" style="1976"/>
  </cols>
  <sheetData>
    <row r="1" spans="1:16" ht="15.6">
      <c r="A1" s="2582" t="s">
        <v>1</v>
      </c>
      <c r="B1" s="2582"/>
      <c r="C1" s="2582"/>
      <c r="D1" s="2582"/>
      <c r="E1" s="2582"/>
      <c r="F1" s="2582"/>
      <c r="G1" s="2582"/>
      <c r="H1" s="2582"/>
      <c r="I1" s="2582"/>
    </row>
    <row r="2" spans="1:16">
      <c r="A2" s="2583" t="s">
        <v>1084</v>
      </c>
      <c r="B2" s="2583"/>
      <c r="C2" s="2583"/>
      <c r="D2" s="2583"/>
      <c r="E2" s="2583"/>
      <c r="F2" s="2583"/>
      <c r="G2" s="2583"/>
      <c r="H2" s="2583"/>
      <c r="I2" s="2583"/>
    </row>
    <row r="3" spans="1:16" ht="17.25" customHeight="1">
      <c r="A3" s="2584" t="s">
        <v>987</v>
      </c>
      <c r="B3" s="2584"/>
      <c r="C3" s="2584"/>
      <c r="D3" s="2584"/>
      <c r="E3" s="2584"/>
      <c r="F3" s="2584"/>
      <c r="G3" s="2584"/>
      <c r="H3" s="2584"/>
      <c r="I3" s="2584"/>
    </row>
    <row r="4" spans="1:16">
      <c r="A4" s="2583" t="s">
        <v>988</v>
      </c>
      <c r="B4" s="2583"/>
      <c r="C4" s="2583"/>
      <c r="D4" s="2583"/>
      <c r="E4" s="2583"/>
      <c r="F4" s="2583"/>
      <c r="G4" s="2583"/>
      <c r="H4" s="2583"/>
      <c r="I4" s="2583"/>
    </row>
    <row r="5" spans="1:16">
      <c r="A5" s="2585" t="s">
        <v>1315</v>
      </c>
      <c r="B5" s="2585"/>
      <c r="C5" s="2585"/>
      <c r="D5" s="2585"/>
      <c r="E5" s="2585"/>
      <c r="F5" s="2585"/>
      <c r="G5" s="2585"/>
      <c r="H5" s="2585"/>
      <c r="I5" s="2585"/>
    </row>
    <row r="12" spans="1:16">
      <c r="P12" s="1977" t="s">
        <v>334</v>
      </c>
    </row>
    <row r="13" spans="1:16" ht="110.25" customHeight="1">
      <c r="A13" s="1978" t="s">
        <v>1179</v>
      </c>
      <c r="B13" s="1978" t="s">
        <v>294</v>
      </c>
      <c r="C13" s="1978" t="s">
        <v>198</v>
      </c>
      <c r="D13" s="1978" t="s">
        <v>1180</v>
      </c>
      <c r="E13" s="1978" t="s">
        <v>1181</v>
      </c>
      <c r="F13" s="1979" t="s">
        <v>1182</v>
      </c>
      <c r="G13" s="1651" t="s">
        <v>1292</v>
      </c>
      <c r="H13" s="1651" t="s">
        <v>1317</v>
      </c>
      <c r="I13" s="1651" t="s">
        <v>1293</v>
      </c>
      <c r="J13" s="1651" t="s">
        <v>1294</v>
      </c>
      <c r="K13" s="1651" t="s">
        <v>1295</v>
      </c>
      <c r="L13" s="1651" t="s">
        <v>1296</v>
      </c>
      <c r="M13" s="1980"/>
      <c r="N13" s="1980" t="s">
        <v>1320</v>
      </c>
      <c r="P13" s="1981" t="s">
        <v>1322</v>
      </c>
    </row>
    <row r="14" spans="1:16" ht="24" customHeight="1">
      <c r="A14" s="1982" t="s">
        <v>197</v>
      </c>
      <c r="B14" s="1982" t="s">
        <v>61</v>
      </c>
      <c r="C14" s="1982" t="s">
        <v>62</v>
      </c>
      <c r="D14" s="1982" t="s">
        <v>63</v>
      </c>
      <c r="E14" s="1982" t="s">
        <v>64</v>
      </c>
      <c r="F14" s="1982"/>
      <c r="G14" s="1666" t="s">
        <v>65</v>
      </c>
      <c r="H14" s="1666" t="s">
        <v>1309</v>
      </c>
      <c r="I14" s="1666" t="s">
        <v>67</v>
      </c>
      <c r="J14" s="1666" t="s">
        <v>1310</v>
      </c>
      <c r="K14" s="1666" t="s">
        <v>1311</v>
      </c>
      <c r="L14" s="1666" t="s">
        <v>1312</v>
      </c>
    </row>
    <row r="15" spans="1:16" ht="19.2">
      <c r="A15" s="1982"/>
      <c r="B15" s="1982"/>
      <c r="C15" s="1982"/>
      <c r="D15" s="1982"/>
      <c r="E15" s="1982"/>
      <c r="F15" s="1982"/>
      <c r="G15" s="1671">
        <v>0.18</v>
      </c>
      <c r="H15" s="1666"/>
      <c r="I15" s="1666"/>
      <c r="J15" s="1666"/>
      <c r="K15" s="1666"/>
      <c r="L15" s="1666"/>
    </row>
    <row r="16" spans="1:16" ht="221.25" customHeight="1">
      <c r="A16" s="1983" t="s">
        <v>1209</v>
      </c>
      <c r="B16" s="1984" t="s">
        <v>1210</v>
      </c>
      <c r="C16" s="1983" t="s">
        <v>1211</v>
      </c>
      <c r="D16" s="1983">
        <v>300</v>
      </c>
      <c r="E16" s="1985">
        <f>85000+ 85000*(5%+9%)</f>
        <v>96900</v>
      </c>
      <c r="F16" s="1985">
        <f>D16*85000/10^5/1.2</f>
        <v>212.5</v>
      </c>
      <c r="G16" s="1986">
        <f>E16*$G$15</f>
        <v>17442</v>
      </c>
      <c r="H16" s="1986">
        <f>E16+G16</f>
        <v>114342</v>
      </c>
      <c r="I16" s="1986">
        <f>G16</f>
        <v>17442</v>
      </c>
      <c r="J16" s="1986">
        <f>H16-I16</f>
        <v>96900</v>
      </c>
      <c r="K16" s="1986">
        <f>H16*D16</f>
        <v>34302600</v>
      </c>
      <c r="L16" s="1986">
        <f>J16*D16</f>
        <v>29070000</v>
      </c>
      <c r="M16" s="1987" t="s">
        <v>1333</v>
      </c>
      <c r="N16" s="1988"/>
    </row>
    <row r="17" spans="1:16" ht="171.75" customHeight="1">
      <c r="A17" s="1983" t="s">
        <v>1212</v>
      </c>
      <c r="B17" s="1989" t="s">
        <v>1213</v>
      </c>
      <c r="C17" s="1983" t="s">
        <v>1211</v>
      </c>
      <c r="D17" s="1983">
        <v>300</v>
      </c>
      <c r="E17" s="1990">
        <f>17440*[19]Escalation!F41</f>
        <v>18364.940683879973</v>
      </c>
      <c r="F17" s="1991">
        <f>D17*E17/10^5</f>
        <v>55.094822051639923</v>
      </c>
      <c r="G17" s="1990">
        <f t="shared" ref="G17:G26" si="0">E17*$G$15</f>
        <v>3305.6893230983951</v>
      </c>
      <c r="H17" s="1990">
        <f t="shared" ref="H17:H26" si="1">E17+G17</f>
        <v>21670.630006978368</v>
      </c>
      <c r="I17" s="1990">
        <f t="shared" ref="I17:I26" si="2">G17</f>
        <v>3305.6893230983951</v>
      </c>
      <c r="J17" s="1990">
        <f t="shared" ref="J17:J26" si="3">H17-I17</f>
        <v>18364.940683879973</v>
      </c>
      <c r="K17" s="1990">
        <f t="shared" ref="K17:K26" si="4">H17*D17</f>
        <v>6501189.0020935107</v>
      </c>
      <c r="L17" s="1990">
        <f t="shared" ref="L17:L26" si="5">J17*D17</f>
        <v>5509482.205163992</v>
      </c>
      <c r="M17" s="1980" t="s">
        <v>1359</v>
      </c>
      <c r="N17" s="1987" t="s">
        <v>1360</v>
      </c>
      <c r="O17" s="1980" t="s">
        <v>1319</v>
      </c>
      <c r="P17" s="1981" t="s">
        <v>1323</v>
      </c>
    </row>
    <row r="18" spans="1:16" ht="272.25" customHeight="1">
      <c r="A18" s="1983" t="s">
        <v>1214</v>
      </c>
      <c r="B18" s="1992" t="s">
        <v>1215</v>
      </c>
      <c r="C18" s="1983" t="s">
        <v>1211</v>
      </c>
      <c r="D18" s="1983">
        <v>3</v>
      </c>
      <c r="E18" s="1990">
        <f>92650*[19]Escalation!F41</f>
        <v>97563.74738311235</v>
      </c>
      <c r="F18" s="1991">
        <f>D18*E18/10^5/(1.05*1.09)</f>
        <v>2.5573721463463261</v>
      </c>
      <c r="G18" s="1990">
        <f t="shared" si="0"/>
        <v>17561.474528960222</v>
      </c>
      <c r="H18" s="1990">
        <f t="shared" si="1"/>
        <v>115125.22191207256</v>
      </c>
      <c r="I18" s="1990">
        <f t="shared" si="2"/>
        <v>17561.474528960222</v>
      </c>
      <c r="J18" s="1990">
        <f t="shared" si="3"/>
        <v>97563.74738311235</v>
      </c>
      <c r="K18" s="1990">
        <f t="shared" si="4"/>
        <v>345375.66573621769</v>
      </c>
      <c r="L18" s="1990">
        <f t="shared" si="5"/>
        <v>292691.24214933708</v>
      </c>
      <c r="M18" s="1993" t="s">
        <v>808</v>
      </c>
      <c r="N18" s="1993" t="s">
        <v>808</v>
      </c>
      <c r="O18" s="1994" t="s">
        <v>1319</v>
      </c>
      <c r="P18" s="1981" t="s">
        <v>1323</v>
      </c>
    </row>
    <row r="19" spans="1:16" ht="120" customHeight="1">
      <c r="A19" s="1983" t="s">
        <v>1216</v>
      </c>
      <c r="B19" s="1984" t="s">
        <v>1217</v>
      </c>
      <c r="C19" s="1983" t="s">
        <v>1218</v>
      </c>
      <c r="D19" s="1983"/>
      <c r="E19" s="1986"/>
      <c r="F19" s="1985">
        <f t="shared" ref="F19" si="6">D19*E19/10^5</f>
        <v>0</v>
      </c>
      <c r="G19" s="1986">
        <f t="shared" si="0"/>
        <v>0</v>
      </c>
      <c r="H19" s="1986">
        <f t="shared" si="1"/>
        <v>0</v>
      </c>
      <c r="I19" s="1986">
        <f t="shared" si="2"/>
        <v>0</v>
      </c>
      <c r="J19" s="1986">
        <f t="shared" si="3"/>
        <v>0</v>
      </c>
      <c r="K19" s="1986">
        <f t="shared" si="4"/>
        <v>0</v>
      </c>
      <c r="L19" s="1986">
        <f t="shared" si="5"/>
        <v>0</v>
      </c>
      <c r="M19" s="1980" t="s">
        <v>808</v>
      </c>
      <c r="N19" s="1980" t="s">
        <v>808</v>
      </c>
      <c r="P19" s="1981" t="s">
        <v>1324</v>
      </c>
    </row>
    <row r="20" spans="1:16" ht="28.8">
      <c r="B20" s="1989" t="s">
        <v>1325</v>
      </c>
      <c r="C20" s="1983" t="s">
        <v>1218</v>
      </c>
      <c r="D20" s="1995">
        <v>500</v>
      </c>
      <c r="E20" s="1985">
        <v>2400</v>
      </c>
      <c r="F20" s="1985">
        <f>D20*E20/10^5/(1.05*1.09*1.2)</f>
        <v>8.7374399301004804</v>
      </c>
      <c r="G20" s="1986">
        <f t="shared" si="0"/>
        <v>432</v>
      </c>
      <c r="H20" s="1986">
        <f t="shared" si="1"/>
        <v>2832</v>
      </c>
      <c r="I20" s="1986">
        <f t="shared" si="2"/>
        <v>432</v>
      </c>
      <c r="J20" s="1986">
        <f t="shared" si="3"/>
        <v>2400</v>
      </c>
      <c r="K20" s="1986">
        <f t="shared" si="4"/>
        <v>1416000</v>
      </c>
      <c r="L20" s="1986">
        <f t="shared" si="5"/>
        <v>1200000</v>
      </c>
      <c r="M20" s="1980" t="s">
        <v>1361</v>
      </c>
      <c r="N20" s="1996" t="s">
        <v>1331</v>
      </c>
    </row>
    <row r="21" spans="1:16" ht="86.4">
      <c r="A21" s="1983"/>
      <c r="B21" s="1989" t="s">
        <v>1326</v>
      </c>
      <c r="C21" s="1983" t="s">
        <v>1218</v>
      </c>
      <c r="D21" s="1983">
        <v>3000</v>
      </c>
      <c r="E21" s="1990">
        <f>1853*[19]Escalation!F41</f>
        <v>1951.2749476622469</v>
      </c>
      <c r="F21" s="1991">
        <f>D21*E21/10^5/(1.05*1.09*1.2)</f>
        <v>42.622869105772104</v>
      </c>
      <c r="G21" s="1990">
        <f t="shared" si="0"/>
        <v>351.22949057920442</v>
      </c>
      <c r="H21" s="1990">
        <f t="shared" si="1"/>
        <v>2302.5044382414512</v>
      </c>
      <c r="I21" s="1990">
        <f t="shared" si="2"/>
        <v>351.22949057920442</v>
      </c>
      <c r="J21" s="1990">
        <f t="shared" si="3"/>
        <v>1951.2749476622469</v>
      </c>
      <c r="K21" s="1990">
        <f t="shared" si="4"/>
        <v>6907513.3147243541</v>
      </c>
      <c r="L21" s="1990">
        <f t="shared" si="5"/>
        <v>5853824.8429867402</v>
      </c>
      <c r="M21" s="1987" t="s">
        <v>1362</v>
      </c>
      <c r="N21" s="1996"/>
      <c r="P21" s="1997"/>
    </row>
    <row r="22" spans="1:16" ht="132" customHeight="1">
      <c r="A22" s="1983" t="s">
        <v>1219</v>
      </c>
      <c r="B22" s="1984" t="s">
        <v>1220</v>
      </c>
      <c r="C22" s="1983" t="s">
        <v>1218</v>
      </c>
      <c r="D22" s="1998"/>
      <c r="E22" s="1999"/>
      <c r="F22" s="1991">
        <f t="shared" ref="F22:F24" si="7">D22*E22/10^5/(1.05*1.09*1.2)</f>
        <v>0</v>
      </c>
      <c r="G22" s="1986">
        <f t="shared" si="0"/>
        <v>0</v>
      </c>
      <c r="H22" s="1986">
        <f t="shared" si="1"/>
        <v>0</v>
      </c>
      <c r="I22" s="1986">
        <f t="shared" si="2"/>
        <v>0</v>
      </c>
      <c r="J22" s="1986">
        <f t="shared" si="3"/>
        <v>0</v>
      </c>
      <c r="K22" s="1986">
        <f t="shared" si="4"/>
        <v>0</v>
      </c>
      <c r="L22" s="1986">
        <f t="shared" si="5"/>
        <v>0</v>
      </c>
      <c r="M22" s="1999"/>
      <c r="N22" s="1980"/>
      <c r="P22" s="1981" t="s">
        <v>1327</v>
      </c>
    </row>
    <row r="23" spans="1:16" ht="28.8">
      <c r="A23" s="1983"/>
      <c r="B23" s="1989" t="s">
        <v>1328</v>
      </c>
      <c r="C23" s="1983"/>
      <c r="D23" s="1998">
        <v>10</v>
      </c>
      <c r="E23" s="2000">
        <f>E20-100</f>
        <v>2300</v>
      </c>
      <c r="F23" s="2001">
        <f t="shared" si="7"/>
        <v>0.16746759866025923</v>
      </c>
      <c r="G23" s="1986">
        <f t="shared" si="0"/>
        <v>414</v>
      </c>
      <c r="H23" s="1986">
        <f t="shared" si="1"/>
        <v>2714</v>
      </c>
      <c r="I23" s="1986">
        <f t="shared" si="2"/>
        <v>414</v>
      </c>
      <c r="J23" s="1986">
        <f t="shared" si="3"/>
        <v>2300</v>
      </c>
      <c r="K23" s="1986">
        <f t="shared" si="4"/>
        <v>27140</v>
      </c>
      <c r="L23" s="1986"/>
      <c r="M23" s="2002" t="s">
        <v>1363</v>
      </c>
      <c r="N23" s="1980"/>
      <c r="P23" s="1997"/>
    </row>
    <row r="24" spans="1:16" ht="19.2">
      <c r="A24" s="1983"/>
      <c r="B24" s="1989" t="s">
        <v>1329</v>
      </c>
      <c r="C24" s="1983"/>
      <c r="D24" s="1998">
        <v>90</v>
      </c>
      <c r="E24" s="2003">
        <f>E21-100</f>
        <v>1851.2749476622469</v>
      </c>
      <c r="F24" s="2001">
        <f t="shared" si="7"/>
        <v>1.2131552736974096</v>
      </c>
      <c r="G24" s="1990">
        <f t="shared" si="0"/>
        <v>333.22949057920442</v>
      </c>
      <c r="H24" s="1990">
        <f t="shared" si="1"/>
        <v>2184.5044382414512</v>
      </c>
      <c r="I24" s="1990">
        <f t="shared" si="2"/>
        <v>333.22949057920442</v>
      </c>
      <c r="J24" s="1990">
        <f t="shared" si="3"/>
        <v>1851.2749476622469</v>
      </c>
      <c r="K24" s="1990">
        <f t="shared" si="4"/>
        <v>196605.39944173061</v>
      </c>
      <c r="L24" s="1986"/>
      <c r="M24" s="1999"/>
      <c r="N24" s="1980"/>
      <c r="P24" s="1997"/>
    </row>
    <row r="25" spans="1:16" ht="141.75" customHeight="1">
      <c r="A25" s="1983" t="s">
        <v>1221</v>
      </c>
      <c r="B25" s="1984" t="s">
        <v>1222</v>
      </c>
      <c r="C25" s="1983" t="s">
        <v>1211</v>
      </c>
      <c r="D25" s="1998">
        <v>130</v>
      </c>
      <c r="E25" s="1990">
        <f>13080*[19]Escalation!F41</f>
        <v>13773.705512909979</v>
      </c>
      <c r="F25" s="1991">
        <f>D25*E25/10^5/1.05</f>
        <v>17.053159206459974</v>
      </c>
      <c r="G25" s="1990">
        <f t="shared" si="0"/>
        <v>2479.2669923237963</v>
      </c>
      <c r="H25" s="1990">
        <f t="shared" si="1"/>
        <v>16252.972505233774</v>
      </c>
      <c r="I25" s="1990">
        <f t="shared" si="2"/>
        <v>2479.2669923237963</v>
      </c>
      <c r="J25" s="1990">
        <f t="shared" si="3"/>
        <v>13773.705512909979</v>
      </c>
      <c r="K25" s="1990">
        <f t="shared" si="4"/>
        <v>2112886.4256803906</v>
      </c>
      <c r="L25" s="1990">
        <f t="shared" si="5"/>
        <v>1790581.7166782974</v>
      </c>
      <c r="M25" s="1980" t="s">
        <v>1364</v>
      </c>
      <c r="N25" s="1993" t="s">
        <v>1360</v>
      </c>
      <c r="O25" s="1980" t="s">
        <v>1319</v>
      </c>
      <c r="P25" s="1981" t="s">
        <v>1323</v>
      </c>
    </row>
    <row r="26" spans="1:16" ht="135" thickBot="1">
      <c r="A26" s="1998" t="s">
        <v>1223</v>
      </c>
      <c r="B26" s="1984" t="s">
        <v>1224</v>
      </c>
      <c r="C26" s="1983" t="s">
        <v>1225</v>
      </c>
      <c r="D26" s="1998">
        <v>2500</v>
      </c>
      <c r="E26" s="1985">
        <f>300*1.05</f>
        <v>315</v>
      </c>
      <c r="F26" s="1985">
        <f>D26*E26/10^5/1.05</f>
        <v>7.5</v>
      </c>
      <c r="G26" s="1986">
        <f t="shared" si="0"/>
        <v>56.699999999999996</v>
      </c>
      <c r="H26" s="1986">
        <f t="shared" si="1"/>
        <v>371.7</v>
      </c>
      <c r="I26" s="1986">
        <f t="shared" si="2"/>
        <v>56.699999999999996</v>
      </c>
      <c r="J26" s="1986">
        <f t="shared" si="3"/>
        <v>315</v>
      </c>
      <c r="K26" s="2004">
        <f t="shared" si="4"/>
        <v>929250</v>
      </c>
      <c r="L26" s="1986">
        <f t="shared" si="5"/>
        <v>787500</v>
      </c>
      <c r="M26" s="1987" t="s">
        <v>1332</v>
      </c>
      <c r="N26" s="1999"/>
    </row>
    <row r="27" spans="1:16" ht="23.25" customHeight="1" thickBot="1">
      <c r="D27" s="2581" t="s">
        <v>1337</v>
      </c>
      <c r="E27" s="2581"/>
      <c r="F27" s="2005">
        <f>SUM(F16:F26)-F17-F25-F26</f>
        <v>267.79830405457659</v>
      </c>
      <c r="K27" s="2006">
        <f>SUM(K16:K26)</f>
        <v>52738559.807676211</v>
      </c>
      <c r="L27" s="2006">
        <f>SUM(L16:L26)</f>
        <v>44504080.00697837</v>
      </c>
    </row>
    <row r="29" spans="1:16">
      <c r="K29" s="1976">
        <f>K27/10^7</f>
        <v>5.2738559807676211</v>
      </c>
      <c r="L29" s="1976">
        <f>L27/10^7</f>
        <v>4.4504080006978368</v>
      </c>
    </row>
  </sheetData>
  <mergeCells count="6">
    <mergeCell ref="D27:E27"/>
    <mergeCell ref="A1:I1"/>
    <mergeCell ref="A2:I2"/>
    <mergeCell ref="A3:I3"/>
    <mergeCell ref="A4:I4"/>
    <mergeCell ref="A5:I5"/>
  </mergeCell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W46"/>
  <sheetViews>
    <sheetView showZeros="0" topLeftCell="E40" zoomScale="70" zoomScaleNormal="70" workbookViewId="0">
      <selection activeCell="S5" sqref="S5"/>
    </sheetView>
  </sheetViews>
  <sheetFormatPr defaultColWidth="8.90625" defaultRowHeight="14.4"/>
  <cols>
    <col min="1" max="1" width="8.90625" style="2007"/>
    <col min="2" max="2" width="67.36328125" style="2007" customWidth="1"/>
    <col min="3" max="3" width="8.90625" style="2007"/>
    <col min="4" max="4" width="8.90625" style="2008"/>
    <col min="5" max="5" width="11.08984375" style="2007" customWidth="1"/>
    <col min="6" max="7" width="9.6328125" style="2007" customWidth="1"/>
    <col min="8" max="8" width="14.36328125" style="2007" customWidth="1"/>
    <col min="9" max="11" width="8.90625" style="2007"/>
    <col min="12" max="12" width="11" style="2007" customWidth="1"/>
    <col min="13" max="13" width="11.54296875" style="2007" customWidth="1"/>
    <col min="14" max="14" width="15.08984375" style="2007" customWidth="1"/>
    <col min="15" max="15" width="18.54296875" style="2007" customWidth="1"/>
    <col min="16" max="19" width="8.90625" style="2007"/>
    <col min="20" max="20" width="8.90625" style="2007" customWidth="1"/>
    <col min="21" max="21" width="14.36328125" style="2007" customWidth="1"/>
    <col min="22" max="22" width="9.36328125" style="2007" bestFit="1" customWidth="1"/>
    <col min="23" max="16384" width="8.90625" style="2007"/>
  </cols>
  <sheetData>
    <row r="1" spans="1:23" ht="15.6">
      <c r="A1" s="2582" t="s">
        <v>1</v>
      </c>
      <c r="B1" s="2582"/>
      <c r="C1" s="2582"/>
      <c r="D1" s="2582"/>
      <c r="E1" s="2582"/>
      <c r="F1" s="2582"/>
      <c r="G1" s="2582"/>
      <c r="H1" s="2582"/>
      <c r="I1" s="2582"/>
      <c r="J1" s="2582"/>
    </row>
    <row r="2" spans="1:23">
      <c r="A2" s="2583" t="s">
        <v>1084</v>
      </c>
      <c r="B2" s="2583"/>
      <c r="C2" s="2583"/>
      <c r="D2" s="2583"/>
      <c r="E2" s="2583"/>
      <c r="F2" s="2583"/>
      <c r="G2" s="2583"/>
      <c r="H2" s="2583"/>
      <c r="I2" s="2583"/>
      <c r="J2" s="2583"/>
    </row>
    <row r="3" spans="1:23" ht="17.25" customHeight="1">
      <c r="A3" s="2584" t="s">
        <v>987</v>
      </c>
      <c r="B3" s="2584"/>
      <c r="C3" s="2584"/>
      <c r="D3" s="2584"/>
      <c r="E3" s="2584"/>
      <c r="F3" s="2584"/>
      <c r="G3" s="2584"/>
      <c r="H3" s="2584"/>
      <c r="I3" s="2584"/>
      <c r="J3" s="2584"/>
    </row>
    <row r="4" spans="1:23">
      <c r="A4" s="2583" t="s">
        <v>988</v>
      </c>
      <c r="B4" s="2583"/>
      <c r="C4" s="2583"/>
      <c r="D4" s="2583"/>
      <c r="E4" s="2583"/>
      <c r="F4" s="2583"/>
      <c r="G4" s="2583"/>
      <c r="H4" s="2583"/>
      <c r="I4" s="2583"/>
      <c r="J4" s="2583"/>
    </row>
    <row r="5" spans="1:23">
      <c r="A5" s="2585" t="s">
        <v>1316</v>
      </c>
      <c r="B5" s="2585"/>
      <c r="C5" s="2585"/>
      <c r="D5" s="2585"/>
      <c r="E5" s="2585"/>
      <c r="F5" s="2585"/>
      <c r="G5" s="2585"/>
      <c r="H5" s="2585"/>
      <c r="I5" s="2585"/>
      <c r="J5" s="2585"/>
    </row>
    <row r="8" spans="1:23">
      <c r="P8" s="1977" t="s">
        <v>334</v>
      </c>
    </row>
    <row r="9" spans="1:23" ht="93.6">
      <c r="A9" s="2009" t="s">
        <v>1179</v>
      </c>
      <c r="B9" s="2009" t="s">
        <v>294</v>
      </c>
      <c r="C9" s="2009" t="s">
        <v>198</v>
      </c>
      <c r="D9" s="2009" t="s">
        <v>1180</v>
      </c>
      <c r="E9" s="1978" t="s">
        <v>1299</v>
      </c>
      <c r="F9" s="1904" t="s">
        <v>1335</v>
      </c>
      <c r="G9" s="1651" t="s">
        <v>1297</v>
      </c>
      <c r="H9" s="1651" t="s">
        <v>1292</v>
      </c>
      <c r="I9" s="1651" t="s">
        <v>1317</v>
      </c>
      <c r="J9" s="1651" t="s">
        <v>1293</v>
      </c>
      <c r="K9" s="1651" t="s">
        <v>1294</v>
      </c>
      <c r="L9" s="1651" t="s">
        <v>1295</v>
      </c>
      <c r="M9" s="1651" t="s">
        <v>1296</v>
      </c>
      <c r="N9" s="2009" t="s">
        <v>1226</v>
      </c>
      <c r="O9" s="1980" t="s">
        <v>1318</v>
      </c>
      <c r="P9" s="2010" t="s">
        <v>1330</v>
      </c>
      <c r="R9" s="1978" t="s">
        <v>1299</v>
      </c>
      <c r="S9" s="1978" t="s">
        <v>538</v>
      </c>
      <c r="T9" s="1978" t="s">
        <v>1291</v>
      </c>
      <c r="U9" s="2011" t="s">
        <v>824</v>
      </c>
      <c r="V9" s="1978" t="s">
        <v>1298</v>
      </c>
      <c r="W9" s="1982"/>
    </row>
    <row r="10" spans="1:23" ht="19.2">
      <c r="A10" s="1982" t="s">
        <v>197</v>
      </c>
      <c r="B10" s="1982" t="s">
        <v>61</v>
      </c>
      <c r="C10" s="1982" t="s">
        <v>62</v>
      </c>
      <c r="D10" s="1982" t="s">
        <v>63</v>
      </c>
      <c r="E10" s="1982" t="s">
        <v>64</v>
      </c>
      <c r="F10" s="1982"/>
      <c r="G10" s="1982" t="s">
        <v>65</v>
      </c>
      <c r="H10" s="1982" t="s">
        <v>66</v>
      </c>
      <c r="I10" s="1982" t="s">
        <v>1300</v>
      </c>
      <c r="J10" s="1982" t="s">
        <v>298</v>
      </c>
      <c r="K10" s="1982" t="s">
        <v>1301</v>
      </c>
      <c r="L10" s="1982" t="s">
        <v>1302</v>
      </c>
      <c r="M10" s="1982" t="s">
        <v>1303</v>
      </c>
      <c r="N10" s="2009"/>
      <c r="O10" s="1976"/>
      <c r="R10" s="1982" t="str">
        <f>E10</f>
        <v>e</v>
      </c>
      <c r="S10" s="1982"/>
      <c r="T10" s="1982"/>
      <c r="U10" s="1982"/>
      <c r="V10" s="1982" t="str">
        <f>G10</f>
        <v>f</v>
      </c>
    </row>
    <row r="11" spans="1:23" ht="19.2">
      <c r="A11" s="1982"/>
      <c r="B11" s="1982"/>
      <c r="C11" s="1982"/>
      <c r="D11" s="1982"/>
      <c r="E11" s="1982"/>
      <c r="F11" s="1982"/>
      <c r="G11" s="1982"/>
      <c r="H11" s="1671">
        <v>0.18</v>
      </c>
      <c r="I11" s="1666"/>
      <c r="J11" s="1666"/>
      <c r="K11" s="1666"/>
      <c r="L11" s="1666"/>
      <c r="M11" s="1666"/>
      <c r="N11" s="2009"/>
      <c r="O11" s="1976"/>
      <c r="S11" s="2012">
        <v>0.12</v>
      </c>
      <c r="T11" s="2013">
        <v>0.05</v>
      </c>
      <c r="U11" s="2012">
        <v>0.02</v>
      </c>
    </row>
    <row r="12" spans="1:23" ht="19.2">
      <c r="A12" s="2586" t="s">
        <v>33</v>
      </c>
      <c r="B12" s="2586"/>
      <c r="C12" s="2586"/>
      <c r="D12" s="2586"/>
      <c r="E12" s="2586"/>
      <c r="F12" s="2586"/>
      <c r="G12" s="2014"/>
      <c r="H12" s="2015"/>
      <c r="N12" s="2015"/>
    </row>
    <row r="13" spans="1:23" ht="96">
      <c r="A13" s="2014" t="s">
        <v>1227</v>
      </c>
      <c r="B13" s="2016" t="s">
        <v>1228</v>
      </c>
      <c r="C13" s="2017" t="s">
        <v>673</v>
      </c>
      <c r="D13" s="2018">
        <v>70</v>
      </c>
      <c r="E13" s="2019">
        <f>2928.1/1.15</f>
        <v>2546.1739130434785</v>
      </c>
      <c r="F13" s="2020">
        <f>E13*D13/10^5</f>
        <v>1.7823217391304349</v>
      </c>
      <c r="G13" s="2021">
        <f>V13</f>
        <v>2673.4826086956523</v>
      </c>
      <c r="H13" s="2021">
        <f>G13*$H$11</f>
        <v>481.22686956521738</v>
      </c>
      <c r="I13" s="2021">
        <f>G13+H13</f>
        <v>3154.7094782608697</v>
      </c>
      <c r="J13" s="2021">
        <f>H13</f>
        <v>481.22686956521738</v>
      </c>
      <c r="K13" s="2021">
        <f>I13-J13</f>
        <v>2673.4826086956523</v>
      </c>
      <c r="L13" s="2021">
        <f>I13*D13</f>
        <v>220829.66347826089</v>
      </c>
      <c r="M13" s="2021">
        <f>K13*D13</f>
        <v>187143.78260869565</v>
      </c>
      <c r="N13" s="2022" t="s">
        <v>1229</v>
      </c>
      <c r="R13" s="2019">
        <f>E13</f>
        <v>2546.1739130434785</v>
      </c>
      <c r="S13" s="2015"/>
      <c r="T13" s="2023">
        <f>R13*$T$11</f>
        <v>127.30869565217392</v>
      </c>
      <c r="U13" s="2024"/>
      <c r="V13" s="2023">
        <f>R13+S13+T13+U13</f>
        <v>2673.4826086956523</v>
      </c>
    </row>
    <row r="14" spans="1:23" ht="96">
      <c r="A14" s="2014" t="s">
        <v>1230</v>
      </c>
      <c r="B14" s="2016" t="s">
        <v>1231</v>
      </c>
      <c r="C14" s="2017" t="s">
        <v>673</v>
      </c>
      <c r="D14" s="2018">
        <v>2</v>
      </c>
      <c r="E14" s="2019">
        <f>2007.1/1.15</f>
        <v>1745.304347826087</v>
      </c>
      <c r="F14" s="2020">
        <f t="shared" ref="F14:F43" si="0">E14*D14/10^5</f>
        <v>3.490608695652174E-2</v>
      </c>
      <c r="G14" s="2021">
        <f t="shared" ref="G14:G43" si="1">V14</f>
        <v>1832.5695652173913</v>
      </c>
      <c r="H14" s="2021">
        <f t="shared" ref="H14:H43" si="2">G14*$H$11</f>
        <v>329.86252173913044</v>
      </c>
      <c r="I14" s="2021">
        <f t="shared" ref="I14:I43" si="3">G14+H14</f>
        <v>2162.4320869565217</v>
      </c>
      <c r="J14" s="2021">
        <f t="shared" ref="J14:J43" si="4">H14</f>
        <v>329.86252173913044</v>
      </c>
      <c r="K14" s="2021">
        <f t="shared" ref="K14:K43" si="5">I14-J14</f>
        <v>1832.5695652173913</v>
      </c>
      <c r="L14" s="2021">
        <f t="shared" ref="L14:L43" si="6">I14*D14</f>
        <v>4324.8641739130435</v>
      </c>
      <c r="M14" s="2021">
        <f t="shared" ref="M14:M43" si="7">K14*D14</f>
        <v>3665.1391304347826</v>
      </c>
      <c r="N14" s="2022" t="s">
        <v>1232</v>
      </c>
      <c r="R14" s="2019">
        <f t="shared" ref="R14:R43" si="8">E14</f>
        <v>1745.304347826087</v>
      </c>
      <c r="S14" s="2015"/>
      <c r="T14" s="2023">
        <f t="shared" ref="T14:T43" si="9">R14*$T$11</f>
        <v>87.265217391304361</v>
      </c>
      <c r="U14" s="2024"/>
      <c r="V14" s="2023">
        <f t="shared" ref="V14:V43" si="10">R14+S14+T14+U14</f>
        <v>1832.5695652173913</v>
      </c>
    </row>
    <row r="15" spans="1:23" ht="96">
      <c r="A15" s="2014" t="s">
        <v>1233</v>
      </c>
      <c r="B15" s="2016" t="s">
        <v>1234</v>
      </c>
      <c r="C15" s="2017" t="s">
        <v>673</v>
      </c>
      <c r="D15" s="2018">
        <v>10</v>
      </c>
      <c r="E15" s="2019">
        <f>2619.45/1.15</f>
        <v>2277.782608695652</v>
      </c>
      <c r="F15" s="2020">
        <f t="shared" si="0"/>
        <v>0.22777826086956521</v>
      </c>
      <c r="G15" s="2021">
        <f t="shared" si="1"/>
        <v>2391.6717391304346</v>
      </c>
      <c r="H15" s="2021">
        <f t="shared" si="2"/>
        <v>430.50091304347819</v>
      </c>
      <c r="I15" s="2021">
        <f t="shared" si="3"/>
        <v>2822.1726521739129</v>
      </c>
      <c r="J15" s="2021">
        <f t="shared" si="4"/>
        <v>430.50091304347819</v>
      </c>
      <c r="K15" s="2021">
        <f t="shared" si="5"/>
        <v>2391.6717391304346</v>
      </c>
      <c r="L15" s="2021">
        <f t="shared" si="6"/>
        <v>28221.726521739129</v>
      </c>
      <c r="M15" s="2021">
        <f t="shared" si="7"/>
        <v>23916.717391304344</v>
      </c>
      <c r="N15" s="2022" t="s">
        <v>1067</v>
      </c>
      <c r="R15" s="2019">
        <f t="shared" si="8"/>
        <v>2277.782608695652</v>
      </c>
      <c r="S15" s="2015"/>
      <c r="T15" s="2023">
        <f t="shared" si="9"/>
        <v>113.8891304347826</v>
      </c>
      <c r="U15" s="2024"/>
      <c r="V15" s="2023">
        <f t="shared" si="10"/>
        <v>2391.6717391304346</v>
      </c>
    </row>
    <row r="16" spans="1:23" ht="17.25" customHeight="1">
      <c r="A16" s="2587" t="s">
        <v>1235</v>
      </c>
      <c r="B16" s="2588"/>
      <c r="C16" s="2025"/>
      <c r="D16" s="2025"/>
      <c r="E16" s="2025"/>
      <c r="F16" s="2020">
        <f t="shared" si="0"/>
        <v>0</v>
      </c>
      <c r="G16" s="2021">
        <f t="shared" si="1"/>
        <v>0</v>
      </c>
      <c r="H16" s="2021">
        <f t="shared" si="2"/>
        <v>0</v>
      </c>
      <c r="I16" s="2021">
        <f t="shared" si="3"/>
        <v>0</v>
      </c>
      <c r="J16" s="2021">
        <f t="shared" si="4"/>
        <v>0</v>
      </c>
      <c r="K16" s="2021">
        <f t="shared" si="5"/>
        <v>0</v>
      </c>
      <c r="L16" s="2021">
        <f t="shared" si="6"/>
        <v>0</v>
      </c>
      <c r="M16" s="2021">
        <f t="shared" si="7"/>
        <v>0</v>
      </c>
      <c r="N16" s="2015"/>
      <c r="R16" s="2019">
        <f t="shared" si="8"/>
        <v>0</v>
      </c>
      <c r="S16" s="2015"/>
      <c r="T16" s="2023">
        <f t="shared" si="9"/>
        <v>0</v>
      </c>
      <c r="U16" s="2026"/>
      <c r="V16" s="2023">
        <f t="shared" si="10"/>
        <v>0</v>
      </c>
    </row>
    <row r="17" spans="1:22" ht="172.8">
      <c r="A17" s="2014" t="s">
        <v>1236</v>
      </c>
      <c r="B17" s="2016" t="s">
        <v>1237</v>
      </c>
      <c r="C17" s="2017" t="s">
        <v>673</v>
      </c>
      <c r="D17" s="2018">
        <v>200</v>
      </c>
      <c r="E17" s="2019">
        <f>286.85/1.15</f>
        <v>249.43478260869568</v>
      </c>
      <c r="F17" s="2020">
        <f t="shared" si="0"/>
        <v>0.49886956521739134</v>
      </c>
      <c r="G17" s="2021">
        <f t="shared" si="1"/>
        <v>261.90652173913048</v>
      </c>
      <c r="H17" s="2021">
        <f t="shared" si="2"/>
        <v>47.143173913043483</v>
      </c>
      <c r="I17" s="2021">
        <f t="shared" si="3"/>
        <v>309.04969565217397</v>
      </c>
      <c r="J17" s="2021">
        <f t="shared" si="4"/>
        <v>47.143173913043483</v>
      </c>
      <c r="K17" s="2021">
        <f t="shared" si="5"/>
        <v>261.90652173913048</v>
      </c>
      <c r="L17" s="2021">
        <f t="shared" si="6"/>
        <v>61809.939130434796</v>
      </c>
      <c r="M17" s="2021">
        <f t="shared" si="7"/>
        <v>52381.304347826095</v>
      </c>
      <c r="N17" s="2022" t="s">
        <v>1238</v>
      </c>
      <c r="R17" s="2019">
        <f t="shared" si="8"/>
        <v>249.43478260869568</v>
      </c>
      <c r="S17" s="2015"/>
      <c r="T17" s="2023">
        <f t="shared" si="9"/>
        <v>12.471739130434784</v>
      </c>
      <c r="U17" s="2024"/>
      <c r="V17" s="2023">
        <f t="shared" si="10"/>
        <v>261.90652173913048</v>
      </c>
    </row>
    <row r="18" spans="1:22" ht="57.6">
      <c r="A18" s="2014" t="s">
        <v>1239</v>
      </c>
      <c r="B18" s="2014" t="s">
        <v>1240</v>
      </c>
      <c r="C18" s="2017" t="s">
        <v>673</v>
      </c>
      <c r="D18" s="2018">
        <v>80</v>
      </c>
      <c r="E18" s="2019">
        <f>253.95/1.15</f>
        <v>220.82608695652175</v>
      </c>
      <c r="F18" s="2020">
        <f t="shared" si="0"/>
        <v>0.1766608695652174</v>
      </c>
      <c r="G18" s="2021">
        <f t="shared" si="1"/>
        <v>231.86739130434785</v>
      </c>
      <c r="H18" s="2021">
        <f t="shared" si="2"/>
        <v>41.736130434782609</v>
      </c>
      <c r="I18" s="2021">
        <f t="shared" si="3"/>
        <v>273.60352173913043</v>
      </c>
      <c r="J18" s="2021">
        <f t="shared" si="4"/>
        <v>41.736130434782609</v>
      </c>
      <c r="K18" s="2021">
        <f t="shared" si="5"/>
        <v>231.86739130434782</v>
      </c>
      <c r="L18" s="2021">
        <f t="shared" si="6"/>
        <v>21888.281739130434</v>
      </c>
      <c r="M18" s="2021">
        <f t="shared" si="7"/>
        <v>18549.391304347824</v>
      </c>
      <c r="N18" s="2022" t="s">
        <v>1241</v>
      </c>
      <c r="R18" s="2019">
        <f t="shared" si="8"/>
        <v>220.82608695652175</v>
      </c>
      <c r="S18" s="2015"/>
      <c r="T18" s="2023">
        <f t="shared" si="9"/>
        <v>11.041304347826088</v>
      </c>
      <c r="U18" s="2024"/>
      <c r="V18" s="2023">
        <f t="shared" si="10"/>
        <v>231.86739130434785</v>
      </c>
    </row>
    <row r="19" spans="1:22" ht="96">
      <c r="A19" s="2016" t="s">
        <v>1242</v>
      </c>
      <c r="B19" s="2016" t="s">
        <v>1243</v>
      </c>
      <c r="C19" s="2018" t="s">
        <v>673</v>
      </c>
      <c r="D19" s="2018">
        <v>120</v>
      </c>
      <c r="E19" s="2019">
        <f>271.45/1.15</f>
        <v>236.04347826086956</v>
      </c>
      <c r="F19" s="2020">
        <f t="shared" si="0"/>
        <v>0.28325217391304347</v>
      </c>
      <c r="G19" s="2021">
        <f t="shared" si="1"/>
        <v>247.84565217391304</v>
      </c>
      <c r="H19" s="2021">
        <f t="shared" si="2"/>
        <v>44.612217391304348</v>
      </c>
      <c r="I19" s="2021">
        <f t="shared" si="3"/>
        <v>292.45786956521738</v>
      </c>
      <c r="J19" s="2021">
        <f t="shared" si="4"/>
        <v>44.612217391304348</v>
      </c>
      <c r="K19" s="2021">
        <f t="shared" si="5"/>
        <v>247.84565217391304</v>
      </c>
      <c r="L19" s="2021">
        <f t="shared" si="6"/>
        <v>35094.944347826087</v>
      </c>
      <c r="M19" s="2021">
        <f t="shared" si="7"/>
        <v>29741.478260869564</v>
      </c>
      <c r="N19" s="2022" t="s">
        <v>1244</v>
      </c>
      <c r="R19" s="2019">
        <f t="shared" si="8"/>
        <v>236.04347826086956</v>
      </c>
      <c r="S19" s="2015"/>
      <c r="T19" s="2023">
        <f t="shared" si="9"/>
        <v>11.802173913043479</v>
      </c>
      <c r="U19" s="2024"/>
      <c r="V19" s="2023">
        <f t="shared" si="10"/>
        <v>247.84565217391304</v>
      </c>
    </row>
    <row r="20" spans="1:22" ht="38.4">
      <c r="A20" s="2016" t="s">
        <v>1245</v>
      </c>
      <c r="B20" s="2016" t="s">
        <v>1246</v>
      </c>
      <c r="C20" s="2018" t="s">
        <v>673</v>
      </c>
      <c r="D20" s="2018">
        <v>5</v>
      </c>
      <c r="E20" s="2019">
        <f>2161.2/1.15</f>
        <v>1879.304347826087</v>
      </c>
      <c r="F20" s="2020">
        <f t="shared" si="0"/>
        <v>9.3965217391304354E-2</v>
      </c>
      <c r="G20" s="2021">
        <f t="shared" si="1"/>
        <v>1973.2695652173913</v>
      </c>
      <c r="H20" s="2021">
        <f t="shared" si="2"/>
        <v>355.18852173913041</v>
      </c>
      <c r="I20" s="2021">
        <f t="shared" si="3"/>
        <v>2328.4580869565216</v>
      </c>
      <c r="J20" s="2021">
        <f t="shared" si="4"/>
        <v>355.18852173913041</v>
      </c>
      <c r="K20" s="2021">
        <f t="shared" si="5"/>
        <v>1973.2695652173911</v>
      </c>
      <c r="L20" s="2021">
        <f t="shared" si="6"/>
        <v>11642.290434782608</v>
      </c>
      <c r="M20" s="2021">
        <f t="shared" si="7"/>
        <v>9866.347826086956</v>
      </c>
      <c r="N20" s="2022" t="s">
        <v>1247</v>
      </c>
      <c r="R20" s="2019">
        <f t="shared" si="8"/>
        <v>1879.304347826087</v>
      </c>
      <c r="S20" s="2015"/>
      <c r="T20" s="2023">
        <f t="shared" si="9"/>
        <v>93.96521739130435</v>
      </c>
      <c r="U20" s="2024"/>
      <c r="V20" s="2023">
        <f t="shared" si="10"/>
        <v>1973.2695652173913</v>
      </c>
    </row>
    <row r="21" spans="1:22" ht="57.6">
      <c r="A21" s="2016" t="s">
        <v>1248</v>
      </c>
      <c r="B21" s="2016" t="s">
        <v>1249</v>
      </c>
      <c r="C21" s="2018" t="s">
        <v>1225</v>
      </c>
      <c r="D21" s="2018">
        <v>200</v>
      </c>
      <c r="E21" s="2019">
        <f>28.15/1.15</f>
        <v>24.478260869565219</v>
      </c>
      <c r="F21" s="2020">
        <f t="shared" si="0"/>
        <v>4.895652173913044E-2</v>
      </c>
      <c r="G21" s="2021">
        <f t="shared" si="1"/>
        <v>25.702173913043481</v>
      </c>
      <c r="H21" s="2021">
        <f t="shared" si="2"/>
        <v>4.626391304347826</v>
      </c>
      <c r="I21" s="2021">
        <f t="shared" si="3"/>
        <v>30.328565217391308</v>
      </c>
      <c r="J21" s="2021">
        <f t="shared" si="4"/>
        <v>4.626391304347826</v>
      </c>
      <c r="K21" s="2021">
        <f t="shared" si="5"/>
        <v>25.702173913043481</v>
      </c>
      <c r="L21" s="2021">
        <f t="shared" si="6"/>
        <v>6065.7130434782612</v>
      </c>
      <c r="M21" s="2021">
        <f t="shared" si="7"/>
        <v>5140.434782608696</v>
      </c>
      <c r="N21" s="2022" t="s">
        <v>1250</v>
      </c>
      <c r="R21" s="2019">
        <f t="shared" si="8"/>
        <v>24.478260869565219</v>
      </c>
      <c r="S21" s="2015"/>
      <c r="T21" s="2023">
        <f t="shared" si="9"/>
        <v>1.223913043478261</v>
      </c>
      <c r="U21" s="2024"/>
      <c r="V21" s="2023">
        <f t="shared" si="10"/>
        <v>25.702173913043481</v>
      </c>
    </row>
    <row r="22" spans="1:22" ht="17.25" customHeight="1">
      <c r="A22" s="2587" t="s">
        <v>1251</v>
      </c>
      <c r="B22" s="2588"/>
      <c r="C22" s="2025"/>
      <c r="D22" s="2025"/>
      <c r="E22" s="2025"/>
      <c r="F22" s="2020">
        <f t="shared" si="0"/>
        <v>0</v>
      </c>
      <c r="G22" s="2017">
        <f t="shared" si="1"/>
        <v>0</v>
      </c>
      <c r="H22" s="2021">
        <f t="shared" si="2"/>
        <v>0</v>
      </c>
      <c r="I22" s="2021">
        <f t="shared" si="3"/>
        <v>0</v>
      </c>
      <c r="J22" s="2021">
        <f t="shared" si="4"/>
        <v>0</v>
      </c>
      <c r="K22" s="2021">
        <f t="shared" si="5"/>
        <v>0</v>
      </c>
      <c r="L22" s="2021">
        <f t="shared" si="6"/>
        <v>0</v>
      </c>
      <c r="M22" s="2021">
        <f t="shared" si="7"/>
        <v>0</v>
      </c>
      <c r="N22" s="2015"/>
      <c r="R22" s="2019">
        <f t="shared" si="8"/>
        <v>0</v>
      </c>
      <c r="S22" s="2015"/>
      <c r="T22" s="2023">
        <f t="shared" si="9"/>
        <v>0</v>
      </c>
      <c r="U22" s="2026"/>
      <c r="V22" s="2023">
        <f t="shared" si="10"/>
        <v>0</v>
      </c>
    </row>
    <row r="23" spans="1:22" ht="115.2">
      <c r="A23" s="2016" t="s">
        <v>1252</v>
      </c>
      <c r="B23" s="2016" t="s">
        <v>1253</v>
      </c>
      <c r="C23" s="2018" t="s">
        <v>564</v>
      </c>
      <c r="D23" s="2018">
        <v>1</v>
      </c>
      <c r="E23" s="2019">
        <v>50000</v>
      </c>
      <c r="F23" s="2020">
        <f t="shared" si="0"/>
        <v>0.5</v>
      </c>
      <c r="G23" s="2021">
        <f t="shared" si="1"/>
        <v>52500</v>
      </c>
      <c r="H23" s="2021">
        <f t="shared" si="2"/>
        <v>9450</v>
      </c>
      <c r="I23" s="2021">
        <f t="shared" si="3"/>
        <v>61950</v>
      </c>
      <c r="J23" s="2021">
        <f t="shared" si="4"/>
        <v>9450</v>
      </c>
      <c r="K23" s="2021">
        <f t="shared" si="5"/>
        <v>52500</v>
      </c>
      <c r="L23" s="2021">
        <f t="shared" si="6"/>
        <v>61950</v>
      </c>
      <c r="M23" s="2021">
        <f t="shared" si="7"/>
        <v>52500</v>
      </c>
      <c r="N23" s="2022" t="s">
        <v>1254</v>
      </c>
      <c r="R23" s="2019">
        <f t="shared" si="8"/>
        <v>50000</v>
      </c>
      <c r="S23" s="2015"/>
      <c r="T23" s="2023">
        <f t="shared" si="9"/>
        <v>2500</v>
      </c>
      <c r="U23" s="2024"/>
      <c r="V23" s="2023">
        <f t="shared" si="10"/>
        <v>52500</v>
      </c>
    </row>
    <row r="24" spans="1:22" ht="192">
      <c r="A24" s="2014" t="s">
        <v>1255</v>
      </c>
      <c r="B24" s="2027" t="s">
        <v>1256</v>
      </c>
      <c r="C24" s="2017" t="s">
        <v>1039</v>
      </c>
      <c r="D24" s="2018">
        <v>360</v>
      </c>
      <c r="E24" s="2019">
        <f>3060.1/1.15</f>
        <v>2660.9565217391305</v>
      </c>
      <c r="F24" s="2020">
        <f t="shared" si="0"/>
        <v>9.5794434782608704</v>
      </c>
      <c r="G24" s="2021">
        <f t="shared" si="1"/>
        <v>2794.0043478260868</v>
      </c>
      <c r="H24" s="2021">
        <f t="shared" si="2"/>
        <v>502.92078260869562</v>
      </c>
      <c r="I24" s="2021">
        <f t="shared" si="3"/>
        <v>3296.9251304347827</v>
      </c>
      <c r="J24" s="2021">
        <f t="shared" si="4"/>
        <v>502.92078260869562</v>
      </c>
      <c r="K24" s="2021">
        <f t="shared" si="5"/>
        <v>2794.0043478260868</v>
      </c>
      <c r="L24" s="2021">
        <f t="shared" si="6"/>
        <v>1186893.0469565217</v>
      </c>
      <c r="M24" s="2021">
        <f t="shared" si="7"/>
        <v>1005841.5652173912</v>
      </c>
      <c r="N24" s="2028" t="s">
        <v>1080</v>
      </c>
      <c r="R24" s="2019">
        <f t="shared" si="8"/>
        <v>2660.9565217391305</v>
      </c>
      <c r="S24" s="2015"/>
      <c r="T24" s="2023">
        <f t="shared" si="9"/>
        <v>133.04782608695652</v>
      </c>
      <c r="U24" s="2029"/>
      <c r="V24" s="2023">
        <f t="shared" si="10"/>
        <v>2794.0043478260868</v>
      </c>
    </row>
    <row r="25" spans="1:22" ht="154.19999999999999">
      <c r="A25" s="2016" t="s">
        <v>1257</v>
      </c>
      <c r="B25" s="2030" t="s">
        <v>1258</v>
      </c>
      <c r="C25" s="2031" t="s">
        <v>1259</v>
      </c>
      <c r="D25" s="2018">
        <v>8</v>
      </c>
      <c r="E25" s="2019">
        <f>89.65/1.15</f>
        <v>77.956521739130451</v>
      </c>
      <c r="F25" s="2020">
        <f t="shared" si="0"/>
        <v>6.2365217391304358E-3</v>
      </c>
      <c r="G25" s="2021">
        <f t="shared" si="1"/>
        <v>81.854347826086979</v>
      </c>
      <c r="H25" s="2021">
        <f t="shared" si="2"/>
        <v>14.733782608695655</v>
      </c>
      <c r="I25" s="2021">
        <f t="shared" si="3"/>
        <v>96.588130434782641</v>
      </c>
      <c r="J25" s="2021">
        <f t="shared" si="4"/>
        <v>14.733782608695655</v>
      </c>
      <c r="K25" s="2021">
        <f t="shared" si="5"/>
        <v>81.854347826086979</v>
      </c>
      <c r="L25" s="2021">
        <f t="shared" si="6"/>
        <v>772.70504347826113</v>
      </c>
      <c r="M25" s="2021">
        <f t="shared" si="7"/>
        <v>654.83478260869583</v>
      </c>
      <c r="N25" s="2032" t="s">
        <v>750</v>
      </c>
      <c r="R25" s="2019">
        <f t="shared" si="8"/>
        <v>77.956521739130451</v>
      </c>
      <c r="S25" s="2015"/>
      <c r="T25" s="2023">
        <f t="shared" si="9"/>
        <v>3.8978260869565227</v>
      </c>
      <c r="U25" s="2033"/>
      <c r="V25" s="2023">
        <f t="shared" si="10"/>
        <v>81.854347826086979</v>
      </c>
    </row>
    <row r="26" spans="1:22" ht="57.6">
      <c r="A26" s="2034" t="s">
        <v>1260</v>
      </c>
      <c r="B26" s="2035" t="s">
        <v>1261</v>
      </c>
      <c r="C26" s="2036" t="s">
        <v>1259</v>
      </c>
      <c r="D26" s="2037">
        <v>3</v>
      </c>
      <c r="E26" s="2019">
        <f>93.05/1.15</f>
        <v>80.913043478260875</v>
      </c>
      <c r="F26" s="2038">
        <f t="shared" si="0"/>
        <v>2.4273913043478261E-3</v>
      </c>
      <c r="G26" s="2021">
        <f t="shared" si="1"/>
        <v>84.958695652173915</v>
      </c>
      <c r="H26" s="2021">
        <f t="shared" si="2"/>
        <v>15.292565217391305</v>
      </c>
      <c r="I26" s="2021">
        <f t="shared" si="3"/>
        <v>100.25126086956521</v>
      </c>
      <c r="J26" s="2021">
        <f t="shared" si="4"/>
        <v>15.292565217391305</v>
      </c>
      <c r="K26" s="2021">
        <f t="shared" si="5"/>
        <v>84.958695652173915</v>
      </c>
      <c r="L26" s="2021">
        <f t="shared" si="6"/>
        <v>300.75378260869564</v>
      </c>
      <c r="M26" s="2021">
        <f t="shared" si="7"/>
        <v>254.87608695652176</v>
      </c>
      <c r="N26" s="2032" t="s">
        <v>1078</v>
      </c>
      <c r="R26" s="2019">
        <f t="shared" si="8"/>
        <v>80.913043478260875</v>
      </c>
      <c r="S26" s="2015"/>
      <c r="T26" s="2023">
        <f t="shared" si="9"/>
        <v>4.0456521739130435</v>
      </c>
      <c r="U26" s="2033"/>
      <c r="V26" s="2023">
        <f t="shared" si="10"/>
        <v>84.958695652173915</v>
      </c>
    </row>
    <row r="27" spans="1:22" ht="115.2">
      <c r="A27" s="2034" t="s">
        <v>1262</v>
      </c>
      <c r="B27" s="2039" t="s">
        <v>1263</v>
      </c>
      <c r="C27" s="2036"/>
      <c r="D27" s="2037"/>
      <c r="E27" s="2040"/>
      <c r="F27" s="2020">
        <f t="shared" si="0"/>
        <v>0</v>
      </c>
      <c r="G27" s="2017">
        <f t="shared" si="1"/>
        <v>0</v>
      </c>
      <c r="H27" s="2021">
        <f t="shared" si="2"/>
        <v>0</v>
      </c>
      <c r="I27" s="2021">
        <f t="shared" si="3"/>
        <v>0</v>
      </c>
      <c r="J27" s="2021">
        <f t="shared" si="4"/>
        <v>0</v>
      </c>
      <c r="K27" s="2021">
        <f t="shared" si="5"/>
        <v>0</v>
      </c>
      <c r="L27" s="2021">
        <f t="shared" si="6"/>
        <v>0</v>
      </c>
      <c r="M27" s="2021">
        <f t="shared" si="7"/>
        <v>0</v>
      </c>
      <c r="N27" s="2015"/>
      <c r="R27" s="2019">
        <f t="shared" si="8"/>
        <v>0</v>
      </c>
      <c r="S27" s="2015"/>
      <c r="T27" s="2023">
        <f t="shared" si="9"/>
        <v>0</v>
      </c>
      <c r="U27" s="2026"/>
      <c r="V27" s="2023">
        <f t="shared" si="10"/>
        <v>0</v>
      </c>
    </row>
    <row r="28" spans="1:22" ht="38.4">
      <c r="A28" s="2034"/>
      <c r="B28" s="2039" t="s">
        <v>1264</v>
      </c>
      <c r="C28" s="2036"/>
      <c r="D28" s="2037"/>
      <c r="E28" s="2040"/>
      <c r="F28" s="2020">
        <f t="shared" si="0"/>
        <v>0</v>
      </c>
      <c r="G28" s="2017">
        <f t="shared" si="1"/>
        <v>0</v>
      </c>
      <c r="H28" s="2021">
        <f t="shared" si="2"/>
        <v>0</v>
      </c>
      <c r="I28" s="2021">
        <f t="shared" si="3"/>
        <v>0</v>
      </c>
      <c r="J28" s="2021">
        <f t="shared" si="4"/>
        <v>0</v>
      </c>
      <c r="K28" s="2021">
        <f t="shared" si="5"/>
        <v>0</v>
      </c>
      <c r="L28" s="2021">
        <f t="shared" si="6"/>
        <v>0</v>
      </c>
      <c r="M28" s="2021">
        <f t="shared" si="7"/>
        <v>0</v>
      </c>
      <c r="N28" s="2015"/>
      <c r="R28" s="2019">
        <f t="shared" si="8"/>
        <v>0</v>
      </c>
      <c r="S28" s="2015"/>
      <c r="T28" s="2023">
        <f t="shared" si="9"/>
        <v>0</v>
      </c>
      <c r="U28" s="2026"/>
      <c r="V28" s="2023">
        <f t="shared" si="10"/>
        <v>0</v>
      </c>
    </row>
    <row r="29" spans="1:22" ht="38.4">
      <c r="A29" s="2034"/>
      <c r="B29" s="2039" t="s">
        <v>1265</v>
      </c>
      <c r="C29" s="2036"/>
      <c r="D29" s="2037"/>
      <c r="E29" s="2040"/>
      <c r="F29" s="2020">
        <f t="shared" si="0"/>
        <v>0</v>
      </c>
      <c r="G29" s="2017">
        <f t="shared" si="1"/>
        <v>0</v>
      </c>
      <c r="H29" s="2021">
        <f t="shared" si="2"/>
        <v>0</v>
      </c>
      <c r="I29" s="2021">
        <f t="shared" si="3"/>
        <v>0</v>
      </c>
      <c r="J29" s="2021">
        <f t="shared" si="4"/>
        <v>0</v>
      </c>
      <c r="K29" s="2021">
        <f t="shared" si="5"/>
        <v>0</v>
      </c>
      <c r="L29" s="2021">
        <f t="shared" si="6"/>
        <v>0</v>
      </c>
      <c r="M29" s="2021">
        <f t="shared" si="7"/>
        <v>0</v>
      </c>
      <c r="N29" s="2015"/>
      <c r="R29" s="2019">
        <f t="shared" si="8"/>
        <v>0</v>
      </c>
      <c r="S29" s="2015"/>
      <c r="T29" s="2023">
        <f t="shared" si="9"/>
        <v>0</v>
      </c>
      <c r="U29" s="2026"/>
      <c r="V29" s="2023">
        <f t="shared" si="10"/>
        <v>0</v>
      </c>
    </row>
    <row r="30" spans="1:22" ht="57.6">
      <c r="A30" s="2034"/>
      <c r="B30" s="2039" t="s">
        <v>1266</v>
      </c>
      <c r="C30" s="2036"/>
      <c r="D30" s="2037"/>
      <c r="E30" s="2040"/>
      <c r="F30" s="2020">
        <f t="shared" si="0"/>
        <v>0</v>
      </c>
      <c r="G30" s="2017">
        <f t="shared" si="1"/>
        <v>0</v>
      </c>
      <c r="H30" s="2021">
        <f t="shared" si="2"/>
        <v>0</v>
      </c>
      <c r="I30" s="2021">
        <f t="shared" si="3"/>
        <v>0</v>
      </c>
      <c r="J30" s="2021">
        <f t="shared" si="4"/>
        <v>0</v>
      </c>
      <c r="K30" s="2021">
        <f t="shared" si="5"/>
        <v>0</v>
      </c>
      <c r="L30" s="2021">
        <f t="shared" si="6"/>
        <v>0</v>
      </c>
      <c r="M30" s="2021">
        <f t="shared" si="7"/>
        <v>0</v>
      </c>
      <c r="N30" s="2015"/>
      <c r="R30" s="2019">
        <f t="shared" si="8"/>
        <v>0</v>
      </c>
      <c r="S30" s="2015"/>
      <c r="T30" s="2023">
        <f t="shared" si="9"/>
        <v>0</v>
      </c>
      <c r="U30" s="2026"/>
      <c r="V30" s="2023">
        <f t="shared" si="10"/>
        <v>0</v>
      </c>
    </row>
    <row r="31" spans="1:22" ht="38.4">
      <c r="A31" s="2034"/>
      <c r="B31" s="2039" t="s">
        <v>1267</v>
      </c>
      <c r="C31" s="2036"/>
      <c r="D31" s="2037"/>
      <c r="E31" s="2040"/>
      <c r="F31" s="2020">
        <f t="shared" si="0"/>
        <v>0</v>
      </c>
      <c r="G31" s="2017">
        <f t="shared" si="1"/>
        <v>0</v>
      </c>
      <c r="H31" s="2021">
        <f t="shared" si="2"/>
        <v>0</v>
      </c>
      <c r="I31" s="2021">
        <f t="shared" si="3"/>
        <v>0</v>
      </c>
      <c r="J31" s="2021">
        <f t="shared" si="4"/>
        <v>0</v>
      </c>
      <c r="K31" s="2021">
        <f t="shared" si="5"/>
        <v>0</v>
      </c>
      <c r="L31" s="2021">
        <f t="shared" si="6"/>
        <v>0</v>
      </c>
      <c r="M31" s="2021">
        <f t="shared" si="7"/>
        <v>0</v>
      </c>
      <c r="N31" s="2015"/>
      <c r="R31" s="2019">
        <f t="shared" si="8"/>
        <v>0</v>
      </c>
      <c r="S31" s="2015"/>
      <c r="T31" s="2023">
        <f t="shared" si="9"/>
        <v>0</v>
      </c>
      <c r="U31" s="2026"/>
      <c r="V31" s="2023">
        <f t="shared" si="10"/>
        <v>0</v>
      </c>
    </row>
    <row r="32" spans="1:22" ht="19.2">
      <c r="A32" s="2041" t="s">
        <v>937</v>
      </c>
      <c r="B32" s="2035" t="s">
        <v>1268</v>
      </c>
      <c r="C32" s="2037" t="s">
        <v>768</v>
      </c>
      <c r="D32" s="2037">
        <v>1</v>
      </c>
      <c r="E32" s="2019">
        <f>57531.3/1.15</f>
        <v>50027.217391304352</v>
      </c>
      <c r="F32" s="2020">
        <f t="shared" si="0"/>
        <v>0.50027217391304346</v>
      </c>
      <c r="G32" s="2021">
        <f t="shared" si="1"/>
        <v>52528.578260869566</v>
      </c>
      <c r="H32" s="2021">
        <f t="shared" si="2"/>
        <v>9455.1440869565213</v>
      </c>
      <c r="I32" s="2021">
        <f t="shared" si="3"/>
        <v>61983.722347826086</v>
      </c>
      <c r="J32" s="2021">
        <f t="shared" si="4"/>
        <v>9455.1440869565213</v>
      </c>
      <c r="K32" s="2021">
        <f t="shared" si="5"/>
        <v>52528.578260869566</v>
      </c>
      <c r="L32" s="2021">
        <f t="shared" si="6"/>
        <v>61983.722347826086</v>
      </c>
      <c r="M32" s="2021">
        <f t="shared" si="7"/>
        <v>52528.578260869566</v>
      </c>
      <c r="N32" s="2032" t="s">
        <v>1269</v>
      </c>
      <c r="R32" s="2019">
        <f t="shared" si="8"/>
        <v>50027.217391304352</v>
      </c>
      <c r="S32" s="2015"/>
      <c r="T32" s="2023">
        <f t="shared" si="9"/>
        <v>2501.3608695652179</v>
      </c>
      <c r="U32" s="2033"/>
      <c r="V32" s="2023">
        <f t="shared" si="10"/>
        <v>52528.578260869566</v>
      </c>
    </row>
    <row r="33" spans="1:22" ht="19.2">
      <c r="A33" s="2041" t="s">
        <v>938</v>
      </c>
      <c r="B33" s="2035" t="s">
        <v>1270</v>
      </c>
      <c r="C33" s="2037" t="s">
        <v>768</v>
      </c>
      <c r="D33" s="2037">
        <v>1</v>
      </c>
      <c r="E33" s="2019">
        <f>30505/1.15</f>
        <v>26526.08695652174</v>
      </c>
      <c r="F33" s="2020">
        <f t="shared" si="0"/>
        <v>0.26526086956521738</v>
      </c>
      <c r="G33" s="2021">
        <f t="shared" si="1"/>
        <v>27852.391304347828</v>
      </c>
      <c r="H33" s="2021">
        <f t="shared" si="2"/>
        <v>5013.4304347826092</v>
      </c>
      <c r="I33" s="2021">
        <f t="shared" si="3"/>
        <v>32865.821739130435</v>
      </c>
      <c r="J33" s="2021">
        <f t="shared" si="4"/>
        <v>5013.4304347826092</v>
      </c>
      <c r="K33" s="2021">
        <f t="shared" si="5"/>
        <v>27852.391304347824</v>
      </c>
      <c r="L33" s="2021">
        <f t="shared" si="6"/>
        <v>32865.821739130435</v>
      </c>
      <c r="M33" s="2021">
        <f t="shared" si="7"/>
        <v>27852.391304347824</v>
      </c>
      <c r="N33" s="2032" t="s">
        <v>1271</v>
      </c>
      <c r="R33" s="2019">
        <f t="shared" si="8"/>
        <v>26526.08695652174</v>
      </c>
      <c r="S33" s="2015"/>
      <c r="T33" s="2023">
        <f t="shared" si="9"/>
        <v>1326.304347826087</v>
      </c>
      <c r="U33" s="2033"/>
      <c r="V33" s="2023">
        <f t="shared" si="10"/>
        <v>27852.391304347828</v>
      </c>
    </row>
    <row r="34" spans="1:22" ht="19.2">
      <c r="A34" s="2041" t="s">
        <v>939</v>
      </c>
      <c r="B34" s="2035" t="s">
        <v>1272</v>
      </c>
      <c r="C34" s="2037" t="s">
        <v>768</v>
      </c>
      <c r="D34" s="2037">
        <v>1</v>
      </c>
      <c r="E34" s="2019">
        <v>45000</v>
      </c>
      <c r="F34" s="2020">
        <f t="shared" si="0"/>
        <v>0.45</v>
      </c>
      <c r="G34" s="2021">
        <f t="shared" si="1"/>
        <v>47250</v>
      </c>
      <c r="H34" s="2021">
        <f t="shared" si="2"/>
        <v>8505</v>
      </c>
      <c r="I34" s="2021">
        <f t="shared" si="3"/>
        <v>55755</v>
      </c>
      <c r="J34" s="2021">
        <f t="shared" si="4"/>
        <v>8505</v>
      </c>
      <c r="K34" s="2021">
        <f t="shared" si="5"/>
        <v>47250</v>
      </c>
      <c r="L34" s="2021">
        <f t="shared" si="6"/>
        <v>55755</v>
      </c>
      <c r="M34" s="2021">
        <f t="shared" si="7"/>
        <v>47250</v>
      </c>
      <c r="N34" s="2032" t="s">
        <v>1254</v>
      </c>
      <c r="R34" s="2019">
        <f t="shared" si="8"/>
        <v>45000</v>
      </c>
      <c r="S34" s="2015"/>
      <c r="T34" s="2023">
        <f t="shared" si="9"/>
        <v>2250</v>
      </c>
      <c r="U34" s="2033"/>
      <c r="V34" s="2023">
        <f t="shared" si="10"/>
        <v>47250</v>
      </c>
    </row>
    <row r="35" spans="1:22" ht="17.25" customHeight="1">
      <c r="A35" s="2587" t="s">
        <v>1273</v>
      </c>
      <c r="B35" s="2588"/>
      <c r="C35" s="2025"/>
      <c r="D35" s="2025"/>
      <c r="E35" s="2025"/>
      <c r="F35" s="2020">
        <f t="shared" si="0"/>
        <v>0</v>
      </c>
      <c r="G35" s="2017">
        <f t="shared" si="1"/>
        <v>0</v>
      </c>
      <c r="H35" s="2021">
        <f t="shared" si="2"/>
        <v>0</v>
      </c>
      <c r="I35" s="2021">
        <f t="shared" si="3"/>
        <v>0</v>
      </c>
      <c r="J35" s="2021">
        <f t="shared" si="4"/>
        <v>0</v>
      </c>
      <c r="K35" s="2021">
        <f t="shared" si="5"/>
        <v>0</v>
      </c>
      <c r="L35" s="2021">
        <f t="shared" si="6"/>
        <v>0</v>
      </c>
      <c r="M35" s="2021">
        <f t="shared" si="7"/>
        <v>0</v>
      </c>
      <c r="N35" s="2015"/>
      <c r="R35" s="2019">
        <f t="shared" si="8"/>
        <v>0</v>
      </c>
      <c r="S35" s="2015"/>
      <c r="T35" s="2023">
        <f t="shared" si="9"/>
        <v>0</v>
      </c>
      <c r="U35" s="2026"/>
      <c r="V35" s="2023">
        <f t="shared" si="10"/>
        <v>0</v>
      </c>
    </row>
    <row r="36" spans="1:22" ht="96">
      <c r="A36" s="2014" t="s">
        <v>1274</v>
      </c>
      <c r="B36" s="2030" t="s">
        <v>1275</v>
      </c>
      <c r="C36" s="2017" t="s">
        <v>673</v>
      </c>
      <c r="D36" s="2018">
        <v>10</v>
      </c>
      <c r="E36" s="2019">
        <f>6833.4/1.15</f>
        <v>5942.086956521739</v>
      </c>
      <c r="F36" s="2020">
        <f t="shared" si="0"/>
        <v>0.59420869565217393</v>
      </c>
      <c r="G36" s="2021">
        <f t="shared" si="1"/>
        <v>6239.1913043478262</v>
      </c>
      <c r="H36" s="2021">
        <f t="shared" si="2"/>
        <v>1123.0544347826087</v>
      </c>
      <c r="I36" s="2021">
        <f t="shared" si="3"/>
        <v>7362.2457391304351</v>
      </c>
      <c r="J36" s="2021">
        <f t="shared" si="4"/>
        <v>1123.0544347826087</v>
      </c>
      <c r="K36" s="2021">
        <f t="shared" si="5"/>
        <v>6239.1913043478262</v>
      </c>
      <c r="L36" s="2021">
        <f t="shared" si="6"/>
        <v>73622.457391304357</v>
      </c>
      <c r="M36" s="2021">
        <f t="shared" si="7"/>
        <v>62391.913043478264</v>
      </c>
      <c r="N36" s="2032" t="s">
        <v>1069</v>
      </c>
      <c r="R36" s="2019">
        <f t="shared" si="8"/>
        <v>5942.086956521739</v>
      </c>
      <c r="S36" s="2015"/>
      <c r="T36" s="2023">
        <f t="shared" si="9"/>
        <v>297.10434782608695</v>
      </c>
      <c r="U36" s="2033"/>
      <c r="V36" s="2023">
        <f t="shared" si="10"/>
        <v>6239.1913043478262</v>
      </c>
    </row>
    <row r="37" spans="1:22" ht="78.75" customHeight="1">
      <c r="A37" s="2014" t="s">
        <v>1276</v>
      </c>
      <c r="B37" s="2027" t="s">
        <v>1277</v>
      </c>
      <c r="C37" s="2017" t="s">
        <v>673</v>
      </c>
      <c r="D37" s="2018">
        <v>2</v>
      </c>
      <c r="E37" s="2019">
        <f>(1.1*8599.35)/1.15</f>
        <v>8225.4652173913073</v>
      </c>
      <c r="F37" s="2020">
        <f t="shared" si="0"/>
        <v>0.16450930434782615</v>
      </c>
      <c r="G37" s="2021">
        <f t="shared" si="1"/>
        <v>8636.7384782608733</v>
      </c>
      <c r="H37" s="2021">
        <f t="shared" si="2"/>
        <v>1554.612926086957</v>
      </c>
      <c r="I37" s="2021">
        <f t="shared" si="3"/>
        <v>10191.35140434783</v>
      </c>
      <c r="J37" s="2021">
        <f t="shared" si="4"/>
        <v>1554.612926086957</v>
      </c>
      <c r="K37" s="2021">
        <f t="shared" si="5"/>
        <v>8636.7384782608733</v>
      </c>
      <c r="L37" s="2021">
        <f t="shared" si="6"/>
        <v>20382.70280869566</v>
      </c>
      <c r="M37" s="2021">
        <f t="shared" si="7"/>
        <v>17273.476956521747</v>
      </c>
      <c r="N37" s="2042" t="s">
        <v>1073</v>
      </c>
      <c r="R37" s="2019">
        <f t="shared" si="8"/>
        <v>8225.4652173913073</v>
      </c>
      <c r="S37" s="2015"/>
      <c r="T37" s="2023">
        <f t="shared" si="9"/>
        <v>411.27326086956538</v>
      </c>
      <c r="U37" s="2043"/>
      <c r="V37" s="2023">
        <f t="shared" si="10"/>
        <v>8636.7384782608733</v>
      </c>
    </row>
    <row r="38" spans="1:22" ht="172.8">
      <c r="A38" s="2014" t="s">
        <v>1278</v>
      </c>
      <c r="B38" s="2030" t="s">
        <v>1279</v>
      </c>
      <c r="C38" s="2017" t="s">
        <v>673</v>
      </c>
      <c r="D38" s="2018">
        <v>90</v>
      </c>
      <c r="E38" s="2019">
        <f>7997.3/1.15</f>
        <v>6954.1739130434789</v>
      </c>
      <c r="F38" s="2020">
        <f t="shared" si="0"/>
        <v>6.258756521739131</v>
      </c>
      <c r="G38" s="2021">
        <f t="shared" si="1"/>
        <v>7301.8826086956533</v>
      </c>
      <c r="H38" s="2021">
        <f t="shared" si="2"/>
        <v>1314.3388695652175</v>
      </c>
      <c r="I38" s="2021">
        <f t="shared" si="3"/>
        <v>8616.2214782608717</v>
      </c>
      <c r="J38" s="2021">
        <f t="shared" si="4"/>
        <v>1314.3388695652175</v>
      </c>
      <c r="K38" s="2021">
        <f t="shared" si="5"/>
        <v>7301.8826086956542</v>
      </c>
      <c r="L38" s="2021">
        <f t="shared" si="6"/>
        <v>775459.93304347841</v>
      </c>
      <c r="M38" s="2021">
        <f t="shared" si="7"/>
        <v>657169.43478260888</v>
      </c>
      <c r="N38" s="2022" t="s">
        <v>1280</v>
      </c>
      <c r="R38" s="2019">
        <f t="shared" si="8"/>
        <v>6954.1739130434789</v>
      </c>
      <c r="S38" s="2015"/>
      <c r="T38" s="2023">
        <f t="shared" si="9"/>
        <v>347.70869565217396</v>
      </c>
      <c r="U38" s="2024"/>
      <c r="V38" s="2023">
        <f t="shared" si="10"/>
        <v>7301.8826086956533</v>
      </c>
    </row>
    <row r="39" spans="1:22" ht="96.6">
      <c r="A39" s="2016" t="s">
        <v>1281</v>
      </c>
      <c r="B39" s="2030" t="s">
        <v>1282</v>
      </c>
      <c r="C39" s="2018" t="s">
        <v>1259</v>
      </c>
      <c r="D39" s="2018">
        <v>10</v>
      </c>
      <c r="E39" s="2019">
        <f>89.65/1.15</f>
        <v>77.956521739130451</v>
      </c>
      <c r="F39" s="2020">
        <f t="shared" si="0"/>
        <v>7.7956521739130447E-3</v>
      </c>
      <c r="G39" s="2021">
        <f t="shared" si="1"/>
        <v>81.854347826086979</v>
      </c>
      <c r="H39" s="2021">
        <f t="shared" si="2"/>
        <v>14.733782608695655</v>
      </c>
      <c r="I39" s="2021">
        <f t="shared" si="3"/>
        <v>96.588130434782641</v>
      </c>
      <c r="J39" s="2021">
        <f t="shared" si="4"/>
        <v>14.733782608695655</v>
      </c>
      <c r="K39" s="2021">
        <f t="shared" si="5"/>
        <v>81.854347826086979</v>
      </c>
      <c r="L39" s="2021">
        <f t="shared" si="6"/>
        <v>965.88130434782647</v>
      </c>
      <c r="M39" s="2021">
        <f t="shared" si="7"/>
        <v>818.54347826086973</v>
      </c>
      <c r="N39" s="2032" t="s">
        <v>750</v>
      </c>
      <c r="R39" s="2019">
        <f t="shared" si="8"/>
        <v>77.956521739130451</v>
      </c>
      <c r="S39" s="2015"/>
      <c r="T39" s="2023">
        <f t="shared" si="9"/>
        <v>3.8978260869565227</v>
      </c>
      <c r="U39" s="2033"/>
      <c r="V39" s="2023">
        <f t="shared" si="10"/>
        <v>81.854347826086979</v>
      </c>
    </row>
    <row r="40" spans="1:22" ht="17.25" customHeight="1">
      <c r="A40" s="2587" t="s">
        <v>1283</v>
      </c>
      <c r="B40" s="2588"/>
      <c r="C40" s="2025"/>
      <c r="D40" s="2025"/>
      <c r="E40" s="2025"/>
      <c r="F40" s="2020">
        <f t="shared" si="0"/>
        <v>0</v>
      </c>
      <c r="G40" s="2017">
        <f t="shared" si="1"/>
        <v>0</v>
      </c>
      <c r="H40" s="2021">
        <f t="shared" si="2"/>
        <v>0</v>
      </c>
      <c r="I40" s="2021">
        <f t="shared" si="3"/>
        <v>0</v>
      </c>
      <c r="J40" s="2021">
        <f t="shared" si="4"/>
        <v>0</v>
      </c>
      <c r="K40" s="2021">
        <f t="shared" si="5"/>
        <v>0</v>
      </c>
      <c r="L40" s="2021">
        <f t="shared" si="6"/>
        <v>0</v>
      </c>
      <c r="M40" s="2021">
        <f t="shared" si="7"/>
        <v>0</v>
      </c>
      <c r="N40" s="2015"/>
      <c r="R40" s="2019">
        <f t="shared" si="8"/>
        <v>0</v>
      </c>
      <c r="S40" s="2015"/>
      <c r="T40" s="2023">
        <f t="shared" si="9"/>
        <v>0</v>
      </c>
      <c r="U40" s="2026"/>
      <c r="V40" s="2023">
        <f t="shared" si="10"/>
        <v>0</v>
      </c>
    </row>
    <row r="41" spans="1:22" ht="57.6">
      <c r="A41" s="2016" t="s">
        <v>1284</v>
      </c>
      <c r="B41" s="2030" t="s">
        <v>1285</v>
      </c>
      <c r="C41" s="2018" t="s">
        <v>1225</v>
      </c>
      <c r="D41" s="2018">
        <v>75</v>
      </c>
      <c r="E41" s="2044">
        <f>76.4/1.15</f>
        <v>66.434782608695656</v>
      </c>
      <c r="F41" s="2020">
        <f t="shared" si="0"/>
        <v>4.9826086956521742E-2</v>
      </c>
      <c r="G41" s="2017">
        <f t="shared" si="1"/>
        <v>69.756521739130434</v>
      </c>
      <c r="H41" s="2021">
        <f t="shared" si="2"/>
        <v>12.556173913043478</v>
      </c>
      <c r="I41" s="2021">
        <f t="shared" si="3"/>
        <v>82.312695652173915</v>
      </c>
      <c r="J41" s="2021">
        <f t="shared" si="4"/>
        <v>12.556173913043478</v>
      </c>
      <c r="K41" s="2021">
        <f t="shared" si="5"/>
        <v>69.756521739130434</v>
      </c>
      <c r="L41" s="2021">
        <f t="shared" si="6"/>
        <v>6173.4521739130432</v>
      </c>
      <c r="M41" s="2021">
        <f t="shared" si="7"/>
        <v>5231.739130434783</v>
      </c>
      <c r="N41" s="2028" t="s">
        <v>1286</v>
      </c>
      <c r="R41" s="2019">
        <f t="shared" si="8"/>
        <v>66.434782608695656</v>
      </c>
      <c r="S41" s="2015"/>
      <c r="T41" s="2023">
        <f t="shared" si="9"/>
        <v>3.321739130434783</v>
      </c>
      <c r="U41" s="2029"/>
      <c r="V41" s="2023">
        <f t="shared" si="10"/>
        <v>69.756521739130434</v>
      </c>
    </row>
    <row r="42" spans="1:22" ht="153.6">
      <c r="A42" s="2016" t="s">
        <v>1287</v>
      </c>
      <c r="B42" s="2030" t="s">
        <v>1288</v>
      </c>
      <c r="C42" s="2018" t="s">
        <v>673</v>
      </c>
      <c r="D42" s="2018">
        <v>5</v>
      </c>
      <c r="E42" s="2044">
        <f>27763.65/1.15</f>
        <v>24142.304347826092</v>
      </c>
      <c r="F42" s="2020">
        <f t="shared" si="0"/>
        <v>1.2071152173913047</v>
      </c>
      <c r="G42" s="2017">
        <f t="shared" si="1"/>
        <v>25349.419565217395</v>
      </c>
      <c r="H42" s="2021">
        <f t="shared" si="2"/>
        <v>4562.8955217391313</v>
      </c>
      <c r="I42" s="2021">
        <f t="shared" si="3"/>
        <v>29912.315086956525</v>
      </c>
      <c r="J42" s="2021">
        <f t="shared" si="4"/>
        <v>4562.8955217391313</v>
      </c>
      <c r="K42" s="2021">
        <f t="shared" si="5"/>
        <v>25349.419565217395</v>
      </c>
      <c r="L42" s="2021">
        <f t="shared" si="6"/>
        <v>149561.57543478263</v>
      </c>
      <c r="M42" s="2021">
        <f t="shared" si="7"/>
        <v>126747.09782608697</v>
      </c>
      <c r="N42" s="2045">
        <v>5.36</v>
      </c>
      <c r="R42" s="2019">
        <f t="shared" si="8"/>
        <v>24142.304347826092</v>
      </c>
      <c r="S42" s="2015"/>
      <c r="T42" s="2023">
        <f t="shared" si="9"/>
        <v>1207.1152173913047</v>
      </c>
      <c r="U42" s="2046"/>
      <c r="V42" s="2023">
        <f t="shared" si="10"/>
        <v>25349.419565217395</v>
      </c>
    </row>
    <row r="43" spans="1:22" ht="123.75" customHeight="1" thickBot="1">
      <c r="A43" s="2016" t="s">
        <v>1289</v>
      </c>
      <c r="B43" s="2030" t="s">
        <v>1290</v>
      </c>
      <c r="C43" s="2018" t="s">
        <v>1259</v>
      </c>
      <c r="D43" s="2018">
        <v>2</v>
      </c>
      <c r="E43" s="2019">
        <f>93.05/1.15</f>
        <v>80.913043478260875</v>
      </c>
      <c r="F43" s="2038">
        <f t="shared" si="0"/>
        <v>1.6182608695652174E-3</v>
      </c>
      <c r="G43" s="2021">
        <f t="shared" si="1"/>
        <v>84.958695652173915</v>
      </c>
      <c r="H43" s="2021">
        <f t="shared" si="2"/>
        <v>15.292565217391305</v>
      </c>
      <c r="I43" s="2021">
        <f t="shared" si="3"/>
        <v>100.25126086956521</v>
      </c>
      <c r="J43" s="2021">
        <f t="shared" si="4"/>
        <v>15.292565217391305</v>
      </c>
      <c r="K43" s="2021">
        <f t="shared" si="5"/>
        <v>84.958695652173915</v>
      </c>
      <c r="L43" s="2047">
        <f t="shared" si="6"/>
        <v>200.50252173913043</v>
      </c>
      <c r="M43" s="2047">
        <f t="shared" si="7"/>
        <v>169.91739130434783</v>
      </c>
      <c r="N43" s="2022" t="s">
        <v>1078</v>
      </c>
      <c r="R43" s="2019">
        <f t="shared" si="8"/>
        <v>80.913043478260875</v>
      </c>
      <c r="S43" s="2015"/>
      <c r="T43" s="2023">
        <f t="shared" si="9"/>
        <v>4.0456521739130435</v>
      </c>
      <c r="U43" s="2024"/>
      <c r="V43" s="2023">
        <f t="shared" si="10"/>
        <v>84.958695652173915</v>
      </c>
    </row>
    <row r="44" spans="1:22" ht="29.25" customHeight="1" thickBot="1">
      <c r="D44" s="2589" t="s">
        <v>1338</v>
      </c>
      <c r="E44" s="2589"/>
      <c r="F44" s="2048">
        <f>SUM(F13:F43)</f>
        <v>22.734180608695656</v>
      </c>
      <c r="G44" s="2049"/>
      <c r="L44" s="2050">
        <f>SUM(L13:L43)</f>
        <v>2816764.9774173913</v>
      </c>
      <c r="M44" s="2051">
        <f>SUM(M13:M43)</f>
        <v>2387088.9639130435</v>
      </c>
    </row>
    <row r="46" spans="1:22">
      <c r="L46" s="2007">
        <f>L44/10^7</f>
        <v>0.28167649774173914</v>
      </c>
      <c r="M46" s="2007">
        <f>M44/10^7</f>
        <v>0.23870889639130435</v>
      </c>
    </row>
  </sheetData>
  <mergeCells count="11">
    <mergeCell ref="A16:B16"/>
    <mergeCell ref="A22:B22"/>
    <mergeCell ref="A35:B35"/>
    <mergeCell ref="A40:B40"/>
    <mergeCell ref="D44:E44"/>
    <mergeCell ref="A12:F12"/>
    <mergeCell ref="A1:J1"/>
    <mergeCell ref="A2:J2"/>
    <mergeCell ref="A3:J3"/>
    <mergeCell ref="A4:J4"/>
    <mergeCell ref="A5:J5"/>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AP114"/>
  <sheetViews>
    <sheetView tabSelected="1" topLeftCell="A106" zoomScaleNormal="100" workbookViewId="0">
      <selection activeCell="J112" sqref="J112"/>
    </sheetView>
  </sheetViews>
  <sheetFormatPr defaultColWidth="8.90625" defaultRowHeight="16.8"/>
  <cols>
    <col min="1" max="1" width="7.54296875" style="2082" bestFit="1" customWidth="1"/>
    <col min="2" max="2" width="52.7265625" style="2082" bestFit="1" customWidth="1"/>
    <col min="3" max="3" width="4.453125" style="2082" bestFit="1" customWidth="1"/>
    <col min="4" max="4" width="13.36328125" style="2082" bestFit="1" customWidth="1"/>
    <col min="5" max="5" width="6.26953125" style="2082" bestFit="1" customWidth="1"/>
    <col min="6" max="6" width="12.90625" style="2082" bestFit="1" customWidth="1"/>
    <col min="7" max="7" width="8.54296875" style="2082" bestFit="1" customWidth="1"/>
    <col min="8" max="8" width="12.90625" style="2082" bestFit="1" customWidth="1"/>
    <col min="9" max="9" width="7.90625" style="2082" bestFit="1" customWidth="1"/>
    <col min="10" max="10" width="11.54296875" style="2082" customWidth="1"/>
    <col min="11" max="11" width="4.36328125" style="2082" bestFit="1" customWidth="1"/>
    <col min="12" max="12" width="25.1796875" style="2082" bestFit="1" customWidth="1"/>
    <col min="13" max="16384" width="8.90625" style="2082"/>
  </cols>
  <sheetData>
    <row r="1" spans="1:12" ht="19.2">
      <c r="L1" s="2083" t="s">
        <v>1389</v>
      </c>
    </row>
    <row r="2" spans="1:12" s="2086" customFormat="1" ht="19.2">
      <c r="A2" s="2084"/>
      <c r="B2" s="2085"/>
      <c r="D2" s="2087"/>
      <c r="L2" s="2088" t="s">
        <v>1390</v>
      </c>
    </row>
    <row r="3" spans="1:12" s="2086" customFormat="1" ht="19.2">
      <c r="A3" s="2084"/>
      <c r="B3" s="2085"/>
      <c r="C3" s="2084"/>
      <c r="D3" s="2087"/>
      <c r="E3" s="2084"/>
      <c r="L3" s="2089" t="s">
        <v>1410</v>
      </c>
    </row>
    <row r="4" spans="1:12" s="2086" customFormat="1" ht="19.2">
      <c r="A4" s="2084"/>
      <c r="B4" s="2085"/>
      <c r="C4" s="2084"/>
      <c r="D4" s="2087"/>
      <c r="E4" s="2084"/>
      <c r="F4" s="2084"/>
      <c r="G4" s="2084"/>
      <c r="L4" s="2090" t="s">
        <v>1411</v>
      </c>
    </row>
    <row r="5" spans="1:12" s="2091" customFormat="1">
      <c r="A5" s="2624" t="s">
        <v>462</v>
      </c>
      <c r="B5" s="2624"/>
      <c r="C5" s="2624"/>
      <c r="D5" s="2624"/>
      <c r="E5" s="2624"/>
      <c r="F5" s="2624"/>
      <c r="G5" s="2624"/>
      <c r="H5" s="2624"/>
      <c r="I5" s="2624"/>
      <c r="J5" s="2624"/>
      <c r="K5" s="2624"/>
      <c r="L5" s="2624"/>
    </row>
    <row r="6" spans="1:12" s="2091" customFormat="1">
      <c r="A6" s="2624" t="s">
        <v>1084</v>
      </c>
      <c r="B6" s="2624"/>
      <c r="C6" s="2624"/>
      <c r="D6" s="2624"/>
      <c r="E6" s="2624"/>
      <c r="F6" s="2624"/>
      <c r="G6" s="2624"/>
      <c r="H6" s="2624"/>
      <c r="I6" s="2624"/>
      <c r="J6" s="2624"/>
      <c r="K6" s="2624"/>
      <c r="L6" s="2624"/>
    </row>
    <row r="7" spans="1:12" s="2091" customFormat="1">
      <c r="A7" s="2624" t="s">
        <v>1086</v>
      </c>
      <c r="B7" s="2624"/>
      <c r="C7" s="2624"/>
      <c r="D7" s="2624"/>
      <c r="E7" s="2624"/>
      <c r="F7" s="2624"/>
      <c r="G7" s="2624"/>
      <c r="H7" s="2624"/>
      <c r="I7" s="2624"/>
      <c r="J7" s="2624"/>
      <c r="K7" s="2624"/>
      <c r="L7" s="2624"/>
    </row>
    <row r="8" spans="1:12" s="2091" customFormat="1">
      <c r="A8" s="2624" t="s">
        <v>1391</v>
      </c>
      <c r="B8" s="2624"/>
      <c r="C8" s="2624"/>
      <c r="D8" s="2624"/>
      <c r="E8" s="2624"/>
      <c r="F8" s="2624"/>
      <c r="G8" s="2624"/>
      <c r="H8" s="2624"/>
      <c r="I8" s="2624"/>
      <c r="J8" s="2624"/>
      <c r="K8" s="2624"/>
      <c r="L8" s="2624"/>
    </row>
    <row r="9" spans="1:12" s="2091" customFormat="1">
      <c r="A9" s="2624" t="s">
        <v>1400</v>
      </c>
      <c r="B9" s="2624"/>
      <c r="C9" s="2624"/>
      <c r="D9" s="2624"/>
      <c r="E9" s="2624"/>
      <c r="F9" s="2624"/>
      <c r="G9" s="2624"/>
      <c r="H9" s="2624"/>
      <c r="I9" s="2624"/>
      <c r="J9" s="2624"/>
      <c r="K9" s="2624"/>
      <c r="L9" s="2624"/>
    </row>
    <row r="10" spans="1:12" s="2091" customFormat="1">
      <c r="A10" s="2624" t="s">
        <v>1392</v>
      </c>
      <c r="B10" s="2624"/>
      <c r="C10" s="2624"/>
      <c r="D10" s="2624"/>
      <c r="E10" s="2624"/>
      <c r="F10" s="2624"/>
      <c r="G10" s="2624"/>
      <c r="H10" s="2624"/>
      <c r="I10" s="2624"/>
      <c r="J10" s="2624"/>
      <c r="K10" s="2624"/>
      <c r="L10" s="2624"/>
    </row>
    <row r="11" spans="1:12" s="2086" customFormat="1" ht="20.399999999999999" thickBot="1">
      <c r="A11" s="2084"/>
      <c r="B11" s="2085"/>
      <c r="C11" s="2084"/>
      <c r="D11" s="2092"/>
      <c r="E11" s="2084"/>
      <c r="F11" s="2084"/>
      <c r="G11" s="2084"/>
      <c r="L11" s="2093" t="s">
        <v>1393</v>
      </c>
    </row>
    <row r="12" spans="1:12" s="2086" customFormat="1">
      <c r="A12" s="2629" t="s">
        <v>1394</v>
      </c>
      <c r="B12" s="2632" t="s">
        <v>294</v>
      </c>
      <c r="C12" s="2626" t="s">
        <v>1395</v>
      </c>
      <c r="D12" s="2627"/>
      <c r="E12" s="2627"/>
      <c r="F12" s="2628"/>
      <c r="G12" s="2626" t="s">
        <v>1402</v>
      </c>
      <c r="H12" s="2627"/>
      <c r="I12" s="2627"/>
      <c r="J12" s="2628"/>
      <c r="K12" s="2636" t="s">
        <v>1401</v>
      </c>
      <c r="L12" s="2637"/>
    </row>
    <row r="13" spans="1:12" s="2086" customFormat="1">
      <c r="A13" s="2630"/>
      <c r="B13" s="2633"/>
      <c r="C13" s="2593" t="s">
        <v>198</v>
      </c>
      <c r="D13" s="2593" t="s">
        <v>313</v>
      </c>
      <c r="E13" s="2593" t="s">
        <v>1396</v>
      </c>
      <c r="F13" s="2593" t="s">
        <v>1397</v>
      </c>
      <c r="G13" s="2591" t="s">
        <v>1412</v>
      </c>
      <c r="H13" s="2592"/>
      <c r="I13" s="2590" t="s">
        <v>438</v>
      </c>
      <c r="J13" s="2590"/>
      <c r="K13" s="2593" t="s">
        <v>1398</v>
      </c>
      <c r="L13" s="2595" t="s">
        <v>1182</v>
      </c>
    </row>
    <row r="14" spans="1:12" s="2086" customFormat="1" ht="34.200000000000003" thickBot="1">
      <c r="A14" s="2631"/>
      <c r="B14" s="2594"/>
      <c r="C14" s="2594"/>
      <c r="D14" s="2594"/>
      <c r="E14" s="2594"/>
      <c r="F14" s="2594"/>
      <c r="G14" s="2206" t="s">
        <v>1398</v>
      </c>
      <c r="H14" s="2208" t="s">
        <v>1182</v>
      </c>
      <c r="I14" s="2207" t="s">
        <v>1409</v>
      </c>
      <c r="J14" s="2207" t="s">
        <v>1182</v>
      </c>
      <c r="K14" s="2594"/>
      <c r="L14" s="2596"/>
    </row>
    <row r="15" spans="1:12">
      <c r="A15" s="2634" t="s">
        <v>1399</v>
      </c>
      <c r="B15" s="2635"/>
      <c r="C15" s="2095"/>
      <c r="E15" s="2095"/>
      <c r="G15" s="2095"/>
      <c r="I15" s="2095"/>
      <c r="K15" s="2095"/>
      <c r="L15" s="2115"/>
    </row>
    <row r="16" spans="1:12" s="2062" customFormat="1" ht="57.6">
      <c r="A16" s="2618" t="s">
        <v>1184</v>
      </c>
      <c r="B16" s="2268" t="s">
        <v>1185</v>
      </c>
      <c r="C16" s="2612" t="s">
        <v>1039</v>
      </c>
      <c r="D16" s="2614">
        <v>1600</v>
      </c>
      <c r="E16" s="2616">
        <v>25</v>
      </c>
      <c r="F16" s="2602">
        <v>40000</v>
      </c>
      <c r="G16" s="2605">
        <v>23.7</v>
      </c>
      <c r="H16" s="2608">
        <v>37920</v>
      </c>
      <c r="I16" s="2605" t="s">
        <v>1403</v>
      </c>
      <c r="J16" s="2608"/>
      <c r="K16" s="2640"/>
      <c r="L16" s="2642"/>
    </row>
    <row r="17" spans="1:12" s="2062" customFormat="1" ht="19.2">
      <c r="A17" s="2610"/>
      <c r="B17" s="2268"/>
      <c r="C17" s="2612"/>
      <c r="D17" s="2614"/>
      <c r="E17" s="2616"/>
      <c r="F17" s="2602"/>
      <c r="G17" s="2605"/>
      <c r="H17" s="2608"/>
      <c r="I17" s="2605"/>
      <c r="J17" s="2608"/>
      <c r="K17" s="2640"/>
      <c r="L17" s="2642"/>
    </row>
    <row r="18" spans="1:12" s="2062" customFormat="1" ht="19.2">
      <c r="A18" s="2610"/>
      <c r="B18" s="2269"/>
      <c r="C18" s="2612"/>
      <c r="D18" s="2614"/>
      <c r="E18" s="2616"/>
      <c r="F18" s="2602"/>
      <c r="G18" s="2605"/>
      <c r="H18" s="2608"/>
      <c r="I18" s="2605"/>
      <c r="J18" s="2608"/>
      <c r="K18" s="2640"/>
      <c r="L18" s="2642"/>
    </row>
    <row r="19" spans="1:12" s="2062" customFormat="1" ht="19.2">
      <c r="A19" s="2610"/>
      <c r="B19" s="2269" t="s">
        <v>1186</v>
      </c>
      <c r="C19" s="2612"/>
      <c r="D19" s="2614"/>
      <c r="E19" s="2616"/>
      <c r="F19" s="2602"/>
      <c r="G19" s="2605"/>
      <c r="H19" s="2608"/>
      <c r="I19" s="2605"/>
      <c r="J19" s="2608"/>
      <c r="K19" s="2640"/>
      <c r="L19" s="2642"/>
    </row>
    <row r="20" spans="1:12" s="2062" customFormat="1" ht="19.2">
      <c r="A20" s="2610"/>
      <c r="B20" s="2269"/>
      <c r="C20" s="2612"/>
      <c r="D20" s="2614"/>
      <c r="E20" s="2616"/>
      <c r="F20" s="2602"/>
      <c r="G20" s="2605"/>
      <c r="H20" s="2608"/>
      <c r="I20" s="2605"/>
      <c r="J20" s="2608"/>
      <c r="K20" s="2640"/>
      <c r="L20" s="2642"/>
    </row>
    <row r="21" spans="1:12" s="2062" customFormat="1" ht="19.2">
      <c r="A21" s="2610"/>
      <c r="B21" s="2270" t="s">
        <v>1187</v>
      </c>
      <c r="C21" s="2612"/>
      <c r="D21" s="2614"/>
      <c r="E21" s="2616"/>
      <c r="F21" s="2602"/>
      <c r="G21" s="2605"/>
      <c r="H21" s="2608"/>
      <c r="I21" s="2605"/>
      <c r="J21" s="2608"/>
      <c r="K21" s="2640"/>
      <c r="L21" s="2642"/>
    </row>
    <row r="22" spans="1:12" s="2062" customFormat="1" ht="19.2">
      <c r="A22" s="2611"/>
      <c r="B22" s="2271" t="s">
        <v>1188</v>
      </c>
      <c r="C22" s="2622"/>
      <c r="D22" s="2615"/>
      <c r="E22" s="2623"/>
      <c r="F22" s="2603"/>
      <c r="G22" s="2625"/>
      <c r="H22" s="2609"/>
      <c r="I22" s="2625"/>
      <c r="J22" s="2609"/>
      <c r="K22" s="2641"/>
      <c r="L22" s="2643"/>
    </row>
    <row r="23" spans="1:12" s="2062" customFormat="1" ht="76.8">
      <c r="A23" s="2618" t="s">
        <v>1189</v>
      </c>
      <c r="B23" s="2272" t="s">
        <v>1190</v>
      </c>
      <c r="C23" s="2619" t="s">
        <v>1039</v>
      </c>
      <c r="D23" s="2620">
        <v>1760</v>
      </c>
      <c r="E23" s="2621">
        <v>2452</v>
      </c>
      <c r="F23" s="2601">
        <v>4315520</v>
      </c>
      <c r="G23" s="2604">
        <v>2324.4960000000001</v>
      </c>
      <c r="H23" s="2607">
        <v>4091112.96</v>
      </c>
      <c r="I23" s="2604" t="s">
        <v>1404</v>
      </c>
      <c r="J23" s="2607">
        <v>736400.33000000007</v>
      </c>
      <c r="K23" s="2644"/>
      <c r="L23" s="2647"/>
    </row>
    <row r="24" spans="1:12" s="2062" customFormat="1" ht="57.6">
      <c r="A24" s="2610"/>
      <c r="B24" s="2269" t="s">
        <v>1191</v>
      </c>
      <c r="C24" s="2612"/>
      <c r="D24" s="2614"/>
      <c r="E24" s="2616"/>
      <c r="F24" s="2602"/>
      <c r="G24" s="2605"/>
      <c r="H24" s="2608"/>
      <c r="I24" s="2605"/>
      <c r="J24" s="2608"/>
      <c r="K24" s="2645"/>
      <c r="L24" s="2642"/>
    </row>
    <row r="25" spans="1:12" s="2062" customFormat="1" ht="19.2">
      <c r="A25" s="2610"/>
      <c r="B25" s="2269"/>
      <c r="C25" s="2612"/>
      <c r="D25" s="2614"/>
      <c r="E25" s="2616"/>
      <c r="F25" s="2602"/>
      <c r="G25" s="2605"/>
      <c r="H25" s="2608"/>
      <c r="I25" s="2605"/>
      <c r="J25" s="2608"/>
      <c r="K25" s="2645"/>
      <c r="L25" s="2642"/>
    </row>
    <row r="26" spans="1:12" s="2062" customFormat="1" ht="19.2">
      <c r="A26" s="2610"/>
      <c r="B26" s="2269" t="s">
        <v>1192</v>
      </c>
      <c r="C26" s="2612"/>
      <c r="D26" s="2614"/>
      <c r="E26" s="2616"/>
      <c r="F26" s="2602"/>
      <c r="G26" s="2605"/>
      <c r="H26" s="2608"/>
      <c r="I26" s="2605"/>
      <c r="J26" s="2608"/>
      <c r="K26" s="2645"/>
      <c r="L26" s="2642"/>
    </row>
    <row r="27" spans="1:12" s="2062" customFormat="1" ht="19.2">
      <c r="A27" s="2610"/>
      <c r="B27" s="2270" t="s">
        <v>1187</v>
      </c>
      <c r="C27" s="2612"/>
      <c r="D27" s="2614"/>
      <c r="E27" s="2616"/>
      <c r="F27" s="2602"/>
      <c r="G27" s="2605"/>
      <c r="H27" s="2608"/>
      <c r="I27" s="2605"/>
      <c r="J27" s="2608"/>
      <c r="K27" s="2645"/>
      <c r="L27" s="2642"/>
    </row>
    <row r="28" spans="1:12" s="2062" customFormat="1" ht="19.2">
      <c r="A28" s="2611"/>
      <c r="B28" s="2271" t="s">
        <v>1193</v>
      </c>
      <c r="C28" s="2613"/>
      <c r="D28" s="2615"/>
      <c r="E28" s="2617"/>
      <c r="F28" s="2603"/>
      <c r="G28" s="2606"/>
      <c r="H28" s="2609"/>
      <c r="I28" s="2606"/>
      <c r="J28" s="2609"/>
      <c r="K28" s="2646"/>
      <c r="L28" s="2643"/>
    </row>
    <row r="29" spans="1:12" s="2062" customFormat="1" ht="76.8">
      <c r="A29" s="2618" t="s">
        <v>1194</v>
      </c>
      <c r="B29" s="2272" t="s">
        <v>1195</v>
      </c>
      <c r="C29" s="2619" t="s">
        <v>1039</v>
      </c>
      <c r="D29" s="2620">
        <v>440</v>
      </c>
      <c r="E29" s="2621">
        <v>889</v>
      </c>
      <c r="F29" s="2601">
        <v>391160</v>
      </c>
      <c r="G29" s="2604">
        <v>842.77200000000005</v>
      </c>
      <c r="H29" s="2607">
        <v>370819.68</v>
      </c>
      <c r="I29" s="2604" t="s">
        <v>1404</v>
      </c>
      <c r="J29" s="2607">
        <v>66747.539999999979</v>
      </c>
      <c r="K29" s="2644"/>
      <c r="L29" s="2648"/>
    </row>
    <row r="30" spans="1:12" s="2062" customFormat="1" ht="19.2">
      <c r="A30" s="2610"/>
      <c r="B30" s="2269"/>
      <c r="C30" s="2612"/>
      <c r="D30" s="2614"/>
      <c r="E30" s="2616"/>
      <c r="F30" s="2602"/>
      <c r="G30" s="2605"/>
      <c r="H30" s="2608"/>
      <c r="I30" s="2605"/>
      <c r="J30" s="2608"/>
      <c r="K30" s="2645"/>
      <c r="L30" s="2649"/>
    </row>
    <row r="31" spans="1:12" s="2062" customFormat="1" ht="19.2">
      <c r="A31" s="2610"/>
      <c r="B31" s="2269" t="s">
        <v>1196</v>
      </c>
      <c r="C31" s="2612"/>
      <c r="D31" s="2614"/>
      <c r="E31" s="2616"/>
      <c r="F31" s="2602"/>
      <c r="G31" s="2605"/>
      <c r="H31" s="2608"/>
      <c r="I31" s="2605"/>
      <c r="J31" s="2608"/>
      <c r="K31" s="2645"/>
      <c r="L31" s="2649"/>
    </row>
    <row r="32" spans="1:12" s="2062" customFormat="1" ht="19.2">
      <c r="A32" s="2610"/>
      <c r="B32" s="2270" t="s">
        <v>1187</v>
      </c>
      <c r="C32" s="2612"/>
      <c r="D32" s="2614"/>
      <c r="E32" s="2616"/>
      <c r="F32" s="2602"/>
      <c r="G32" s="2605"/>
      <c r="H32" s="2608"/>
      <c r="I32" s="2605"/>
      <c r="J32" s="2608"/>
      <c r="K32" s="2645"/>
      <c r="L32" s="2649"/>
    </row>
    <row r="33" spans="1:42" s="2062" customFormat="1" ht="19.2">
      <c r="A33" s="2610"/>
      <c r="B33" s="2269" t="s">
        <v>1197</v>
      </c>
      <c r="C33" s="2612"/>
      <c r="D33" s="2614"/>
      <c r="E33" s="2616"/>
      <c r="F33" s="2602"/>
      <c r="G33" s="2605"/>
      <c r="H33" s="2608"/>
      <c r="I33" s="2605"/>
      <c r="J33" s="2608"/>
      <c r="K33" s="2645"/>
      <c r="L33" s="2649"/>
    </row>
    <row r="34" spans="1:42" s="2062" customFormat="1" ht="19.2">
      <c r="A34" s="2611"/>
      <c r="B34" s="2271"/>
      <c r="C34" s="2613"/>
      <c r="D34" s="2615"/>
      <c r="E34" s="2617"/>
      <c r="F34" s="2603"/>
      <c r="G34" s="2606"/>
      <c r="H34" s="2609"/>
      <c r="I34" s="2211"/>
      <c r="J34" s="2210"/>
      <c r="K34" s="2646"/>
      <c r="L34" s="2650"/>
    </row>
    <row r="35" spans="1:42" s="2061" customFormat="1" ht="19.2">
      <c r="A35" s="2132" t="s">
        <v>1198</v>
      </c>
      <c r="B35" s="2273" t="s">
        <v>1199</v>
      </c>
      <c r="C35" s="2125" t="s">
        <v>1200</v>
      </c>
      <c r="D35" s="2101">
        <v>1</v>
      </c>
      <c r="E35" s="2117"/>
      <c r="F35" s="2065"/>
      <c r="G35" s="2117"/>
      <c r="H35" s="2064"/>
      <c r="I35" s="2117"/>
      <c r="J35" s="2064"/>
      <c r="K35" s="2143"/>
      <c r="L35" s="2144"/>
    </row>
    <row r="36" spans="1:42" s="2062" customFormat="1" ht="19.2">
      <c r="A36" s="2133" t="s">
        <v>94</v>
      </c>
      <c r="B36" s="2274" t="s">
        <v>993</v>
      </c>
      <c r="C36" s="2126"/>
      <c r="D36" s="2100"/>
      <c r="E36" s="2118"/>
      <c r="F36" s="2067"/>
      <c r="G36" s="2118"/>
      <c r="H36" s="2066"/>
      <c r="I36" s="2118"/>
      <c r="J36" s="2066"/>
      <c r="K36" s="2143"/>
      <c r="L36" s="2144"/>
      <c r="M36" s="2061"/>
      <c r="N36" s="2061"/>
      <c r="O36" s="2061"/>
      <c r="P36" s="2061"/>
      <c r="Q36" s="2061"/>
      <c r="R36" s="2061"/>
      <c r="S36" s="2061"/>
      <c r="T36" s="2061"/>
      <c r="U36" s="2061"/>
      <c r="V36" s="2061"/>
      <c r="W36" s="2061"/>
      <c r="X36" s="2061"/>
      <c r="Y36" s="2061"/>
      <c r="Z36" s="2061"/>
      <c r="AA36" s="2061"/>
      <c r="AB36" s="2061"/>
      <c r="AC36" s="2061"/>
      <c r="AD36" s="2061"/>
      <c r="AE36" s="2061"/>
      <c r="AF36" s="2061"/>
      <c r="AG36" s="2061"/>
      <c r="AH36" s="2061"/>
      <c r="AI36" s="2061"/>
      <c r="AJ36" s="2061"/>
      <c r="AK36" s="2061"/>
      <c r="AL36" s="2061"/>
    </row>
    <row r="37" spans="1:42" s="2062" customFormat="1" ht="38.4">
      <c r="A37" s="2610" t="s">
        <v>1201</v>
      </c>
      <c r="B37" s="2269" t="s">
        <v>1202</v>
      </c>
      <c r="C37" s="2612" t="s">
        <v>1039</v>
      </c>
      <c r="D37" s="2614">
        <v>40</v>
      </c>
      <c r="E37" s="2616">
        <v>48</v>
      </c>
      <c r="F37" s="2602">
        <v>1920</v>
      </c>
      <c r="G37" s="2605">
        <v>45.503999999999998</v>
      </c>
      <c r="H37" s="2608">
        <v>1820.1599999999999</v>
      </c>
      <c r="I37" s="2605" t="s">
        <v>1404</v>
      </c>
      <c r="J37" s="2608">
        <v>327.62999999999988</v>
      </c>
      <c r="K37" s="2651"/>
      <c r="L37" s="2638"/>
      <c r="M37" s="2061"/>
      <c r="N37" s="2061"/>
      <c r="O37" s="2061"/>
      <c r="P37" s="2061"/>
      <c r="Q37" s="2061"/>
      <c r="R37" s="2061"/>
      <c r="S37" s="2061"/>
      <c r="T37" s="2061"/>
      <c r="U37" s="2061"/>
      <c r="V37" s="2061"/>
      <c r="W37" s="2061"/>
      <c r="X37" s="2061"/>
      <c r="Y37" s="2061"/>
      <c r="Z37" s="2061"/>
      <c r="AA37" s="2061"/>
      <c r="AB37" s="2061"/>
      <c r="AC37" s="2061"/>
      <c r="AD37" s="2061"/>
      <c r="AE37" s="2061"/>
      <c r="AF37" s="2061"/>
      <c r="AG37" s="2061"/>
      <c r="AH37" s="2061"/>
      <c r="AI37" s="2061"/>
      <c r="AJ37" s="2061"/>
      <c r="AK37" s="2061"/>
      <c r="AL37" s="2061"/>
    </row>
    <row r="38" spans="1:42" s="2062" customFormat="1" ht="19.2">
      <c r="A38" s="2610"/>
      <c r="B38" s="2269"/>
      <c r="C38" s="2612"/>
      <c r="D38" s="2614"/>
      <c r="E38" s="2616"/>
      <c r="F38" s="2602"/>
      <c r="G38" s="2605"/>
      <c r="H38" s="2608"/>
      <c r="I38" s="2605"/>
      <c r="J38" s="2608"/>
      <c r="K38" s="2651"/>
      <c r="L38" s="2638"/>
      <c r="M38" s="2061"/>
      <c r="N38" s="2061"/>
      <c r="O38" s="2061"/>
      <c r="P38" s="2061"/>
      <c r="Q38" s="2061"/>
      <c r="R38" s="2061"/>
      <c r="S38" s="2061"/>
      <c r="T38" s="2061"/>
      <c r="U38" s="2061"/>
      <c r="V38" s="2061"/>
      <c r="W38" s="2061"/>
      <c r="X38" s="2061"/>
      <c r="Y38" s="2061"/>
      <c r="Z38" s="2061"/>
      <c r="AA38" s="2061"/>
      <c r="AB38" s="2061"/>
      <c r="AC38" s="2061"/>
      <c r="AD38" s="2061"/>
      <c r="AE38" s="2061"/>
      <c r="AF38" s="2061"/>
      <c r="AG38" s="2061"/>
      <c r="AH38" s="2061"/>
      <c r="AI38" s="2061"/>
      <c r="AJ38" s="2061"/>
      <c r="AK38" s="2061"/>
      <c r="AL38" s="2061"/>
    </row>
    <row r="39" spans="1:42" s="2062" customFormat="1" ht="19.2">
      <c r="A39" s="2610"/>
      <c r="B39" s="2269"/>
      <c r="C39" s="2612"/>
      <c r="D39" s="2614"/>
      <c r="E39" s="2616"/>
      <c r="F39" s="2602"/>
      <c r="G39" s="2605"/>
      <c r="H39" s="2608"/>
      <c r="I39" s="2605"/>
      <c r="J39" s="2608"/>
      <c r="K39" s="2651"/>
      <c r="L39" s="2638"/>
      <c r="M39" s="2061"/>
      <c r="N39" s="2061"/>
      <c r="O39" s="2061"/>
      <c r="P39" s="2061"/>
      <c r="Q39" s="2061"/>
      <c r="R39" s="2061"/>
      <c r="S39" s="2061"/>
      <c r="T39" s="2061"/>
      <c r="U39" s="2061"/>
      <c r="V39" s="2061"/>
      <c r="W39" s="2061"/>
      <c r="X39" s="2061"/>
      <c r="Y39" s="2061"/>
      <c r="Z39" s="2061"/>
      <c r="AA39" s="2061"/>
      <c r="AB39" s="2061"/>
      <c r="AC39" s="2061"/>
      <c r="AD39" s="2061"/>
      <c r="AE39" s="2061"/>
      <c r="AF39" s="2061"/>
      <c r="AG39" s="2061"/>
      <c r="AH39" s="2061"/>
      <c r="AI39" s="2061"/>
      <c r="AJ39" s="2061"/>
      <c r="AK39" s="2061"/>
      <c r="AL39" s="2061"/>
    </row>
    <row r="40" spans="1:42" s="2062" customFormat="1" ht="19.2">
      <c r="A40" s="2610"/>
      <c r="B40" s="2269"/>
      <c r="C40" s="2612"/>
      <c r="D40" s="2614"/>
      <c r="E40" s="2616"/>
      <c r="F40" s="2602"/>
      <c r="G40" s="2605"/>
      <c r="H40" s="2608"/>
      <c r="I40" s="2605"/>
      <c r="J40" s="2608"/>
      <c r="K40" s="2651"/>
      <c r="L40" s="2638"/>
      <c r="M40" s="2061"/>
      <c r="N40" s="2061"/>
      <c r="O40" s="2061"/>
      <c r="P40" s="2061"/>
      <c r="Q40" s="2061"/>
      <c r="R40" s="2061"/>
      <c r="S40" s="2061"/>
      <c r="T40" s="2061"/>
      <c r="U40" s="2061"/>
      <c r="V40" s="2061"/>
      <c r="W40" s="2061"/>
      <c r="X40" s="2061"/>
      <c r="Y40" s="2061"/>
      <c r="Z40" s="2061"/>
      <c r="AA40" s="2061"/>
      <c r="AB40" s="2061"/>
      <c r="AC40" s="2061"/>
      <c r="AD40" s="2061"/>
      <c r="AE40" s="2061"/>
      <c r="AF40" s="2061"/>
      <c r="AG40" s="2061"/>
      <c r="AH40" s="2061"/>
      <c r="AI40" s="2061"/>
      <c r="AJ40" s="2061"/>
      <c r="AK40" s="2061"/>
      <c r="AL40" s="2061"/>
    </row>
    <row r="41" spans="1:42" s="2062" customFormat="1" ht="19.2">
      <c r="A41" s="2610"/>
      <c r="B41" s="2269"/>
      <c r="C41" s="2612"/>
      <c r="D41" s="2614"/>
      <c r="E41" s="2616"/>
      <c r="F41" s="2602"/>
      <c r="G41" s="2605"/>
      <c r="H41" s="2608"/>
      <c r="I41" s="2605"/>
      <c r="J41" s="2608"/>
      <c r="K41" s="2651"/>
      <c r="L41" s="2638"/>
      <c r="M41" s="2061"/>
      <c r="N41" s="2061"/>
      <c r="O41" s="2061"/>
      <c r="P41" s="2061"/>
      <c r="Q41" s="2061"/>
      <c r="R41" s="2061"/>
      <c r="S41" s="2061"/>
      <c r="T41" s="2061"/>
      <c r="U41" s="2061"/>
      <c r="V41" s="2061"/>
      <c r="W41" s="2061"/>
      <c r="X41" s="2061"/>
      <c r="Y41" s="2061"/>
      <c r="Z41" s="2061"/>
      <c r="AA41" s="2061"/>
      <c r="AB41" s="2061"/>
      <c r="AC41" s="2061"/>
      <c r="AD41" s="2061"/>
      <c r="AE41" s="2061"/>
      <c r="AF41" s="2061"/>
      <c r="AG41" s="2061"/>
      <c r="AH41" s="2061"/>
      <c r="AI41" s="2061"/>
      <c r="AJ41" s="2061"/>
      <c r="AK41" s="2061"/>
      <c r="AL41" s="2061"/>
    </row>
    <row r="42" spans="1:42" s="2062" customFormat="1" ht="19.2">
      <c r="A42" s="2610"/>
      <c r="B42" s="2269"/>
      <c r="C42" s="2612"/>
      <c r="D42" s="2614"/>
      <c r="E42" s="2616"/>
      <c r="F42" s="2602"/>
      <c r="G42" s="2605"/>
      <c r="H42" s="2608"/>
      <c r="I42" s="2605"/>
      <c r="J42" s="2608"/>
      <c r="K42" s="2651"/>
      <c r="L42" s="2638"/>
      <c r="M42" s="2061"/>
      <c r="N42" s="2061"/>
      <c r="O42" s="2061"/>
      <c r="P42" s="2061"/>
      <c r="Q42" s="2061"/>
      <c r="R42" s="2061"/>
      <c r="S42" s="2061"/>
      <c r="T42" s="2061"/>
      <c r="U42" s="2061"/>
      <c r="V42" s="2061"/>
      <c r="W42" s="2061"/>
      <c r="X42" s="2061"/>
      <c r="Y42" s="2061"/>
      <c r="Z42" s="2061"/>
      <c r="AA42" s="2061"/>
      <c r="AB42" s="2061"/>
      <c r="AC42" s="2061"/>
      <c r="AD42" s="2061"/>
      <c r="AE42" s="2061"/>
      <c r="AF42" s="2061"/>
      <c r="AG42" s="2061"/>
      <c r="AH42" s="2061"/>
      <c r="AI42" s="2061"/>
      <c r="AJ42" s="2061"/>
      <c r="AK42" s="2061"/>
      <c r="AL42" s="2061"/>
    </row>
    <row r="43" spans="1:42" s="2062" customFormat="1" ht="19.2">
      <c r="A43" s="2611"/>
      <c r="B43" s="2271" t="s">
        <v>1204</v>
      </c>
      <c r="C43" s="2613"/>
      <c r="D43" s="2615"/>
      <c r="E43" s="2617"/>
      <c r="F43" s="2603"/>
      <c r="G43" s="2606"/>
      <c r="H43" s="2609"/>
      <c r="I43" s="2606"/>
      <c r="J43" s="2609"/>
      <c r="K43" s="2652"/>
      <c r="L43" s="2639"/>
      <c r="M43" s="2061"/>
      <c r="N43" s="2061"/>
      <c r="O43" s="2061"/>
      <c r="P43" s="2061"/>
      <c r="Q43" s="2061"/>
      <c r="R43" s="2061"/>
      <c r="S43" s="2061"/>
      <c r="T43" s="2061"/>
      <c r="U43" s="2061"/>
      <c r="V43" s="2061"/>
      <c r="W43" s="2061"/>
      <c r="X43" s="2061"/>
      <c r="Y43" s="2061"/>
      <c r="Z43" s="2061"/>
      <c r="AA43" s="2061"/>
      <c r="AB43" s="2061"/>
      <c r="AC43" s="2061"/>
      <c r="AD43" s="2061"/>
      <c r="AE43" s="2061"/>
      <c r="AF43" s="2061"/>
      <c r="AG43" s="2061"/>
      <c r="AH43" s="2061"/>
      <c r="AI43" s="2061"/>
      <c r="AJ43" s="2061"/>
      <c r="AK43" s="2061"/>
      <c r="AL43" s="2061"/>
    </row>
    <row r="44" spans="1:42" s="2062" customFormat="1" ht="15.6">
      <c r="A44" s="2166"/>
      <c r="B44" s="2275"/>
      <c r="C44" s="2168"/>
      <c r="D44" s="2169"/>
      <c r="E44" s="2145"/>
      <c r="F44" s="2146"/>
      <c r="G44" s="2145"/>
      <c r="H44" s="2147"/>
      <c r="I44" s="2145"/>
      <c r="J44" s="2147"/>
      <c r="K44" s="2143"/>
      <c r="L44" s="2144"/>
      <c r="M44" s="2061"/>
      <c r="N44" s="2061"/>
      <c r="O44" s="2061"/>
      <c r="P44" s="2061"/>
      <c r="Q44" s="2061"/>
      <c r="R44" s="2061"/>
      <c r="S44" s="2061"/>
      <c r="T44" s="2061"/>
      <c r="U44" s="2061"/>
      <c r="V44" s="2061"/>
      <c r="W44" s="2061"/>
      <c r="X44" s="2061"/>
      <c r="Y44" s="2061"/>
      <c r="Z44" s="2061"/>
      <c r="AA44" s="2061"/>
      <c r="AB44" s="2061"/>
      <c r="AC44" s="2061"/>
      <c r="AD44" s="2061"/>
      <c r="AE44" s="2061"/>
      <c r="AF44" s="2061"/>
      <c r="AG44" s="2061"/>
      <c r="AH44" s="2061"/>
      <c r="AI44" s="2061"/>
      <c r="AJ44" s="2061"/>
      <c r="AK44" s="2061"/>
      <c r="AL44" s="2061"/>
    </row>
    <row r="45" spans="1:42" s="2061" customFormat="1" ht="19.2">
      <c r="A45" s="2132" t="s">
        <v>1205</v>
      </c>
      <c r="B45" s="2273" t="s">
        <v>1206</v>
      </c>
      <c r="C45" s="2125" t="s">
        <v>1200</v>
      </c>
      <c r="D45" s="2101">
        <v>1</v>
      </c>
      <c r="E45" s="2117"/>
      <c r="F45" s="2065"/>
      <c r="G45" s="2117"/>
      <c r="H45" s="2064"/>
      <c r="I45" s="2117"/>
      <c r="J45" s="2064"/>
      <c r="K45" s="2143"/>
      <c r="L45" s="2144"/>
    </row>
    <row r="46" spans="1:42" s="2062" customFormat="1" ht="16.2" thickBot="1">
      <c r="A46" s="2170"/>
      <c r="B46" s="2276"/>
      <c r="C46" s="2171"/>
      <c r="D46" s="2172"/>
      <c r="E46" s="2145"/>
      <c r="F46" s="2146"/>
      <c r="G46" s="2145"/>
      <c r="H46" s="2147"/>
      <c r="I46" s="2145"/>
      <c r="J46" s="2147"/>
      <c r="K46" s="2143"/>
      <c r="L46" s="2144"/>
      <c r="M46" s="2061"/>
      <c r="N46" s="2061"/>
      <c r="O46" s="2061"/>
      <c r="P46" s="2061"/>
      <c r="Q46" s="2061"/>
      <c r="R46" s="2061"/>
      <c r="S46" s="2061"/>
      <c r="T46" s="2061"/>
      <c r="U46" s="2061"/>
      <c r="V46" s="2061"/>
      <c r="W46" s="2061"/>
      <c r="X46" s="2061"/>
      <c r="Y46" s="2061"/>
      <c r="Z46" s="2061"/>
      <c r="AA46" s="2061"/>
      <c r="AB46" s="2061"/>
      <c r="AC46" s="2061"/>
      <c r="AD46" s="2061"/>
      <c r="AE46" s="2061"/>
      <c r="AF46" s="2061"/>
      <c r="AG46" s="2061"/>
      <c r="AH46" s="2061"/>
      <c r="AI46" s="2061"/>
      <c r="AJ46" s="2061"/>
      <c r="AK46" s="2061"/>
      <c r="AL46" s="2061"/>
    </row>
    <row r="47" spans="1:42" s="2069" customFormat="1" ht="19.8" thickBot="1">
      <c r="A47" s="2134" t="s">
        <v>60</v>
      </c>
      <c r="B47" s="2273" t="s">
        <v>1207</v>
      </c>
      <c r="C47" s="2125" t="s">
        <v>1200</v>
      </c>
      <c r="D47" s="2101">
        <v>1</v>
      </c>
      <c r="E47" s="2117"/>
      <c r="F47" s="2065"/>
      <c r="G47" s="2117"/>
      <c r="H47" s="2064"/>
      <c r="I47" s="2117"/>
      <c r="J47" s="2064"/>
      <c r="K47" s="2143"/>
      <c r="L47" s="2144"/>
      <c r="M47" s="2061"/>
      <c r="N47" s="2061"/>
      <c r="O47" s="2061"/>
      <c r="P47" s="2061"/>
      <c r="Q47" s="2061"/>
      <c r="R47" s="2061"/>
      <c r="S47" s="2061"/>
      <c r="T47" s="2061"/>
      <c r="U47" s="2061"/>
      <c r="V47" s="2061"/>
      <c r="W47" s="2061"/>
      <c r="X47" s="2061"/>
      <c r="Y47" s="2061"/>
      <c r="Z47" s="2061"/>
      <c r="AA47" s="2061"/>
      <c r="AB47" s="2061"/>
      <c r="AC47" s="2061"/>
      <c r="AD47" s="2061"/>
      <c r="AE47" s="2061"/>
      <c r="AF47" s="2061"/>
      <c r="AG47" s="2061"/>
      <c r="AH47" s="2061"/>
      <c r="AI47" s="2061"/>
      <c r="AJ47" s="2061"/>
      <c r="AK47" s="2061"/>
      <c r="AL47" s="2061"/>
      <c r="AM47" s="2068"/>
      <c r="AN47" s="2068"/>
      <c r="AO47" s="2068"/>
      <c r="AP47" s="2068"/>
    </row>
    <row r="48" spans="1:42" s="2062" customFormat="1" ht="19.2">
      <c r="A48" s="2166"/>
      <c r="B48" s="2275"/>
      <c r="C48" s="2168"/>
      <c r="D48" s="2173" t="s">
        <v>1336</v>
      </c>
      <c r="E48" s="2119"/>
      <c r="F48" s="2102"/>
      <c r="G48" s="2119"/>
      <c r="H48" s="2070"/>
      <c r="I48" s="2119"/>
      <c r="J48" s="2070"/>
      <c r="K48" s="2143"/>
      <c r="L48" s="2144"/>
      <c r="M48" s="2061"/>
      <c r="N48" s="2061"/>
      <c r="O48" s="2061"/>
      <c r="P48" s="2061"/>
      <c r="Q48" s="2061"/>
      <c r="R48" s="2061"/>
      <c r="S48" s="2061"/>
      <c r="T48" s="2061"/>
      <c r="U48" s="2061"/>
      <c r="V48" s="2061"/>
      <c r="W48" s="2061"/>
      <c r="X48" s="2061"/>
      <c r="Y48" s="2061"/>
      <c r="Z48" s="2061"/>
      <c r="AA48" s="2061"/>
      <c r="AB48" s="2061"/>
      <c r="AC48" s="2061"/>
      <c r="AD48" s="2061"/>
      <c r="AE48" s="2061"/>
      <c r="AF48" s="2061"/>
      <c r="AG48" s="2061"/>
      <c r="AH48" s="2061"/>
      <c r="AI48" s="2061"/>
      <c r="AJ48" s="2061"/>
      <c r="AK48" s="2061"/>
      <c r="AL48" s="2061"/>
      <c r="AM48" s="2071"/>
      <c r="AN48" s="2071"/>
      <c r="AO48" s="2071"/>
      <c r="AP48" s="2071"/>
    </row>
    <row r="49" spans="1:38" s="2062" customFormat="1" ht="15.6">
      <c r="A49" s="2166"/>
      <c r="B49" s="2275"/>
      <c r="C49" s="2168"/>
      <c r="D49" s="2169"/>
      <c r="E49" s="2145"/>
      <c r="F49" s="2146"/>
      <c r="G49" s="2145"/>
      <c r="H49" s="2147"/>
      <c r="I49" s="2145"/>
      <c r="J49" s="2147"/>
      <c r="K49" s="2143"/>
      <c r="L49" s="2144"/>
      <c r="M49" s="2061"/>
      <c r="N49" s="2061"/>
      <c r="O49" s="2061"/>
      <c r="P49" s="2061"/>
      <c r="Q49" s="2061"/>
      <c r="R49" s="2061"/>
      <c r="S49" s="2061"/>
      <c r="T49" s="2061"/>
      <c r="U49" s="2061"/>
      <c r="V49" s="2061"/>
      <c r="W49" s="2061"/>
      <c r="X49" s="2061"/>
      <c r="Y49" s="2061"/>
      <c r="Z49" s="2061"/>
      <c r="AA49" s="2061"/>
      <c r="AB49" s="2061"/>
      <c r="AC49" s="2061"/>
      <c r="AD49" s="2061"/>
      <c r="AE49" s="2061"/>
      <c r="AF49" s="2061"/>
      <c r="AG49" s="2061"/>
      <c r="AH49" s="2061"/>
      <c r="AI49" s="2061"/>
      <c r="AJ49" s="2061"/>
      <c r="AK49" s="2061"/>
      <c r="AL49" s="2061"/>
    </row>
    <row r="50" spans="1:38" s="2062" customFormat="1" ht="15.6">
      <c r="A50" s="2166"/>
      <c r="B50" s="2275"/>
      <c r="C50" s="2168"/>
      <c r="D50" s="2169"/>
      <c r="E50" s="2145"/>
      <c r="F50" s="2146"/>
      <c r="G50" s="2145"/>
      <c r="H50" s="2147"/>
      <c r="I50" s="2145"/>
      <c r="J50" s="2147"/>
      <c r="K50" s="2143"/>
      <c r="L50" s="2144"/>
      <c r="M50" s="2061"/>
      <c r="N50" s="2061"/>
      <c r="O50" s="2061"/>
      <c r="P50" s="2061"/>
      <c r="Q50" s="2061"/>
      <c r="R50" s="2061"/>
      <c r="S50" s="2061"/>
      <c r="T50" s="2061"/>
      <c r="U50" s="2061"/>
      <c r="V50" s="2061"/>
      <c r="W50" s="2061"/>
      <c r="X50" s="2061"/>
      <c r="Y50" s="2061"/>
      <c r="Z50" s="2061"/>
      <c r="AA50" s="2061"/>
      <c r="AB50" s="2061"/>
      <c r="AC50" s="2061"/>
      <c r="AD50" s="2061"/>
      <c r="AE50" s="2061"/>
      <c r="AF50" s="2061"/>
      <c r="AG50" s="2061"/>
      <c r="AH50" s="2061"/>
      <c r="AI50" s="2061"/>
      <c r="AJ50" s="2061"/>
      <c r="AK50" s="2061"/>
      <c r="AL50" s="2061"/>
    </row>
    <row r="51" spans="1:38" s="2062" customFormat="1" ht="15.6">
      <c r="A51" s="2166"/>
      <c r="B51" s="2275"/>
      <c r="C51" s="2168"/>
      <c r="D51" s="2169"/>
      <c r="E51" s="2145"/>
      <c r="F51" s="2146"/>
      <c r="G51" s="2145"/>
      <c r="H51" s="2147"/>
      <c r="I51" s="2145"/>
      <c r="J51" s="2147"/>
      <c r="K51" s="2141"/>
      <c r="L51" s="2142"/>
    </row>
    <row r="52" spans="1:38" s="2062" customFormat="1" ht="19.2">
      <c r="A52" s="2174" t="s">
        <v>811</v>
      </c>
      <c r="B52" s="2175" t="s">
        <v>1351</v>
      </c>
      <c r="C52" s="2168"/>
      <c r="D52" s="2169"/>
      <c r="E52" s="2145"/>
      <c r="F52" s="2146"/>
      <c r="G52" s="2145"/>
      <c r="H52" s="2147"/>
      <c r="I52" s="2145"/>
      <c r="J52" s="2147"/>
      <c r="K52" s="2141"/>
      <c r="L52" s="2142"/>
    </row>
    <row r="53" spans="1:38" s="2062" customFormat="1" ht="15.6">
      <c r="A53" s="2166"/>
      <c r="B53" s="2275"/>
      <c r="C53" s="2168"/>
      <c r="D53" s="2169"/>
      <c r="E53" s="2145"/>
      <c r="F53" s="2146"/>
      <c r="G53" s="2145"/>
      <c r="H53" s="2147"/>
      <c r="I53" s="2145"/>
      <c r="J53" s="2147"/>
      <c r="K53" s="2141"/>
      <c r="L53" s="2142"/>
    </row>
    <row r="54" spans="1:38" s="2062" customFormat="1" ht="19.2">
      <c r="A54" s="2135" t="s">
        <v>1179</v>
      </c>
      <c r="B54" s="2277" t="s">
        <v>294</v>
      </c>
      <c r="C54" s="2127" t="s">
        <v>198</v>
      </c>
      <c r="D54" s="2103" t="s">
        <v>1180</v>
      </c>
      <c r="E54" s="2120"/>
      <c r="F54" s="2104"/>
      <c r="G54" s="2120"/>
      <c r="H54" s="2077"/>
      <c r="I54" s="2120"/>
      <c r="J54" s="2077"/>
      <c r="K54" s="2141"/>
      <c r="L54" s="2142"/>
    </row>
    <row r="55" spans="1:38" s="2062" customFormat="1" ht="19.2">
      <c r="A55" s="2135" t="s">
        <v>197</v>
      </c>
      <c r="B55" s="2277" t="s">
        <v>61</v>
      </c>
      <c r="C55" s="2127" t="s">
        <v>62</v>
      </c>
      <c r="D55" s="2103" t="s">
        <v>63</v>
      </c>
      <c r="E55" s="2120"/>
      <c r="F55" s="2104"/>
      <c r="G55" s="2120"/>
      <c r="H55" s="2077"/>
      <c r="I55" s="2120"/>
      <c r="J55" s="2077"/>
      <c r="K55" s="2141"/>
      <c r="L55" s="2142"/>
    </row>
    <row r="56" spans="1:38" s="2062" customFormat="1" ht="19.2">
      <c r="A56" s="2135"/>
      <c r="B56" s="2277"/>
      <c r="C56" s="2127"/>
      <c r="D56" s="2103"/>
      <c r="E56" s="2120"/>
      <c r="F56" s="2104"/>
      <c r="G56" s="2120"/>
      <c r="H56" s="2077"/>
      <c r="I56" s="2120"/>
      <c r="J56" s="2077"/>
      <c r="K56" s="2141"/>
      <c r="L56" s="2142"/>
    </row>
    <row r="57" spans="1:38" s="2062" customFormat="1" ht="307.2">
      <c r="A57" s="2214" t="s">
        <v>1209</v>
      </c>
      <c r="B57" s="2215" t="s">
        <v>1210</v>
      </c>
      <c r="C57" s="2216" t="s">
        <v>1211</v>
      </c>
      <c r="D57" s="2217">
        <v>300</v>
      </c>
      <c r="E57" s="2218">
        <v>108300</v>
      </c>
      <c r="F57" s="2219">
        <v>32490000</v>
      </c>
      <c r="G57" s="2220">
        <v>102668.4</v>
      </c>
      <c r="H57" s="2221">
        <v>30800520</v>
      </c>
      <c r="I57" s="2222" t="s">
        <v>1403</v>
      </c>
      <c r="J57" s="2223"/>
      <c r="K57" s="2212"/>
      <c r="L57" s="2213"/>
    </row>
    <row r="58" spans="1:38" s="2062" customFormat="1" ht="345.6">
      <c r="A58" s="2078" t="s">
        <v>1212</v>
      </c>
      <c r="B58" s="2224" t="s">
        <v>1370</v>
      </c>
      <c r="C58" s="2072" t="s">
        <v>1211</v>
      </c>
      <c r="D58" s="2225">
        <v>3</v>
      </c>
      <c r="E58" s="2226">
        <v>96335</v>
      </c>
      <c r="F58" s="2227">
        <v>289005</v>
      </c>
      <c r="G58" s="2228">
        <v>91325.58</v>
      </c>
      <c r="H58" s="2229">
        <v>273976.74</v>
      </c>
      <c r="I58" s="2230" t="s">
        <v>1403</v>
      </c>
      <c r="J58" s="2231"/>
      <c r="K58" s="2232"/>
      <c r="L58" s="2233"/>
    </row>
    <row r="59" spans="1:38" s="2062" customFormat="1" ht="230.4">
      <c r="A59" s="2136" t="s">
        <v>1214</v>
      </c>
      <c r="B59" s="2278" t="s">
        <v>1350</v>
      </c>
      <c r="C59" s="2128" t="s">
        <v>1211</v>
      </c>
      <c r="D59" s="2105">
        <v>303</v>
      </c>
      <c r="E59" s="2148">
        <v>18134</v>
      </c>
      <c r="F59" s="2149">
        <v>5494602</v>
      </c>
      <c r="G59" s="2152">
        <v>17191.031999999999</v>
      </c>
      <c r="H59" s="2151">
        <v>5208882.6959999995</v>
      </c>
      <c r="I59" s="2152" t="s">
        <v>1403</v>
      </c>
      <c r="J59" s="2153"/>
      <c r="K59" s="2141"/>
      <c r="L59" s="2142"/>
    </row>
    <row r="60" spans="1:38" s="2062" customFormat="1" ht="153.6">
      <c r="A60" s="2136" t="s">
        <v>1216</v>
      </c>
      <c r="B60" s="2279" t="s">
        <v>1217</v>
      </c>
      <c r="C60" s="2128" t="s">
        <v>1218</v>
      </c>
      <c r="D60" s="2105"/>
      <c r="E60" s="2148"/>
      <c r="F60" s="2149"/>
      <c r="G60" s="2152"/>
      <c r="H60" s="2153"/>
      <c r="I60" s="2152"/>
      <c r="J60" s="2153"/>
      <c r="K60" s="2141"/>
      <c r="L60" s="2142"/>
    </row>
    <row r="61" spans="1:38" s="2062" customFormat="1" ht="19.2">
      <c r="A61" s="2176"/>
      <c r="B61" s="2278" t="s">
        <v>1372</v>
      </c>
      <c r="C61" s="2128" t="s">
        <v>1218</v>
      </c>
      <c r="D61" s="2177">
        <v>500</v>
      </c>
      <c r="E61" s="2148">
        <v>1927</v>
      </c>
      <c r="F61" s="2149">
        <v>963500</v>
      </c>
      <c r="G61" s="2150">
        <v>1826.796</v>
      </c>
      <c r="H61" s="2151">
        <v>913398</v>
      </c>
      <c r="I61" s="2152" t="s">
        <v>1403</v>
      </c>
      <c r="J61" s="2153"/>
      <c r="K61" s="2141"/>
      <c r="L61" s="2142"/>
    </row>
    <row r="62" spans="1:38" s="2062" customFormat="1" ht="19.2">
      <c r="A62" s="2214"/>
      <c r="B62" s="2280" t="s">
        <v>1371</v>
      </c>
      <c r="C62" s="2216" t="s">
        <v>1218</v>
      </c>
      <c r="D62" s="2217">
        <v>3000</v>
      </c>
      <c r="E62" s="2218">
        <v>1927</v>
      </c>
      <c r="F62" s="2219">
        <v>5781000</v>
      </c>
      <c r="G62" s="2220">
        <v>1826.796</v>
      </c>
      <c r="H62" s="2221">
        <v>5480388</v>
      </c>
      <c r="I62" s="2222" t="s">
        <v>1403</v>
      </c>
      <c r="J62" s="2223"/>
      <c r="K62" s="2212"/>
      <c r="L62" s="2213"/>
    </row>
    <row r="63" spans="1:38" s="2062" customFormat="1" ht="153.6">
      <c r="A63" s="2234" t="s">
        <v>1219</v>
      </c>
      <c r="B63" s="2281" t="s">
        <v>1220</v>
      </c>
      <c r="C63" s="2235" t="s">
        <v>1218</v>
      </c>
      <c r="D63" s="2236"/>
      <c r="E63" s="2237"/>
      <c r="F63" s="2238"/>
      <c r="G63" s="2239"/>
      <c r="H63" s="2240"/>
      <c r="I63" s="2239"/>
      <c r="J63" s="2240"/>
      <c r="K63" s="2241"/>
      <c r="L63" s="2242"/>
    </row>
    <row r="64" spans="1:38" s="2062" customFormat="1" ht="19.2">
      <c r="A64" s="2136"/>
      <c r="B64" s="2278" t="s">
        <v>1372</v>
      </c>
      <c r="C64" s="2128"/>
      <c r="D64" s="2105">
        <v>10</v>
      </c>
      <c r="E64" s="2148">
        <v>1813</v>
      </c>
      <c r="F64" s="2149">
        <v>18130</v>
      </c>
      <c r="G64" s="2150">
        <v>1718.7239999999999</v>
      </c>
      <c r="H64" s="2151">
        <v>17187.239999999998</v>
      </c>
      <c r="I64" s="2152" t="s">
        <v>1403</v>
      </c>
      <c r="J64" s="2153"/>
      <c r="K64" s="2141"/>
      <c r="L64" s="2142"/>
    </row>
    <row r="65" spans="1:12" s="2062" customFormat="1" ht="19.2">
      <c r="A65" s="2214"/>
      <c r="B65" s="2280" t="s">
        <v>1371</v>
      </c>
      <c r="C65" s="2216"/>
      <c r="D65" s="2217">
        <v>90</v>
      </c>
      <c r="E65" s="2218">
        <v>1813</v>
      </c>
      <c r="F65" s="2219">
        <v>163170</v>
      </c>
      <c r="G65" s="2220">
        <v>1718.7239999999999</v>
      </c>
      <c r="H65" s="2221">
        <v>154685.16</v>
      </c>
      <c r="I65" s="2222" t="s">
        <v>1403</v>
      </c>
      <c r="J65" s="2223"/>
      <c r="K65" s="2212"/>
      <c r="L65" s="2213"/>
    </row>
    <row r="66" spans="1:12" s="2062" customFormat="1" ht="172.8">
      <c r="A66" s="2078" t="s">
        <v>1221</v>
      </c>
      <c r="B66" s="2282" t="s">
        <v>1222</v>
      </c>
      <c r="C66" s="2072" t="s">
        <v>1211</v>
      </c>
      <c r="D66" s="2225">
        <v>130</v>
      </c>
      <c r="E66" s="2226">
        <v>13600</v>
      </c>
      <c r="F66" s="2227">
        <v>1768000</v>
      </c>
      <c r="G66" s="2228">
        <v>12892.8</v>
      </c>
      <c r="H66" s="2229">
        <v>1676064</v>
      </c>
      <c r="I66" s="2230" t="s">
        <v>1403</v>
      </c>
      <c r="J66" s="2231"/>
      <c r="K66" s="2232"/>
      <c r="L66" s="2233"/>
    </row>
    <row r="67" spans="1:12" s="2062" customFormat="1" ht="172.8">
      <c r="A67" s="2078" t="s">
        <v>1223</v>
      </c>
      <c r="B67" s="2282" t="s">
        <v>1224</v>
      </c>
      <c r="C67" s="2072" t="s">
        <v>1225</v>
      </c>
      <c r="D67" s="2225">
        <v>2500</v>
      </c>
      <c r="E67" s="2226">
        <v>315</v>
      </c>
      <c r="F67" s="2227">
        <v>787500</v>
      </c>
      <c r="G67" s="2228">
        <v>298.62</v>
      </c>
      <c r="H67" s="2229">
        <v>746550</v>
      </c>
      <c r="I67" s="2230" t="s">
        <v>1403</v>
      </c>
      <c r="J67" s="2231"/>
      <c r="K67" s="2232"/>
      <c r="L67" s="2233"/>
    </row>
    <row r="68" spans="1:12" s="2062" customFormat="1" ht="15.6">
      <c r="A68" s="2178"/>
      <c r="B68" s="2179"/>
      <c r="C68" s="2179"/>
      <c r="D68" s="2180" t="s">
        <v>1337</v>
      </c>
      <c r="E68" s="2154"/>
      <c r="F68" s="2155"/>
      <c r="G68" s="2152"/>
      <c r="H68" s="2156"/>
      <c r="I68" s="2157"/>
      <c r="J68" s="2156"/>
      <c r="K68" s="2141"/>
      <c r="L68" s="2142"/>
    </row>
    <row r="69" spans="1:12" s="2062" customFormat="1" ht="15.6">
      <c r="A69" s="2181"/>
      <c r="B69" s="2167"/>
      <c r="C69" s="2167"/>
      <c r="D69" s="2167"/>
      <c r="E69" s="2158"/>
      <c r="F69" s="2159"/>
      <c r="G69" s="2152"/>
      <c r="H69" s="2156"/>
      <c r="I69" s="2157"/>
      <c r="J69" s="2156"/>
      <c r="K69" s="2141"/>
      <c r="L69" s="2142"/>
    </row>
    <row r="70" spans="1:12" s="2062" customFormat="1" ht="19.2">
      <c r="A70" s="2182" t="s">
        <v>813</v>
      </c>
      <c r="B70" s="2175" t="s">
        <v>87</v>
      </c>
      <c r="C70" s="2167"/>
      <c r="D70" s="2167"/>
      <c r="E70" s="2158"/>
      <c r="F70" s="2159"/>
      <c r="G70" s="2152"/>
      <c r="H70" s="2156"/>
      <c r="I70" s="2157"/>
      <c r="J70" s="2156"/>
      <c r="K70" s="2141"/>
      <c r="L70" s="2142"/>
    </row>
    <row r="71" spans="1:12" s="2062" customFormat="1" ht="15.6">
      <c r="A71" s="2181"/>
      <c r="B71" s="2167"/>
      <c r="C71" s="2167"/>
      <c r="D71" s="2167"/>
      <c r="E71" s="2158"/>
      <c r="F71" s="2159"/>
      <c r="G71" s="2152"/>
      <c r="H71" s="2156"/>
      <c r="I71" s="2157"/>
      <c r="J71" s="2156"/>
      <c r="K71" s="2141"/>
      <c r="L71" s="2142"/>
    </row>
    <row r="72" spans="1:12" s="2063" customFormat="1" ht="19.2">
      <c r="A72" s="2116" t="s">
        <v>1179</v>
      </c>
      <c r="B72" s="2106" t="s">
        <v>294</v>
      </c>
      <c r="C72" s="2106" t="s">
        <v>198</v>
      </c>
      <c r="D72" s="2106" t="s">
        <v>1180</v>
      </c>
      <c r="E72" s="2121"/>
      <c r="F72" s="2107"/>
      <c r="G72" s="2152"/>
      <c r="H72" s="2156"/>
      <c r="I72" s="2157"/>
      <c r="J72" s="2156"/>
      <c r="K72" s="2160"/>
      <c r="L72" s="2161"/>
    </row>
    <row r="73" spans="1:12" s="2062" customFormat="1" ht="19.2">
      <c r="A73" s="2074" t="s">
        <v>197</v>
      </c>
      <c r="B73" s="2075" t="s">
        <v>61</v>
      </c>
      <c r="C73" s="2075" t="s">
        <v>62</v>
      </c>
      <c r="D73" s="2075" t="s">
        <v>63</v>
      </c>
      <c r="E73" s="2122"/>
      <c r="F73" s="2076"/>
      <c r="G73" s="2152"/>
      <c r="H73" s="2156"/>
      <c r="I73" s="2157"/>
      <c r="J73" s="2156"/>
      <c r="K73" s="2141"/>
      <c r="L73" s="2142"/>
    </row>
    <row r="74" spans="1:12" s="2062" customFormat="1" ht="19.2">
      <c r="A74" s="2074"/>
      <c r="B74" s="2075"/>
      <c r="C74" s="2075"/>
      <c r="D74" s="2075"/>
      <c r="E74" s="2122"/>
      <c r="F74" s="2076"/>
      <c r="G74" s="2152"/>
      <c r="H74" s="2156"/>
      <c r="I74" s="2157"/>
      <c r="J74" s="2156"/>
      <c r="K74" s="2141"/>
      <c r="L74" s="2142"/>
    </row>
    <row r="75" spans="1:12" s="2062" customFormat="1" ht="19.2">
      <c r="A75" s="2597" t="s">
        <v>33</v>
      </c>
      <c r="B75" s="2598"/>
      <c r="C75" s="2598"/>
      <c r="D75" s="2598"/>
      <c r="E75" s="2123"/>
      <c r="F75" s="2108"/>
      <c r="G75" s="2152"/>
      <c r="H75" s="2156"/>
      <c r="I75" s="2157"/>
      <c r="J75" s="2156"/>
      <c r="K75" s="2141"/>
      <c r="L75" s="2142"/>
    </row>
    <row r="76" spans="1:12" s="2062" customFormat="1" ht="115.2">
      <c r="A76" s="2243" t="s">
        <v>1227</v>
      </c>
      <c r="B76" s="2249" t="s">
        <v>1228</v>
      </c>
      <c r="C76" s="2244" t="s">
        <v>673</v>
      </c>
      <c r="D76" s="2245">
        <v>70</v>
      </c>
      <c r="E76" s="2246">
        <v>2748</v>
      </c>
      <c r="F76" s="2247">
        <v>192360</v>
      </c>
      <c r="G76" s="2220">
        <v>2605.1039999999998</v>
      </c>
      <c r="H76" s="2221">
        <v>182357.28</v>
      </c>
      <c r="I76" s="2222" t="s">
        <v>1403</v>
      </c>
      <c r="J76" s="2248"/>
      <c r="K76" s="2212"/>
      <c r="L76" s="2213"/>
    </row>
    <row r="77" spans="1:12" s="2062" customFormat="1" ht="115.2">
      <c r="A77" s="2137" t="s">
        <v>1230</v>
      </c>
      <c r="B77" s="2112" t="s">
        <v>1231</v>
      </c>
      <c r="C77" s="2129" t="s">
        <v>673</v>
      </c>
      <c r="D77" s="2109">
        <v>2</v>
      </c>
      <c r="E77" s="2124">
        <v>1884</v>
      </c>
      <c r="F77" s="2110">
        <v>3768</v>
      </c>
      <c r="G77" s="2150">
        <v>1786.0319999999999</v>
      </c>
      <c r="H77" s="2151">
        <v>3572.0639999999999</v>
      </c>
      <c r="I77" s="2152" t="s">
        <v>1403</v>
      </c>
      <c r="J77" s="2156"/>
      <c r="K77" s="2141"/>
      <c r="L77" s="2142"/>
    </row>
    <row r="78" spans="1:12" s="2062" customFormat="1" ht="115.2">
      <c r="A78" s="2243" t="s">
        <v>1233</v>
      </c>
      <c r="B78" s="2249" t="s">
        <v>1234</v>
      </c>
      <c r="C78" s="2244" t="s">
        <v>673</v>
      </c>
      <c r="D78" s="2245">
        <v>10</v>
      </c>
      <c r="E78" s="2246">
        <v>2458</v>
      </c>
      <c r="F78" s="2247">
        <v>24580</v>
      </c>
      <c r="G78" s="2220">
        <v>2330.1840000000002</v>
      </c>
      <c r="H78" s="2221">
        <v>23301.840000000004</v>
      </c>
      <c r="I78" s="2222" t="s">
        <v>1403</v>
      </c>
      <c r="J78" s="2248"/>
      <c r="K78" s="2212"/>
      <c r="L78" s="2213"/>
    </row>
    <row r="79" spans="1:12" s="2062" customFormat="1" ht="19.2">
      <c r="A79" s="2599" t="s">
        <v>1235</v>
      </c>
      <c r="B79" s="2600"/>
      <c r="C79" s="2130"/>
      <c r="D79" s="2111"/>
      <c r="E79" s="2124">
        <v>0</v>
      </c>
      <c r="F79" s="2110">
        <v>0</v>
      </c>
      <c r="G79" s="2152"/>
      <c r="H79" s="2153"/>
      <c r="I79" s="2152"/>
      <c r="J79" s="2156"/>
      <c r="K79" s="2141"/>
      <c r="L79" s="2142"/>
    </row>
    <row r="80" spans="1:12" s="2062" customFormat="1" ht="211.2">
      <c r="A80" s="2243" t="s">
        <v>1236</v>
      </c>
      <c r="B80" s="2249" t="s">
        <v>1237</v>
      </c>
      <c r="C80" s="2244" t="s">
        <v>673</v>
      </c>
      <c r="D80" s="2245">
        <v>200</v>
      </c>
      <c r="E80" s="2246">
        <v>201</v>
      </c>
      <c r="F80" s="2247">
        <v>40200</v>
      </c>
      <c r="G80" s="2220">
        <v>190.548</v>
      </c>
      <c r="H80" s="2221">
        <v>38109.599999999999</v>
      </c>
      <c r="I80" s="2222" t="s">
        <v>1403</v>
      </c>
      <c r="J80" s="2248"/>
      <c r="K80" s="2212"/>
      <c r="L80" s="2213"/>
    </row>
    <row r="81" spans="1:12" s="2062" customFormat="1" ht="76.8">
      <c r="A81" s="2079" t="s">
        <v>1239</v>
      </c>
      <c r="B81" s="2073" t="s">
        <v>1240</v>
      </c>
      <c r="C81" s="2250" t="s">
        <v>673</v>
      </c>
      <c r="D81" s="2251">
        <v>80</v>
      </c>
      <c r="E81" s="2252">
        <v>152</v>
      </c>
      <c r="F81" s="2253">
        <v>12160</v>
      </c>
      <c r="G81" s="2228">
        <v>144.096</v>
      </c>
      <c r="H81" s="2229">
        <v>11527.68</v>
      </c>
      <c r="I81" s="2230" t="s">
        <v>1403</v>
      </c>
      <c r="J81" s="2254"/>
      <c r="K81" s="2232"/>
      <c r="L81" s="2233"/>
    </row>
    <row r="82" spans="1:12" s="2062" customFormat="1" ht="115.2">
      <c r="A82" s="2080" t="s">
        <v>1242</v>
      </c>
      <c r="B82" s="2283" t="s">
        <v>1243</v>
      </c>
      <c r="C82" s="2250" t="s">
        <v>673</v>
      </c>
      <c r="D82" s="2251">
        <v>120</v>
      </c>
      <c r="E82" s="2252">
        <v>253</v>
      </c>
      <c r="F82" s="2253">
        <v>30360</v>
      </c>
      <c r="G82" s="2228">
        <v>239.84399999999999</v>
      </c>
      <c r="H82" s="2229">
        <v>28781.279999999999</v>
      </c>
      <c r="I82" s="2230" t="s">
        <v>1403</v>
      </c>
      <c r="J82" s="2254"/>
      <c r="K82" s="2232"/>
      <c r="L82" s="2233"/>
    </row>
    <row r="83" spans="1:12" s="2062" customFormat="1" ht="57.6">
      <c r="A83" s="2080" t="s">
        <v>1245</v>
      </c>
      <c r="B83" s="2283" t="s">
        <v>1246</v>
      </c>
      <c r="C83" s="2250" t="s">
        <v>673</v>
      </c>
      <c r="D83" s="2251">
        <v>5</v>
      </c>
      <c r="E83" s="2252">
        <v>1643</v>
      </c>
      <c r="F83" s="2253">
        <v>8215</v>
      </c>
      <c r="G83" s="2228">
        <v>1557.5640000000001</v>
      </c>
      <c r="H83" s="2229">
        <v>7787.8200000000006</v>
      </c>
      <c r="I83" s="2230" t="s">
        <v>1403</v>
      </c>
      <c r="J83" s="2254"/>
      <c r="K83" s="2232"/>
      <c r="L83" s="2233"/>
    </row>
    <row r="84" spans="1:12" s="2062" customFormat="1" ht="57.6">
      <c r="A84" s="2080" t="s">
        <v>1248</v>
      </c>
      <c r="B84" s="2283" t="s">
        <v>1249</v>
      </c>
      <c r="C84" s="2250" t="s">
        <v>1225</v>
      </c>
      <c r="D84" s="2251">
        <v>200</v>
      </c>
      <c r="E84" s="2252">
        <v>26</v>
      </c>
      <c r="F84" s="2253">
        <v>5200</v>
      </c>
      <c r="G84" s="2228">
        <v>24.648</v>
      </c>
      <c r="H84" s="2229">
        <v>4929.6000000000004</v>
      </c>
      <c r="I84" s="2230" t="s">
        <v>1403</v>
      </c>
      <c r="J84" s="2254"/>
      <c r="K84" s="2232"/>
      <c r="L84" s="2233"/>
    </row>
    <row r="85" spans="1:12" s="2062" customFormat="1" ht="19.2">
      <c r="A85" s="2599" t="s">
        <v>1251</v>
      </c>
      <c r="B85" s="2600"/>
      <c r="C85" s="2130"/>
      <c r="D85" s="2111"/>
      <c r="E85" s="2124">
        <v>0</v>
      </c>
      <c r="F85" s="2110">
        <v>0</v>
      </c>
      <c r="G85" s="2152"/>
      <c r="H85" s="2153"/>
      <c r="I85" s="2152"/>
      <c r="J85" s="2156"/>
      <c r="K85" s="2141"/>
      <c r="L85" s="2142"/>
    </row>
    <row r="86" spans="1:12" s="2062" customFormat="1" ht="134.4">
      <c r="A86" s="2255" t="s">
        <v>1252</v>
      </c>
      <c r="B86" s="2249" t="s">
        <v>1253</v>
      </c>
      <c r="C86" s="2244" t="s">
        <v>564</v>
      </c>
      <c r="D86" s="2245">
        <v>1</v>
      </c>
      <c r="E86" s="2246">
        <v>52500</v>
      </c>
      <c r="F86" s="2247">
        <v>52500</v>
      </c>
      <c r="G86" s="2220">
        <v>49770</v>
      </c>
      <c r="H86" s="2221">
        <v>49770</v>
      </c>
      <c r="I86" s="2222" t="s">
        <v>1403</v>
      </c>
      <c r="J86" s="2248"/>
      <c r="K86" s="2212"/>
      <c r="L86" s="2213"/>
    </row>
    <row r="87" spans="1:12" s="2062" customFormat="1" ht="230.4">
      <c r="A87" s="2079" t="s">
        <v>1255</v>
      </c>
      <c r="B87" s="2284" t="s">
        <v>1256</v>
      </c>
      <c r="C87" s="2250" t="s">
        <v>1039</v>
      </c>
      <c r="D87" s="2251">
        <v>360</v>
      </c>
      <c r="E87" s="2252">
        <v>2814</v>
      </c>
      <c r="F87" s="2253">
        <v>1013040</v>
      </c>
      <c r="G87" s="2228">
        <v>2667.672</v>
      </c>
      <c r="H87" s="2229">
        <v>960361.92</v>
      </c>
      <c r="I87" s="2230" t="s">
        <v>1403</v>
      </c>
      <c r="J87" s="2254"/>
      <c r="K87" s="2232"/>
      <c r="L87" s="2233"/>
    </row>
    <row r="88" spans="1:12" s="2062" customFormat="1" ht="192.6">
      <c r="A88" s="2080" t="s">
        <v>1257</v>
      </c>
      <c r="B88" s="2285" t="s">
        <v>1258</v>
      </c>
      <c r="C88" s="2256" t="s">
        <v>1259</v>
      </c>
      <c r="D88" s="2251">
        <v>8</v>
      </c>
      <c r="E88" s="2252">
        <v>83451</v>
      </c>
      <c r="F88" s="2253">
        <v>667608</v>
      </c>
      <c r="G88" s="2228">
        <v>79111.547999999995</v>
      </c>
      <c r="H88" s="2229">
        <v>632892.38399999996</v>
      </c>
      <c r="I88" s="2230" t="s">
        <v>1403</v>
      </c>
      <c r="J88" s="2254"/>
      <c r="K88" s="2232"/>
      <c r="L88" s="2233"/>
    </row>
    <row r="89" spans="1:12" s="2062" customFormat="1" ht="76.8">
      <c r="A89" s="2081" t="s">
        <v>1260</v>
      </c>
      <c r="B89" s="2286" t="s">
        <v>1261</v>
      </c>
      <c r="C89" s="2257" t="s">
        <v>1259</v>
      </c>
      <c r="D89" s="2258">
        <v>3</v>
      </c>
      <c r="E89" s="2252">
        <v>90801</v>
      </c>
      <c r="F89" s="2253">
        <v>272403</v>
      </c>
      <c r="G89" s="2228">
        <v>86079.347999999998</v>
      </c>
      <c r="H89" s="2229">
        <v>258238.04399999999</v>
      </c>
      <c r="I89" s="2230" t="s">
        <v>1403</v>
      </c>
      <c r="J89" s="2254"/>
      <c r="K89" s="2232"/>
      <c r="L89" s="2233"/>
    </row>
    <row r="90" spans="1:12" s="2062" customFormat="1" ht="134.4">
      <c r="A90" s="2259" t="s">
        <v>1262</v>
      </c>
      <c r="B90" s="2287" t="s">
        <v>1263</v>
      </c>
      <c r="C90" s="2260"/>
      <c r="D90" s="2261"/>
      <c r="E90" s="2262"/>
      <c r="F90" s="2263"/>
      <c r="G90" s="2239"/>
      <c r="H90" s="2240"/>
      <c r="I90" s="2239"/>
      <c r="J90" s="2264"/>
      <c r="K90" s="2241"/>
      <c r="L90" s="2242"/>
    </row>
    <row r="91" spans="1:12" s="2062" customFormat="1" ht="38.4">
      <c r="A91" s="2139"/>
      <c r="B91" s="2288" t="s">
        <v>1264</v>
      </c>
      <c r="C91" s="2131"/>
      <c r="D91" s="2113"/>
      <c r="E91" s="2124"/>
      <c r="F91" s="2110"/>
      <c r="G91" s="2152"/>
      <c r="H91" s="2153"/>
      <c r="I91" s="2152"/>
      <c r="J91" s="2156"/>
      <c r="K91" s="2141"/>
      <c r="L91" s="2142"/>
    </row>
    <row r="92" spans="1:12" s="2062" customFormat="1" ht="38.4">
      <c r="A92" s="2139"/>
      <c r="B92" s="2288" t="s">
        <v>1265</v>
      </c>
      <c r="C92" s="2131"/>
      <c r="D92" s="2113"/>
      <c r="E92" s="2124"/>
      <c r="F92" s="2110"/>
      <c r="G92" s="2152"/>
      <c r="H92" s="2153"/>
      <c r="I92" s="2152"/>
      <c r="J92" s="2156"/>
      <c r="K92" s="2141"/>
      <c r="L92" s="2142"/>
    </row>
    <row r="93" spans="1:12" s="2062" customFormat="1" ht="76.8">
      <c r="A93" s="2139"/>
      <c r="B93" s="2288" t="s">
        <v>1266</v>
      </c>
      <c r="C93" s="2131"/>
      <c r="D93" s="2113"/>
      <c r="E93" s="2124"/>
      <c r="F93" s="2110"/>
      <c r="G93" s="2152"/>
      <c r="H93" s="2153"/>
      <c r="I93" s="2152"/>
      <c r="J93" s="2156"/>
      <c r="K93" s="2141"/>
      <c r="L93" s="2142"/>
    </row>
    <row r="94" spans="1:12" s="2062" customFormat="1" ht="38.4">
      <c r="A94" s="2139"/>
      <c r="B94" s="2288" t="s">
        <v>1267</v>
      </c>
      <c r="C94" s="2131"/>
      <c r="D94" s="2113"/>
      <c r="E94" s="2124"/>
      <c r="F94" s="2110"/>
      <c r="G94" s="2152"/>
      <c r="H94" s="2153"/>
      <c r="I94" s="2152"/>
      <c r="J94" s="2156"/>
      <c r="K94" s="2141"/>
      <c r="L94" s="2142"/>
    </row>
    <row r="95" spans="1:12" s="2062" customFormat="1" ht="19.2">
      <c r="A95" s="2140" t="s">
        <v>937</v>
      </c>
      <c r="B95" s="2289" t="s">
        <v>1268</v>
      </c>
      <c r="C95" s="2131" t="s">
        <v>768</v>
      </c>
      <c r="D95" s="2113">
        <v>1</v>
      </c>
      <c r="E95" s="2124">
        <v>47334</v>
      </c>
      <c r="F95" s="2110">
        <v>47334</v>
      </c>
      <c r="G95" s="2150">
        <v>44872.631999999998</v>
      </c>
      <c r="H95" s="2151">
        <v>44872.631999999998</v>
      </c>
      <c r="I95" s="2152" t="s">
        <v>1403</v>
      </c>
      <c r="J95" s="2156"/>
      <c r="K95" s="2141"/>
      <c r="L95" s="2142"/>
    </row>
    <row r="96" spans="1:12" s="2062" customFormat="1" ht="19.2">
      <c r="A96" s="2140" t="s">
        <v>938</v>
      </c>
      <c r="B96" s="2289" t="s">
        <v>1270</v>
      </c>
      <c r="C96" s="2131" t="s">
        <v>768</v>
      </c>
      <c r="D96" s="2113">
        <v>1</v>
      </c>
      <c r="E96" s="2124">
        <v>25098</v>
      </c>
      <c r="F96" s="2110">
        <v>25098</v>
      </c>
      <c r="G96" s="2150">
        <v>23792.903999999999</v>
      </c>
      <c r="H96" s="2151">
        <v>23792.903999999999</v>
      </c>
      <c r="I96" s="2152" t="s">
        <v>1403</v>
      </c>
      <c r="J96" s="2156"/>
      <c r="K96" s="2141"/>
      <c r="L96" s="2142"/>
    </row>
    <row r="97" spans="1:12" s="2062" customFormat="1" ht="19.2">
      <c r="A97" s="2265" t="s">
        <v>939</v>
      </c>
      <c r="B97" s="2290" t="s">
        <v>1272</v>
      </c>
      <c r="C97" s="2266" t="s">
        <v>768</v>
      </c>
      <c r="D97" s="2267">
        <v>1</v>
      </c>
      <c r="E97" s="2246">
        <v>47250</v>
      </c>
      <c r="F97" s="2247">
        <v>47250</v>
      </c>
      <c r="G97" s="2220">
        <v>44793</v>
      </c>
      <c r="H97" s="2221">
        <v>44793</v>
      </c>
      <c r="I97" s="2222" t="s">
        <v>1403</v>
      </c>
      <c r="J97" s="2248"/>
      <c r="K97" s="2212"/>
      <c r="L97" s="2213"/>
    </row>
    <row r="98" spans="1:12" s="2062" customFormat="1" ht="19.2">
      <c r="A98" s="2599" t="s">
        <v>1273</v>
      </c>
      <c r="B98" s="2600"/>
      <c r="C98" s="2130"/>
      <c r="D98" s="2111"/>
      <c r="E98" s="2124">
        <v>0</v>
      </c>
      <c r="F98" s="2110">
        <v>0</v>
      </c>
      <c r="G98" s="2150">
        <v>0</v>
      </c>
      <c r="H98" s="2151">
        <v>0</v>
      </c>
      <c r="I98" s="2152"/>
      <c r="J98" s="2156"/>
      <c r="K98" s="2141"/>
      <c r="L98" s="2142"/>
    </row>
    <row r="99" spans="1:12" s="2062" customFormat="1" ht="115.2">
      <c r="A99" s="2243" t="s">
        <v>1274</v>
      </c>
      <c r="B99" s="2291" t="s">
        <v>1275</v>
      </c>
      <c r="C99" s="2244" t="s">
        <v>673</v>
      </c>
      <c r="D99" s="2245">
        <v>10</v>
      </c>
      <c r="E99" s="2246">
        <v>5644</v>
      </c>
      <c r="F99" s="2247">
        <v>56440</v>
      </c>
      <c r="G99" s="2220">
        <v>5350.5119999999997</v>
      </c>
      <c r="H99" s="2221">
        <v>53505.119999999995</v>
      </c>
      <c r="I99" s="2222" t="s">
        <v>1403</v>
      </c>
      <c r="J99" s="2248"/>
      <c r="K99" s="2212"/>
      <c r="L99" s="2213"/>
    </row>
    <row r="100" spans="1:12" s="2062" customFormat="1" ht="76.8">
      <c r="A100" s="2079" t="s">
        <v>1276</v>
      </c>
      <c r="B100" s="2284" t="s">
        <v>1277</v>
      </c>
      <c r="C100" s="2250" t="s">
        <v>673</v>
      </c>
      <c r="D100" s="2251">
        <v>2</v>
      </c>
      <c r="E100" s="2252">
        <v>8218</v>
      </c>
      <c r="F100" s="2253">
        <v>16436</v>
      </c>
      <c r="G100" s="2228">
        <v>7790.6639999999998</v>
      </c>
      <c r="H100" s="2229">
        <v>15581.328</v>
      </c>
      <c r="I100" s="2230" t="s">
        <v>1403</v>
      </c>
      <c r="J100" s="2254"/>
      <c r="K100" s="2232"/>
      <c r="L100" s="2233"/>
    </row>
    <row r="101" spans="1:12" s="2062" customFormat="1" ht="211.2">
      <c r="A101" s="2079" t="s">
        <v>1278</v>
      </c>
      <c r="B101" s="2285" t="s">
        <v>1279</v>
      </c>
      <c r="C101" s="2250" t="s">
        <v>673</v>
      </c>
      <c r="D101" s="2251">
        <v>90</v>
      </c>
      <c r="E101" s="2252">
        <v>7354</v>
      </c>
      <c r="F101" s="2253">
        <v>661860</v>
      </c>
      <c r="G101" s="2228">
        <v>6971.5919999999996</v>
      </c>
      <c r="H101" s="2229">
        <v>627443.27999999991</v>
      </c>
      <c r="I101" s="2230" t="s">
        <v>1403</v>
      </c>
      <c r="J101" s="2254"/>
      <c r="K101" s="2232"/>
      <c r="L101" s="2233"/>
    </row>
    <row r="102" spans="1:12" s="2062" customFormat="1" ht="135">
      <c r="A102" s="2080" t="s">
        <v>1281</v>
      </c>
      <c r="B102" s="2285" t="s">
        <v>1282</v>
      </c>
      <c r="C102" s="2250" t="s">
        <v>1259</v>
      </c>
      <c r="D102" s="2251">
        <v>10</v>
      </c>
      <c r="E102" s="2252">
        <v>83451</v>
      </c>
      <c r="F102" s="2253">
        <v>834510</v>
      </c>
      <c r="G102" s="2228">
        <v>79111.547999999995</v>
      </c>
      <c r="H102" s="2229">
        <v>791115.48</v>
      </c>
      <c r="I102" s="2230" t="s">
        <v>1403</v>
      </c>
      <c r="J102" s="2254"/>
      <c r="K102" s="2232"/>
      <c r="L102" s="2233"/>
    </row>
    <row r="103" spans="1:12" s="2062" customFormat="1" ht="19.2">
      <c r="A103" s="2599" t="s">
        <v>1283</v>
      </c>
      <c r="B103" s="2600"/>
      <c r="C103" s="2130"/>
      <c r="D103" s="2111"/>
      <c r="E103" s="2124">
        <v>0</v>
      </c>
      <c r="F103" s="2110">
        <v>0</v>
      </c>
      <c r="G103" s="2150">
        <v>0</v>
      </c>
      <c r="H103" s="2151">
        <v>0</v>
      </c>
      <c r="I103" s="2152"/>
      <c r="J103" s="2156"/>
      <c r="K103" s="2141"/>
      <c r="L103" s="2142"/>
    </row>
    <row r="104" spans="1:12" s="2062" customFormat="1" ht="57.6">
      <c r="A104" s="2255" t="s">
        <v>1284</v>
      </c>
      <c r="B104" s="2291" t="s">
        <v>1285</v>
      </c>
      <c r="C104" s="2244" t="s">
        <v>1225</v>
      </c>
      <c r="D104" s="2245">
        <v>75</v>
      </c>
      <c r="E104" s="2246">
        <v>63</v>
      </c>
      <c r="F104" s="2247">
        <v>4725</v>
      </c>
      <c r="G104" s="2220">
        <v>59.723999999999997</v>
      </c>
      <c r="H104" s="2221">
        <v>4479.3</v>
      </c>
      <c r="I104" s="2222" t="s">
        <v>1403</v>
      </c>
      <c r="J104" s="2248"/>
      <c r="K104" s="2212"/>
      <c r="L104" s="2213"/>
    </row>
    <row r="105" spans="1:12" s="2062" customFormat="1" ht="192">
      <c r="A105" s="2080" t="s">
        <v>1287</v>
      </c>
      <c r="B105" s="2285" t="s">
        <v>1288</v>
      </c>
      <c r="C105" s="2250" t="s">
        <v>673</v>
      </c>
      <c r="D105" s="2251">
        <v>5</v>
      </c>
      <c r="E105" s="2252">
        <v>25549</v>
      </c>
      <c r="F105" s="2253">
        <v>127745</v>
      </c>
      <c r="G105" s="2228">
        <v>24220.452000000001</v>
      </c>
      <c r="H105" s="2229">
        <v>121102.26000000001</v>
      </c>
      <c r="I105" s="2230" t="s">
        <v>1403</v>
      </c>
      <c r="J105" s="2254"/>
      <c r="K105" s="2232"/>
      <c r="L105" s="2233"/>
    </row>
    <row r="106" spans="1:12" s="2062" customFormat="1" ht="172.8">
      <c r="A106" s="2138" t="s">
        <v>1289</v>
      </c>
      <c r="B106" s="2292" t="s">
        <v>1290</v>
      </c>
      <c r="C106" s="2129" t="s">
        <v>1259</v>
      </c>
      <c r="D106" s="2109">
        <v>2</v>
      </c>
      <c r="E106" s="2124">
        <v>90801</v>
      </c>
      <c r="F106" s="2110">
        <v>181602</v>
      </c>
      <c r="G106" s="2150">
        <v>86079.347999999998</v>
      </c>
      <c r="H106" s="2151">
        <v>172158.696</v>
      </c>
      <c r="I106" s="2152"/>
      <c r="J106" s="2156"/>
      <c r="K106" s="2141"/>
      <c r="L106" s="2142"/>
    </row>
    <row r="107" spans="1:12" ht="19.8" thickBot="1">
      <c r="A107" s="2183"/>
      <c r="B107" s="2184"/>
      <c r="C107" s="2162"/>
      <c r="D107" s="2114"/>
      <c r="E107" s="2162"/>
      <c r="F107" s="2114"/>
      <c r="G107" s="2162"/>
      <c r="H107" s="2114"/>
      <c r="I107" s="2162"/>
      <c r="J107" s="2163"/>
      <c r="K107" s="2164"/>
      <c r="L107" s="2165"/>
    </row>
    <row r="108" spans="1:12" ht="19.2">
      <c r="A108" s="2190"/>
      <c r="B108" s="2191" t="s">
        <v>1365</v>
      </c>
      <c r="C108" s="2192"/>
      <c r="D108" s="2192"/>
      <c r="E108" s="2192"/>
      <c r="F108" s="2193">
        <v>56828901</v>
      </c>
      <c r="G108" s="2194"/>
      <c r="H108" s="2193">
        <v>53873798.148000009</v>
      </c>
      <c r="I108" s="2094"/>
      <c r="J108" s="2195"/>
      <c r="K108" s="2196"/>
      <c r="L108" s="2197"/>
    </row>
    <row r="109" spans="1:12" ht="19.2">
      <c r="A109" s="2198"/>
      <c r="B109" s="2185" t="s">
        <v>1366</v>
      </c>
      <c r="C109" s="2098"/>
      <c r="D109" s="2098"/>
      <c r="E109" s="2098"/>
      <c r="F109" s="2098">
        <v>10229202.18</v>
      </c>
      <c r="G109" s="2098"/>
      <c r="H109" s="2098">
        <v>9697283.6666400004</v>
      </c>
      <c r="I109" s="2097"/>
      <c r="J109" s="2096"/>
      <c r="K109" s="2186"/>
      <c r="L109" s="2199"/>
    </row>
    <row r="110" spans="1:12" ht="19.2">
      <c r="A110" s="2198"/>
      <c r="B110" s="2185" t="s">
        <v>1367</v>
      </c>
      <c r="C110" s="2098"/>
      <c r="D110" s="2098"/>
      <c r="E110" s="2098"/>
      <c r="F110" s="2099">
        <v>67058103.18</v>
      </c>
      <c r="G110" s="2099"/>
      <c r="H110" s="2099">
        <v>63571081.814640008</v>
      </c>
      <c r="I110" s="2099"/>
      <c r="J110" s="2187"/>
      <c r="K110" s="2186"/>
      <c r="L110" s="2199"/>
    </row>
    <row r="111" spans="1:12" ht="19.2">
      <c r="A111" s="2198"/>
      <c r="B111" s="2185" t="s">
        <v>1368</v>
      </c>
      <c r="C111" s="2098"/>
      <c r="D111" s="2098"/>
      <c r="E111" s="2098"/>
      <c r="F111" s="2098">
        <v>847548</v>
      </c>
      <c r="G111" s="2098"/>
      <c r="H111" s="2098">
        <v>803475.50000000012</v>
      </c>
      <c r="I111" s="2098"/>
      <c r="J111" s="2188">
        <v>803475.50000000012</v>
      </c>
      <c r="K111" s="2188"/>
      <c r="L111" s="2199"/>
    </row>
    <row r="112" spans="1:12" ht="19.2">
      <c r="A112" s="2198"/>
      <c r="B112" s="2185" t="s">
        <v>1369</v>
      </c>
      <c r="C112" s="2098"/>
      <c r="D112" s="2098"/>
      <c r="E112" s="2098"/>
      <c r="F112" s="2099">
        <v>66210555.18</v>
      </c>
      <c r="G112" s="2098"/>
      <c r="H112" s="2099">
        <v>62767606.31464</v>
      </c>
      <c r="I112" s="2098"/>
      <c r="J112" s="2186">
        <v>62767606.31464</v>
      </c>
      <c r="K112" s="2186"/>
      <c r="L112" s="2209">
        <v>62900027.43</v>
      </c>
    </row>
    <row r="113" spans="1:12" ht="19.2">
      <c r="A113" s="2198"/>
      <c r="B113" s="2185" t="s">
        <v>1406</v>
      </c>
      <c r="C113" s="2186"/>
      <c r="D113" s="2186"/>
      <c r="E113" s="2186"/>
      <c r="F113" s="2186"/>
      <c r="G113" s="2189"/>
      <c r="H113" s="2097">
        <v>-5.1999999939586594E-2</v>
      </c>
      <c r="I113" s="2099"/>
      <c r="J113" s="2099"/>
      <c r="K113" s="2099"/>
      <c r="L113" s="2200">
        <v>-4.9999999864069999E-2</v>
      </c>
    </row>
    <row r="114" spans="1:12" ht="19.8" thickBot="1">
      <c r="A114" s="2201"/>
      <c r="B114" s="2202" t="s">
        <v>1405</v>
      </c>
      <c r="C114" s="2203"/>
      <c r="D114" s="2203"/>
      <c r="E114" s="2203"/>
      <c r="F114" s="2203"/>
      <c r="G114" s="2203"/>
      <c r="H114" s="2204" t="s">
        <v>1407</v>
      </c>
      <c r="I114" s="2204"/>
      <c r="J114" s="2204"/>
      <c r="K114" s="2204"/>
      <c r="L114" s="2205" t="s">
        <v>1408</v>
      </c>
    </row>
  </sheetData>
  <mergeCells count="69">
    <mergeCell ref="I29:I33"/>
    <mergeCell ref="J29:J33"/>
    <mergeCell ref="I37:I43"/>
    <mergeCell ref="J37:J43"/>
    <mergeCell ref="K29:K34"/>
    <mergeCell ref="K37:K43"/>
    <mergeCell ref="L37:L43"/>
    <mergeCell ref="J16:J22"/>
    <mergeCell ref="K16:K22"/>
    <mergeCell ref="L16:L22"/>
    <mergeCell ref="K23:K28"/>
    <mergeCell ref="L23:L28"/>
    <mergeCell ref="L29:L34"/>
    <mergeCell ref="I16:I22"/>
    <mergeCell ref="I23:I28"/>
    <mergeCell ref="G12:J12"/>
    <mergeCell ref="J23:J28"/>
    <mergeCell ref="A10:L10"/>
    <mergeCell ref="A12:A14"/>
    <mergeCell ref="B12:B14"/>
    <mergeCell ref="C12:F12"/>
    <mergeCell ref="A15:B15"/>
    <mergeCell ref="F16:F22"/>
    <mergeCell ref="G16:G22"/>
    <mergeCell ref="H16:H22"/>
    <mergeCell ref="K12:L12"/>
    <mergeCell ref="G23:G28"/>
    <mergeCell ref="H23:H28"/>
    <mergeCell ref="A16:A22"/>
    <mergeCell ref="A5:L5"/>
    <mergeCell ref="A6:L6"/>
    <mergeCell ref="A7:L7"/>
    <mergeCell ref="A8:L8"/>
    <mergeCell ref="A9:L9"/>
    <mergeCell ref="C16:C22"/>
    <mergeCell ref="D16:D22"/>
    <mergeCell ref="E16:E22"/>
    <mergeCell ref="A23:A28"/>
    <mergeCell ref="C23:C28"/>
    <mergeCell ref="D23:D28"/>
    <mergeCell ref="E23:E28"/>
    <mergeCell ref="F23:F28"/>
    <mergeCell ref="F29:F34"/>
    <mergeCell ref="G29:G34"/>
    <mergeCell ref="H29:H34"/>
    <mergeCell ref="A37:A43"/>
    <mergeCell ref="C37:C43"/>
    <mergeCell ref="D37:D43"/>
    <mergeCell ref="E37:E43"/>
    <mergeCell ref="F37:F43"/>
    <mergeCell ref="G37:G43"/>
    <mergeCell ref="H37:H43"/>
    <mergeCell ref="A29:A34"/>
    <mergeCell ref="C29:C34"/>
    <mergeCell ref="D29:D34"/>
    <mergeCell ref="E29:E34"/>
    <mergeCell ref="A75:D75"/>
    <mergeCell ref="A79:B79"/>
    <mergeCell ref="A85:B85"/>
    <mergeCell ref="A98:B98"/>
    <mergeCell ref="A103:B103"/>
    <mergeCell ref="I13:J13"/>
    <mergeCell ref="G13:H13"/>
    <mergeCell ref="K13:K14"/>
    <mergeCell ref="L13:L14"/>
    <mergeCell ref="C13:C14"/>
    <mergeCell ref="D13:D14"/>
    <mergeCell ref="E13:E14"/>
    <mergeCell ref="F13:F14"/>
  </mergeCells>
  <hyperlinks>
    <hyperlink ref="B109" r:id="rId1" xr:uid="{00000000-0004-0000-2100-000000000000}"/>
  </hyperlinks>
  <pageMargins left="0.25" right="0.25" top="0.75" bottom="0.75" header="0.3" footer="0.3"/>
  <pageSetup paperSize="9" scale="65" fitToHeight="0" orientation="portrait" r:id="rId2"/>
  <headerFoot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ransitionEvaluation="1" codeName="Sheet1">
    <pageSetUpPr fitToPage="1"/>
  </sheetPr>
  <dimension ref="A1:DW176"/>
  <sheetViews>
    <sheetView showZeros="0" topLeftCell="A19" zoomScale="87" zoomScaleNormal="87" workbookViewId="0">
      <selection activeCell="G162" sqref="G162"/>
    </sheetView>
  </sheetViews>
  <sheetFormatPr defaultColWidth="8.81640625" defaultRowHeight="15"/>
  <cols>
    <col min="1" max="1" width="6.81640625" style="37" customWidth="1"/>
    <col min="2" max="2" width="35.6328125" style="37" customWidth="1"/>
    <col min="3" max="3" width="11.81640625" style="37" customWidth="1"/>
    <col min="4" max="4" width="12.08984375" style="37" customWidth="1"/>
    <col min="5" max="6" width="11.6328125" style="37" customWidth="1"/>
    <col min="7" max="7" width="11.81640625" style="37" customWidth="1"/>
    <col min="8" max="8" width="8.81640625" style="37"/>
    <col min="9" max="9" width="12" style="37" customWidth="1"/>
    <col min="10" max="10" width="11" style="37" customWidth="1"/>
    <col min="11" max="11" width="12" style="37" customWidth="1"/>
    <col min="12" max="12" width="12.90625" style="37" customWidth="1"/>
    <col min="13" max="13" width="12.54296875" style="37" customWidth="1"/>
    <col min="14" max="14" width="12.81640625" style="37" customWidth="1"/>
    <col min="15" max="15" width="9.90625" style="37" customWidth="1"/>
    <col min="16" max="16" width="11.36328125" style="37" customWidth="1"/>
    <col min="17" max="17" width="12.54296875" style="37" customWidth="1"/>
    <col min="18" max="18" width="10.54296875" style="37" customWidth="1"/>
    <col min="19" max="19" width="13.08984375" style="37" customWidth="1"/>
    <col min="20" max="20" width="11.81640625" style="37" customWidth="1"/>
    <col min="21" max="21" width="12" style="37" customWidth="1"/>
    <col min="22" max="22" width="12.08984375" style="37" customWidth="1"/>
    <col min="23" max="23" width="14.90625" style="37" customWidth="1"/>
    <col min="24" max="24" width="12.90625" style="37" customWidth="1"/>
    <col min="25" max="25" width="12" style="37" customWidth="1"/>
    <col min="26" max="26" width="9.81640625" style="37" customWidth="1"/>
    <col min="27" max="27" width="11.1796875" style="37" customWidth="1"/>
    <col min="28" max="28" width="11.81640625" style="37" customWidth="1"/>
    <col min="29" max="29" width="12.90625" style="37" customWidth="1"/>
    <col min="30" max="30" width="10.54296875" style="37" customWidth="1"/>
    <col min="31" max="31" width="12.36328125" style="37" customWidth="1"/>
    <col min="32" max="32" width="10.90625" style="37" customWidth="1"/>
    <col min="33" max="33" width="13.36328125" style="37" customWidth="1"/>
    <col min="34" max="34" width="12" style="37" customWidth="1"/>
    <col min="35" max="35" width="15.36328125" style="37" customWidth="1"/>
    <col min="36" max="36" width="10.90625" style="37" customWidth="1"/>
    <col min="37" max="41" width="8.81640625" style="37"/>
    <col min="42" max="42" width="10.1796875" style="37" customWidth="1"/>
    <col min="43" max="43" width="11.54296875" style="37" customWidth="1"/>
    <col min="44" max="44" width="12.08984375" style="37" customWidth="1"/>
    <col min="45" max="45" width="13.1796875" style="37" customWidth="1"/>
    <col min="46" max="46" width="14.08984375" style="37" customWidth="1"/>
    <col min="47" max="47" width="16.90625" style="37" customWidth="1"/>
    <col min="48" max="48" width="11.453125" style="37" bestFit="1" customWidth="1"/>
    <col min="49" max="49" width="13.453125" style="37" customWidth="1"/>
    <col min="50" max="52" width="8.81640625" style="37"/>
    <col min="53" max="53" width="28.81640625" style="37" customWidth="1"/>
    <col min="54" max="54" width="11.81640625" style="37" customWidth="1"/>
    <col min="55" max="58" width="8.81640625" style="37"/>
    <col min="59" max="59" width="9.36328125" style="37" customWidth="1"/>
    <col min="60" max="60" width="18.453125" style="37" customWidth="1"/>
    <col min="61" max="62" width="9.54296875" style="37" customWidth="1"/>
    <col min="63" max="63" width="10.6328125" style="37" customWidth="1"/>
    <col min="64" max="64" width="9.90625" style="37" customWidth="1"/>
    <col min="65" max="65" width="11.453125" style="37" customWidth="1"/>
    <col min="66" max="66" width="9.90625" style="37" customWidth="1"/>
    <col min="67" max="67" width="10" style="37" customWidth="1"/>
    <col min="68" max="68" width="6.81640625" style="37" customWidth="1"/>
    <col min="69" max="69" width="12.54296875" style="37" customWidth="1"/>
    <col min="70" max="70" width="9.54296875" style="37" customWidth="1"/>
    <col min="71" max="71" width="10.36328125" style="37" customWidth="1"/>
    <col min="72" max="72" width="7.81640625" style="37" customWidth="1"/>
    <col min="73" max="73" width="7.1796875" style="37" customWidth="1"/>
    <col min="74" max="74" width="17.6328125" style="37" customWidth="1"/>
    <col min="75" max="75" width="8.81640625" style="37" customWidth="1"/>
    <col min="76" max="76" width="13.08984375" style="37" bestFit="1" customWidth="1"/>
    <col min="77" max="77" width="13.81640625" style="37" customWidth="1"/>
    <col min="78" max="79" width="8.81640625" style="37"/>
    <col min="80" max="80" width="9" style="37" bestFit="1" customWidth="1"/>
    <col min="81" max="89" width="8.81640625" style="37"/>
    <col min="90" max="90" width="13.08984375" style="37" customWidth="1"/>
    <col min="91" max="91" width="8.81640625" style="37"/>
    <col min="92" max="92" width="9.90625" style="37" customWidth="1"/>
    <col min="93" max="96" width="8.81640625" style="37"/>
    <col min="97" max="97" width="8.54296875" style="37" customWidth="1"/>
    <col min="98" max="98" width="30.36328125" style="37" customWidth="1"/>
    <col min="99" max="99" width="9" style="37" bestFit="1" customWidth="1"/>
    <col min="100" max="100" width="8.81640625" style="37"/>
    <col min="101" max="101" width="5.90625" style="37" customWidth="1"/>
    <col min="102" max="102" width="6.90625" style="37" customWidth="1"/>
    <col min="103" max="103" width="23.90625" style="39" customWidth="1"/>
    <col min="104" max="104" width="8.81640625" style="40"/>
    <col min="105" max="110" width="8.81640625" style="37"/>
    <col min="111" max="111" width="9" style="37" bestFit="1" customWidth="1"/>
    <col min="112" max="113" width="8.81640625" style="37"/>
    <col min="114" max="114" width="32.90625" style="37" customWidth="1"/>
    <col min="115" max="115" width="16.6328125" style="37" customWidth="1"/>
    <col min="116" max="116" width="10.1796875" style="37" customWidth="1"/>
    <col min="117" max="117" width="12.453125" style="37" customWidth="1"/>
    <col min="118" max="118" width="10" style="37" bestFit="1" customWidth="1"/>
    <col min="119" max="119" width="8.81640625" style="37"/>
    <col min="120" max="120" width="9" style="37" bestFit="1" customWidth="1"/>
    <col min="121" max="122" width="8.81640625" style="37"/>
    <col min="123" max="123" width="11.6328125" style="37" customWidth="1"/>
    <col min="124" max="124" width="8.81640625" style="37"/>
    <col min="125" max="125" width="28.81640625" style="37" customWidth="1"/>
    <col min="126" max="126" width="12.36328125" style="37" customWidth="1"/>
    <col min="127" max="127" width="11.1796875" style="37" customWidth="1"/>
    <col min="128" max="16384" width="8.81640625" style="37"/>
  </cols>
  <sheetData>
    <row r="1" spans="1:104" ht="15.6">
      <c r="E1" s="2336" t="s">
        <v>1</v>
      </c>
      <c r="F1" s="2336"/>
      <c r="G1" s="2336"/>
      <c r="H1" s="2336"/>
      <c r="I1" s="2336"/>
      <c r="J1" s="2336"/>
      <c r="K1" s="2336"/>
      <c r="O1" s="13" t="s">
        <v>299</v>
      </c>
      <c r="AE1" s="13" t="str">
        <f>+O1</f>
        <v>Annexure-6.1.1-2</v>
      </c>
      <c r="AF1" s="13"/>
      <c r="AS1" s="13" t="str">
        <f>+AE1</f>
        <v>Annexure-6.1.1-2</v>
      </c>
      <c r="AZ1" s="37" t="s">
        <v>2</v>
      </c>
      <c r="BA1" s="37" t="s">
        <v>3</v>
      </c>
      <c r="BH1" s="37" t="s">
        <v>194</v>
      </c>
      <c r="BI1" s="828">
        <f>AU21</f>
        <v>57.971955491816004</v>
      </c>
      <c r="BO1" s="38"/>
      <c r="BP1" s="38"/>
      <c r="BQ1" s="38"/>
      <c r="BX1" s="39"/>
      <c r="BY1" s="40"/>
      <c r="CJ1" s="18"/>
      <c r="CY1" s="37"/>
      <c r="CZ1" s="37"/>
    </row>
    <row r="2" spans="1:104" ht="15.6">
      <c r="E2" s="2359" t="s">
        <v>1084</v>
      </c>
      <c r="F2" s="2359"/>
      <c r="G2" s="2359"/>
      <c r="H2" s="2359"/>
      <c r="I2" s="2359"/>
      <c r="J2" s="2359"/>
      <c r="K2" s="2359"/>
      <c r="L2" s="1"/>
      <c r="O2" s="37" t="s">
        <v>145</v>
      </c>
      <c r="AE2" s="37" t="s">
        <v>146</v>
      </c>
      <c r="AS2" s="37" t="s">
        <v>147</v>
      </c>
      <c r="BA2" s="38" t="s">
        <v>4</v>
      </c>
      <c r="BB2" s="38" t="s">
        <v>4</v>
      </c>
      <c r="BM2" s="37" t="s">
        <v>207</v>
      </c>
      <c r="BO2" s="38"/>
      <c r="BP2" s="38"/>
      <c r="BQ2" s="38"/>
      <c r="BV2" s="2"/>
      <c r="BX2" s="17"/>
      <c r="BY2" s="19"/>
      <c r="BZ2" s="40"/>
      <c r="CA2" s="40"/>
      <c r="CB2" s="18"/>
      <c r="CC2" s="40"/>
      <c r="CD2" s="40"/>
      <c r="CE2" s="40"/>
      <c r="CF2" s="40"/>
      <c r="CG2" s="40"/>
      <c r="CH2" s="40"/>
      <c r="CI2" s="40"/>
      <c r="CJ2" s="18"/>
      <c r="CK2" s="8"/>
      <c r="CY2" s="37"/>
      <c r="CZ2" s="37"/>
    </row>
    <row r="3" spans="1:104" ht="15.6">
      <c r="B3" s="271" t="s">
        <v>1085</v>
      </c>
      <c r="C3" s="2359" t="s">
        <v>1086</v>
      </c>
      <c r="D3" s="2359"/>
      <c r="E3" s="2359"/>
      <c r="F3" s="2359"/>
      <c r="G3" s="2359"/>
      <c r="H3" s="2359"/>
      <c r="I3" s="2359"/>
      <c r="J3" s="2359"/>
      <c r="K3" s="2359"/>
      <c r="L3" s="2359"/>
      <c r="M3" s="2359"/>
      <c r="O3" s="271" t="s">
        <v>986</v>
      </c>
      <c r="BH3" s="830" t="s">
        <v>1088</v>
      </c>
      <c r="BN3" s="38"/>
      <c r="BO3" s="38"/>
      <c r="BP3" s="38"/>
      <c r="BQ3" s="38"/>
      <c r="BV3" s="2"/>
      <c r="BX3" s="17"/>
      <c r="BY3" s="40"/>
      <c r="CA3" s="8"/>
      <c r="CB3" s="8"/>
      <c r="CC3" s="8"/>
      <c r="CD3" s="13"/>
      <c r="CE3" s="13"/>
      <c r="CF3" s="13"/>
      <c r="CG3" s="13"/>
      <c r="CH3" s="13"/>
      <c r="CI3" s="13"/>
      <c r="CJ3" s="13"/>
      <c r="CK3" s="13"/>
      <c r="CL3" s="37" t="e">
        <f>+#REF!+#REF!</f>
        <v>#REF!</v>
      </c>
      <c r="CN3" s="37" t="e">
        <f>+#REF!+#REF!</f>
        <v>#REF!</v>
      </c>
      <c r="CY3" s="37"/>
      <c r="CZ3" s="37"/>
    </row>
    <row r="4" spans="1:104" ht="19.95" customHeight="1">
      <c r="G4" s="38"/>
      <c r="H4" s="38"/>
      <c r="I4" s="38"/>
      <c r="J4" s="38"/>
      <c r="L4" s="1"/>
      <c r="O4" s="37" t="s">
        <v>0</v>
      </c>
      <c r="BA4" s="37" t="s">
        <v>5</v>
      </c>
      <c r="BB4" s="235" t="s">
        <v>816</v>
      </c>
      <c r="BC4" s="202"/>
      <c r="BN4"/>
      <c r="BO4"/>
      <c r="BP4"/>
      <c r="BQ4"/>
      <c r="BR4"/>
      <c r="BV4" s="3"/>
      <c r="BX4" s="17"/>
      <c r="BY4" s="19"/>
      <c r="CA4" s="8"/>
      <c r="CC4" s="8"/>
      <c r="CD4" s="16"/>
      <c r="CE4" s="16"/>
      <c r="CF4" s="16"/>
      <c r="CG4" s="16"/>
      <c r="CH4" s="16"/>
      <c r="CI4" s="16"/>
      <c r="CJ4" s="16"/>
      <c r="CK4" s="16"/>
      <c r="CY4" s="37"/>
      <c r="CZ4" s="37"/>
    </row>
    <row r="5" spans="1:104" ht="15.6">
      <c r="D5" s="37">
        <f>F17-CC!$F$17</f>
        <v>0</v>
      </c>
      <c r="E5" s="2336" t="s">
        <v>6</v>
      </c>
      <c r="F5" s="2336"/>
      <c r="G5" s="2336"/>
      <c r="H5" s="2336"/>
      <c r="I5" s="2336"/>
      <c r="J5" s="2336"/>
      <c r="K5" s="2336"/>
      <c r="O5" s="4" t="s">
        <v>316</v>
      </c>
      <c r="W5" s="37" t="s">
        <v>0</v>
      </c>
      <c r="AE5" s="37" t="str">
        <f>+O5</f>
        <v>Figures in Rs. Crore</v>
      </c>
      <c r="AS5" s="37" t="str">
        <f>+AE5</f>
        <v>Figures in Rs. Crore</v>
      </c>
      <c r="BM5" s="37" t="s">
        <v>208</v>
      </c>
      <c r="BN5"/>
      <c r="BO5"/>
      <c r="BP5"/>
      <c r="BQ5"/>
      <c r="BR5"/>
      <c r="BS5" s="38"/>
      <c r="BT5" s="38"/>
      <c r="CI5" s="16"/>
      <c r="CJ5" s="16"/>
      <c r="CY5" s="37"/>
      <c r="CZ5" s="37"/>
    </row>
    <row r="6" spans="1:104">
      <c r="F6" s="10"/>
      <c r="R6" s="42"/>
      <c r="BH6" s="40" t="s">
        <v>24</v>
      </c>
      <c r="BI6" s="40" t="s">
        <v>25</v>
      </c>
      <c r="BJ6" s="37" t="s">
        <v>199</v>
      </c>
      <c r="BK6" s="37" t="s">
        <v>29</v>
      </c>
      <c r="BL6" s="40" t="s">
        <v>18</v>
      </c>
      <c r="BM6" s="37" t="s">
        <v>26</v>
      </c>
      <c r="BN6"/>
      <c r="BO6"/>
      <c r="BP6"/>
      <c r="BQ6"/>
      <c r="BR6"/>
      <c r="BS6" s="38"/>
      <c r="BT6" s="38"/>
      <c r="CI6" s="45"/>
      <c r="CJ6" s="45"/>
      <c r="CY6" s="37"/>
      <c r="CZ6" s="37"/>
    </row>
    <row r="7" spans="1:104" ht="15.6">
      <c r="E7" s="925" t="s">
        <v>210</v>
      </c>
      <c r="F7" s="6" t="s">
        <v>421</v>
      </c>
      <c r="G7" s="6" t="s">
        <v>434</v>
      </c>
      <c r="H7" s="925" t="s">
        <v>317</v>
      </c>
      <c r="I7" s="40" t="s">
        <v>162</v>
      </c>
      <c r="J7" s="6" t="s">
        <v>148</v>
      </c>
      <c r="K7" s="6"/>
      <c r="R7" s="8"/>
      <c r="S7" s="8"/>
      <c r="BH7" s="44"/>
      <c r="BI7" s="43" t="s">
        <v>28</v>
      </c>
      <c r="BJ7" s="44"/>
      <c r="BK7" s="1125">
        <v>1</v>
      </c>
      <c r="BL7" s="227" t="s">
        <v>383</v>
      </c>
      <c r="BM7" s="44" t="s">
        <v>30</v>
      </c>
      <c r="BN7"/>
      <c r="BO7"/>
      <c r="BP7"/>
      <c r="BQ7"/>
      <c r="BR7"/>
      <c r="BS7" s="38"/>
      <c r="BT7" s="38"/>
      <c r="CI7" s="16"/>
      <c r="CJ7" s="16"/>
      <c r="CY7" s="37"/>
      <c r="CZ7" s="37"/>
    </row>
    <row r="8" spans="1:104" ht="15.6">
      <c r="C8" s="37">
        <f>D17+F17</f>
        <v>33.455222337500004</v>
      </c>
      <c r="E8" s="926">
        <f>BB63</f>
        <v>7.4999999999999997E-2</v>
      </c>
      <c r="F8" s="20">
        <f>CC!BB64</f>
        <v>0.18</v>
      </c>
      <c r="G8" s="216">
        <f>CC!BB65</f>
        <v>0.18</v>
      </c>
      <c r="H8" s="927">
        <f>BB69</f>
        <v>0.11111111111111112</v>
      </c>
      <c r="I8" s="1268">
        <f>(+BB38+BB40+BB41+BB39)*0+11%</f>
        <v>0.11</v>
      </c>
      <c r="J8" s="20">
        <f>+$BB$73</f>
        <v>0.05</v>
      </c>
      <c r="K8" s="20"/>
      <c r="R8" s="8"/>
      <c r="S8" s="8"/>
      <c r="AI8" s="581"/>
      <c r="BD8" s="4" t="s">
        <v>328</v>
      </c>
      <c r="BN8"/>
      <c r="BO8"/>
      <c r="BP8"/>
      <c r="BQ8"/>
      <c r="BR8"/>
      <c r="BS8" s="38"/>
      <c r="BT8" s="38"/>
      <c r="CI8" s="16"/>
      <c r="CJ8" s="16"/>
      <c r="CY8" s="37"/>
      <c r="CZ8" s="37"/>
    </row>
    <row r="9" spans="1:104" ht="15.6">
      <c r="A9" s="13"/>
      <c r="B9" s="251" t="s">
        <v>802</v>
      </c>
      <c r="C9" s="873">
        <f>BB17</f>
        <v>0</v>
      </c>
      <c r="D9" s="2"/>
      <c r="F9" s="10"/>
      <c r="G9" s="20"/>
      <c r="H9" s="20"/>
      <c r="I9" s="928" t="s">
        <v>804</v>
      </c>
      <c r="J9" s="46"/>
      <c r="K9" s="12"/>
      <c r="L9" s="47"/>
      <c r="M9" s="11"/>
      <c r="N9" s="48"/>
      <c r="O9" s="20"/>
      <c r="R9" s="8"/>
      <c r="S9" s="8"/>
      <c r="BA9" s="4" t="s">
        <v>320</v>
      </c>
      <c r="BG9" s="831">
        <f>45%</f>
        <v>0.45</v>
      </c>
      <c r="BH9" s="40" t="s">
        <v>200</v>
      </c>
      <c r="BI9" s="335">
        <f>+BI1*BG9</f>
        <v>26.087379971317201</v>
      </c>
      <c r="BJ9" s="335">
        <f>+BI9*0</f>
        <v>0</v>
      </c>
      <c r="BK9" s="335">
        <f>+BI9*1</f>
        <v>26.087379971317201</v>
      </c>
      <c r="BL9" s="1124">
        <f>BK9*0.1/2</f>
        <v>1.3043689985658602</v>
      </c>
      <c r="BM9" s="335">
        <f>+BL9+BK9+BJ9</f>
        <v>27.391748969883061</v>
      </c>
      <c r="BN9"/>
      <c r="BO9"/>
      <c r="BP9"/>
      <c r="BQ9"/>
      <c r="BR9"/>
      <c r="BS9" s="38"/>
      <c r="BT9" s="38"/>
      <c r="CI9" s="16"/>
      <c r="CJ9" s="16"/>
      <c r="CY9" s="37"/>
      <c r="CZ9" s="37"/>
    </row>
    <row r="10" spans="1:104" ht="16.2" thickBot="1">
      <c r="A10" s="198"/>
      <c r="B10" s="870" t="s">
        <v>803</v>
      </c>
      <c r="C10" s="872">
        <f>BB19</f>
        <v>0</v>
      </c>
      <c r="D10" s="871"/>
      <c r="E10" s="871"/>
      <c r="F10" s="252"/>
      <c r="G10" s="342"/>
      <c r="H10" s="197"/>
      <c r="I10" s="197"/>
      <c r="J10" s="197"/>
      <c r="K10" s="197"/>
      <c r="L10" s="197"/>
      <c r="M10" s="197"/>
      <c r="N10" s="197"/>
      <c r="O10" s="197"/>
      <c r="P10" s="197"/>
      <c r="Q10" s="271" t="s">
        <v>784</v>
      </c>
      <c r="R10" s="818">
        <f>BB29</f>
        <v>0.12</v>
      </c>
      <c r="S10" s="818">
        <f>BB31</f>
        <v>0.2</v>
      </c>
      <c r="T10" s="197"/>
      <c r="U10" s="197"/>
      <c r="V10" s="197"/>
      <c r="W10" s="197"/>
      <c r="X10" s="818">
        <f>BB41</f>
        <v>0.05</v>
      </c>
      <c r="Y10" s="818">
        <f>BB38</f>
        <v>2.5000000000000001E-2</v>
      </c>
      <c r="Z10" s="1128" t="s">
        <v>981</v>
      </c>
      <c r="AA10" s="197"/>
      <c r="AB10" s="197" t="s">
        <v>772</v>
      </c>
      <c r="AC10" s="197"/>
      <c r="AD10" s="197"/>
      <c r="AE10" s="197"/>
      <c r="AF10" s="197"/>
      <c r="AG10" s="197"/>
      <c r="AH10" s="197"/>
      <c r="AI10" s="197"/>
      <c r="AJ10" s="197"/>
      <c r="AK10" s="197"/>
      <c r="AL10" s="197"/>
      <c r="AM10" s="197"/>
      <c r="AN10" s="197"/>
      <c r="AO10" s="197"/>
      <c r="AP10" s="197"/>
      <c r="AQ10" s="197"/>
      <c r="AR10" s="924">
        <v>0.05</v>
      </c>
      <c r="AS10" s="198"/>
      <c r="AT10" s="198"/>
      <c r="AU10" s="198"/>
      <c r="AV10" s="199"/>
      <c r="AW10" s="199"/>
      <c r="BA10" s="37" t="s">
        <v>7</v>
      </c>
      <c r="BB10" s="824"/>
      <c r="BD10" s="50">
        <f>1.075*0+1</f>
        <v>1</v>
      </c>
      <c r="BG10" s="76">
        <f>100%-BG13-BG12-BG11-BG9</f>
        <v>0.45</v>
      </c>
      <c r="BH10" s="6" t="s">
        <v>1151</v>
      </c>
      <c r="BI10" s="335">
        <f>+BI1*BG10</f>
        <v>26.087379971317201</v>
      </c>
      <c r="BJ10" s="335">
        <f>+BI10*0</f>
        <v>0</v>
      </c>
      <c r="BK10" s="335">
        <f>+BI10*1</f>
        <v>26.087379971317201</v>
      </c>
      <c r="BL10" s="1124">
        <f>(BK10*0.1/2+BK9*0.1)*7/12</f>
        <v>2.2826457474902551</v>
      </c>
      <c r="BM10" s="335">
        <f>+BL10+BK10+BJ10</f>
        <v>28.370025718807454</v>
      </c>
      <c r="BN10"/>
      <c r="BO10"/>
      <c r="BP10"/>
      <c r="BQ10"/>
      <c r="BR10"/>
      <c r="CY10" s="37"/>
      <c r="CZ10" s="37"/>
    </row>
    <row r="11" spans="1:104" ht="15.6">
      <c r="A11" s="211" t="s">
        <v>92</v>
      </c>
      <c r="B11" s="211" t="s">
        <v>96</v>
      </c>
      <c r="C11" s="211" t="s">
        <v>37</v>
      </c>
      <c r="D11" s="206" t="s">
        <v>39</v>
      </c>
      <c r="E11" s="106"/>
      <c r="F11" s="106"/>
      <c r="G11" s="201"/>
      <c r="H11" s="200" t="s">
        <v>97</v>
      </c>
      <c r="I11" s="201"/>
      <c r="J11" s="16" t="s">
        <v>98</v>
      </c>
      <c r="K11" s="59"/>
      <c r="L11" s="2349" t="s">
        <v>99</v>
      </c>
      <c r="M11" s="2350"/>
      <c r="N11" s="2351" t="s">
        <v>100</v>
      </c>
      <c r="O11" s="2336"/>
      <c r="P11" s="2325" t="s">
        <v>101</v>
      </c>
      <c r="Q11" s="2330"/>
      <c r="R11" s="2328" t="s">
        <v>102</v>
      </c>
      <c r="S11" s="2329"/>
      <c r="T11" s="2329"/>
      <c r="U11" s="2330"/>
      <c r="V11" s="2325" t="s">
        <v>103</v>
      </c>
      <c r="W11" s="2326"/>
      <c r="X11" s="2326"/>
      <c r="Y11" s="2327"/>
      <c r="Z11" s="2331" t="s">
        <v>104</v>
      </c>
      <c r="AA11" s="2326"/>
      <c r="AB11" s="2332"/>
      <c r="AC11" s="2333" t="s">
        <v>105</v>
      </c>
      <c r="AD11" s="2334"/>
      <c r="AE11" s="2334"/>
      <c r="AF11" s="2334"/>
      <c r="AG11" s="2335"/>
      <c r="AH11" s="2342" t="s">
        <v>805</v>
      </c>
      <c r="AI11" s="2334"/>
      <c r="AJ11" s="2335"/>
      <c r="AK11" s="2343" t="s">
        <v>106</v>
      </c>
      <c r="AL11" s="2344"/>
      <c r="AM11" s="2345" t="s">
        <v>107</v>
      </c>
      <c r="AN11" s="2344"/>
      <c r="AO11" s="2345" t="s">
        <v>108</v>
      </c>
      <c r="AP11" s="2344"/>
      <c r="AQ11" s="2345" t="s">
        <v>109</v>
      </c>
      <c r="AR11" s="2346"/>
      <c r="AS11" s="2325" t="s">
        <v>110</v>
      </c>
      <c r="AT11" s="2326"/>
      <c r="AU11" s="2332"/>
      <c r="AV11" s="19" t="s">
        <v>149</v>
      </c>
      <c r="AW11" s="19"/>
      <c r="AX11" s="1080"/>
      <c r="BA11" s="37" t="s">
        <v>10</v>
      </c>
      <c r="BB11" s="49"/>
      <c r="BG11" s="831"/>
      <c r="BH11" s="6" t="s">
        <v>818</v>
      </c>
      <c r="BI11" s="335">
        <f>+BI1*BG11</f>
        <v>0</v>
      </c>
      <c r="BJ11" s="335">
        <f>+BI11*0</f>
        <v>0</v>
      </c>
      <c r="BK11" s="335">
        <f>+BI11*1</f>
        <v>0</v>
      </c>
      <c r="BL11" s="1124">
        <f>(BK11*0.1/2+BK10*0.1+BK9*0.1)*0/12</f>
        <v>0</v>
      </c>
      <c r="BM11" s="335">
        <f>+BL11+BK11+BJ11</f>
        <v>0</v>
      </c>
      <c r="BN11"/>
      <c r="BO11"/>
      <c r="BP11"/>
      <c r="BQ11"/>
      <c r="BR11"/>
      <c r="BS11" s="50"/>
      <c r="CY11" s="37"/>
      <c r="CZ11" s="37"/>
    </row>
    <row r="12" spans="1:104" ht="17.399999999999999">
      <c r="A12" s="25"/>
      <c r="B12" s="25"/>
      <c r="C12" s="29" t="s">
        <v>11</v>
      </c>
      <c r="D12" s="55" t="s">
        <v>111</v>
      </c>
      <c r="E12" s="54"/>
      <c r="F12" s="55" t="s">
        <v>112</v>
      </c>
      <c r="G12" s="56"/>
      <c r="H12" s="53" t="s">
        <v>111</v>
      </c>
      <c r="I12" s="57" t="s">
        <v>112</v>
      </c>
      <c r="J12" s="58" t="s">
        <v>111</v>
      </c>
      <c r="K12" s="28" t="s">
        <v>112</v>
      </c>
      <c r="L12" s="17" t="s">
        <v>113</v>
      </c>
      <c r="M12" s="64" t="s">
        <v>114</v>
      </c>
      <c r="N12" s="338" t="s">
        <v>111</v>
      </c>
      <c r="O12" s="338" t="s">
        <v>112</v>
      </c>
      <c r="P12" s="340" t="s">
        <v>122</v>
      </c>
      <c r="Q12" s="343" t="s">
        <v>431</v>
      </c>
      <c r="R12" s="52" t="s">
        <v>55</v>
      </c>
      <c r="S12" s="52" t="s">
        <v>115</v>
      </c>
      <c r="T12" s="191" t="s">
        <v>86</v>
      </c>
      <c r="U12" s="52" t="s">
        <v>116</v>
      </c>
      <c r="V12" s="2339" t="s">
        <v>117</v>
      </c>
      <c r="W12" s="2340"/>
      <c r="X12" s="2341"/>
      <c r="Y12" s="192" t="s">
        <v>118</v>
      </c>
      <c r="Z12" s="33" t="s">
        <v>119</v>
      </c>
      <c r="AA12" s="190" t="s">
        <v>120</v>
      </c>
      <c r="AB12" s="183" t="s">
        <v>120</v>
      </c>
      <c r="AC12" s="52" t="s">
        <v>210</v>
      </c>
      <c r="AD12" s="191" t="s">
        <v>422</v>
      </c>
      <c r="AE12" s="52" t="s">
        <v>121</v>
      </c>
      <c r="AF12" s="191" t="s">
        <v>456</v>
      </c>
      <c r="AG12" s="270" t="s">
        <v>422</v>
      </c>
      <c r="AH12" s="191" t="s">
        <v>422</v>
      </c>
      <c r="AI12" s="272" t="s">
        <v>422</v>
      </c>
      <c r="AJ12" s="52" t="s">
        <v>122</v>
      </c>
      <c r="AK12" s="60"/>
      <c r="AL12" s="60"/>
      <c r="AM12" s="60"/>
      <c r="AN12" s="60"/>
      <c r="AO12" s="60"/>
      <c r="AP12" s="60"/>
      <c r="AQ12" s="60"/>
      <c r="AR12" s="193"/>
      <c r="AS12" s="260"/>
      <c r="AT12" s="196"/>
      <c r="AU12" s="261"/>
      <c r="AV12" s="258" t="s">
        <v>151</v>
      </c>
      <c r="AW12" s="258"/>
      <c r="AX12" s="259"/>
      <c r="BA12" s="37" t="s">
        <v>12</v>
      </c>
      <c r="BB12" s="826"/>
      <c r="BG12" s="1126">
        <v>0</v>
      </c>
      <c r="BH12" s="4" t="s">
        <v>1150</v>
      </c>
      <c r="BI12" s="335">
        <f>+BI1*BG12</f>
        <v>0</v>
      </c>
      <c r="BJ12" s="335"/>
      <c r="BK12" s="335">
        <f>+BI12*1</f>
        <v>0</v>
      </c>
      <c r="BL12" s="1124">
        <f>(BK12*0.05+BK9*0.1+BK10*0.1+BK11*0.1)*0/12</f>
        <v>0</v>
      </c>
      <c r="BM12" s="335">
        <f>+BL12+BK12+BJ12</f>
        <v>0</v>
      </c>
      <c r="BN12"/>
      <c r="BO12"/>
      <c r="BP12"/>
      <c r="BQ12"/>
      <c r="BR12"/>
      <c r="CY12" s="37"/>
      <c r="CZ12" s="37"/>
    </row>
    <row r="13" spans="1:104" ht="17.399999999999999">
      <c r="A13" s="25"/>
      <c r="B13" s="25"/>
      <c r="C13" s="25"/>
      <c r="D13" s="207" t="s">
        <v>123</v>
      </c>
      <c r="E13" s="56" t="s">
        <v>124</v>
      </c>
      <c r="F13" s="61" t="s">
        <v>123</v>
      </c>
      <c r="G13" s="62" t="s">
        <v>124</v>
      </c>
      <c r="H13" s="53"/>
      <c r="I13" s="63"/>
      <c r="J13" s="33"/>
      <c r="K13" s="33"/>
      <c r="L13" s="28" t="s">
        <v>112</v>
      </c>
      <c r="M13" s="27" t="s">
        <v>112</v>
      </c>
      <c r="N13" s="338"/>
      <c r="O13" s="338"/>
      <c r="P13" s="340"/>
      <c r="Q13" s="344"/>
      <c r="R13" s="60"/>
      <c r="S13" s="60"/>
      <c r="T13" s="60"/>
      <c r="U13" s="60"/>
      <c r="V13" s="60" t="s">
        <v>308</v>
      </c>
      <c r="W13" s="346" t="s">
        <v>309</v>
      </c>
      <c r="X13" s="33"/>
      <c r="Y13" s="51"/>
      <c r="Z13" s="33" t="s">
        <v>21</v>
      </c>
      <c r="AA13" s="33" t="s">
        <v>21</v>
      </c>
      <c r="AB13" s="52" t="s">
        <v>125</v>
      </c>
      <c r="AC13" s="69"/>
      <c r="AD13" s="191" t="s">
        <v>425</v>
      </c>
      <c r="AE13" s="52" t="s">
        <v>126</v>
      </c>
      <c r="AF13" s="191" t="s">
        <v>457</v>
      </c>
      <c r="AG13" s="270" t="s">
        <v>426</v>
      </c>
      <c r="AH13" s="191" t="s">
        <v>429</v>
      </c>
      <c r="AI13" s="191" t="s">
        <v>423</v>
      </c>
      <c r="AJ13" s="51"/>
      <c r="AK13" s="52"/>
      <c r="AL13" s="52"/>
      <c r="AM13" s="51"/>
      <c r="AN13" s="51"/>
      <c r="AO13" s="52"/>
      <c r="AP13" s="52"/>
      <c r="AQ13" s="51"/>
      <c r="AR13" s="51"/>
      <c r="AS13" s="194"/>
      <c r="AT13" s="51"/>
      <c r="AU13" s="195"/>
      <c r="AV13" s="60" t="s">
        <v>150</v>
      </c>
      <c r="AW13" s="60"/>
      <c r="AX13" s="65"/>
      <c r="BA13" s="37" t="s">
        <v>13</v>
      </c>
      <c r="BB13" s="827"/>
      <c r="BD13" s="4" t="s">
        <v>561</v>
      </c>
      <c r="BE13" s="828"/>
      <c r="BG13" s="47">
        <v>0.1</v>
      </c>
      <c r="BH13" s="43" t="s">
        <v>38</v>
      </c>
      <c r="BI13" s="336">
        <f>+BI1*BG13</f>
        <v>5.797195549181601</v>
      </c>
      <c r="BJ13" s="336">
        <f>+BI13*0</f>
        <v>0</v>
      </c>
      <c r="BK13" s="336">
        <f>+BI13*1</f>
        <v>5.797195549181601</v>
      </c>
      <c r="BL13" s="336">
        <v>0</v>
      </c>
      <c r="BM13" s="336">
        <f>+BL13+BK13+BJ13</f>
        <v>5.797195549181601</v>
      </c>
      <c r="BN13"/>
      <c r="BO13"/>
      <c r="BP13"/>
      <c r="BQ13"/>
      <c r="BR13"/>
      <c r="CY13" s="37"/>
      <c r="CZ13" s="37"/>
    </row>
    <row r="14" spans="1:104" ht="15.6">
      <c r="A14" s="25"/>
      <c r="B14" s="25"/>
      <c r="C14" s="24"/>
      <c r="D14" s="208" t="s">
        <v>37</v>
      </c>
      <c r="E14" s="52" t="s">
        <v>37</v>
      </c>
      <c r="F14" s="66" t="s">
        <v>32</v>
      </c>
      <c r="G14" s="52" t="s">
        <v>32</v>
      </c>
      <c r="H14" s="53" t="s">
        <v>37</v>
      </c>
      <c r="I14" s="63" t="s">
        <v>32</v>
      </c>
      <c r="J14" s="52" t="s">
        <v>37</v>
      </c>
      <c r="K14" s="52" t="s">
        <v>32</v>
      </c>
      <c r="L14" s="52" t="s">
        <v>32</v>
      </c>
      <c r="M14" s="52" t="s">
        <v>32</v>
      </c>
      <c r="N14" s="19" t="s">
        <v>37</v>
      </c>
      <c r="O14" s="19" t="s">
        <v>32</v>
      </c>
      <c r="P14" s="337" t="s">
        <v>32</v>
      </c>
      <c r="Q14" s="345" t="s">
        <v>32</v>
      </c>
      <c r="R14" s="52" t="s">
        <v>32</v>
      </c>
      <c r="S14" s="67" t="s">
        <v>32</v>
      </c>
      <c r="T14" s="67" t="s">
        <v>32</v>
      </c>
      <c r="U14" s="52" t="s">
        <v>32</v>
      </c>
      <c r="V14" s="52" t="s">
        <v>37</v>
      </c>
      <c r="W14" s="52" t="s">
        <v>37</v>
      </c>
      <c r="X14" s="52" t="s">
        <v>32</v>
      </c>
      <c r="Y14" s="52" t="s">
        <v>32</v>
      </c>
      <c r="Z14" s="52" t="s">
        <v>37</v>
      </c>
      <c r="AA14" s="52" t="s">
        <v>32</v>
      </c>
      <c r="AB14" s="52" t="s">
        <v>32</v>
      </c>
      <c r="AC14" s="68" t="s">
        <v>32</v>
      </c>
      <c r="AD14" s="52" t="s">
        <v>32</v>
      </c>
      <c r="AE14" s="52" t="s">
        <v>32</v>
      </c>
      <c r="AF14" s="52" t="s">
        <v>32</v>
      </c>
      <c r="AG14" s="30" t="s">
        <v>37</v>
      </c>
      <c r="AH14" s="52" t="s">
        <v>32</v>
      </c>
      <c r="AI14" s="52" t="s">
        <v>32</v>
      </c>
      <c r="AJ14" s="52" t="s">
        <v>32</v>
      </c>
      <c r="AK14" s="52" t="s">
        <v>37</v>
      </c>
      <c r="AL14" s="52" t="s">
        <v>32</v>
      </c>
      <c r="AM14" s="52" t="s">
        <v>37</v>
      </c>
      <c r="AN14" s="52" t="s">
        <v>32</v>
      </c>
      <c r="AO14" s="52" t="s">
        <v>37</v>
      </c>
      <c r="AP14" s="52" t="s">
        <v>32</v>
      </c>
      <c r="AQ14" s="52" t="s">
        <v>37</v>
      </c>
      <c r="AR14" s="52" t="s">
        <v>32</v>
      </c>
      <c r="AS14" s="69" t="s">
        <v>37</v>
      </c>
      <c r="AT14" s="52" t="s">
        <v>32</v>
      </c>
      <c r="AU14" s="30" t="s">
        <v>60</v>
      </c>
      <c r="AV14" s="52" t="s">
        <v>32</v>
      </c>
      <c r="AW14" s="52" t="s">
        <v>32</v>
      </c>
      <c r="AX14" s="30" t="s">
        <v>60</v>
      </c>
      <c r="BA14" s="37" t="s">
        <v>195</v>
      </c>
      <c r="BB14" s="49"/>
      <c r="BD14" s="4" t="s">
        <v>451</v>
      </c>
      <c r="BE14" s="828"/>
      <c r="BG14" s="47">
        <v>1</v>
      </c>
      <c r="BH14" s="44" t="s">
        <v>9</v>
      </c>
      <c r="BI14" s="336">
        <f>SUM(BI9:BI13)</f>
        <v>57.971955491816004</v>
      </c>
      <c r="BJ14" s="336">
        <f>SUM(BJ9:BJ13)</f>
        <v>0</v>
      </c>
      <c r="BK14" s="336">
        <f>SUM(BK9:BK13)</f>
        <v>57.971955491816004</v>
      </c>
      <c r="BL14" s="336">
        <f>SUM(BL9:BL13)</f>
        <v>3.5870147460561155</v>
      </c>
      <c r="BM14" s="336">
        <f>SUM(BM9:BM13)</f>
        <v>61.558970237872117</v>
      </c>
      <c r="BN14"/>
      <c r="BO14"/>
      <c r="BP14"/>
      <c r="BQ14"/>
      <c r="BR14"/>
      <c r="CI14" s="37">
        <f>+CH14*(1.3*1.04)+CH14*0.03</f>
        <v>0</v>
      </c>
      <c r="CY14" s="37"/>
      <c r="CZ14" s="37"/>
    </row>
    <row r="15" spans="1:104" ht="20.25" customHeight="1">
      <c r="A15" s="108" t="s">
        <v>197</v>
      </c>
      <c r="B15" s="108" t="s">
        <v>61</v>
      </c>
      <c r="C15" s="108" t="s">
        <v>62</v>
      </c>
      <c r="D15" s="70" t="s">
        <v>63</v>
      </c>
      <c r="E15" s="71" t="s">
        <v>64</v>
      </c>
      <c r="F15" s="71" t="s">
        <v>65</v>
      </c>
      <c r="G15" s="71" t="s">
        <v>66</v>
      </c>
      <c r="H15" s="71" t="s">
        <v>67</v>
      </c>
      <c r="I15" s="71" t="s">
        <v>298</v>
      </c>
      <c r="J15" s="71" t="s">
        <v>68</v>
      </c>
      <c r="K15" s="71" t="s">
        <v>69</v>
      </c>
      <c r="L15" s="71" t="s">
        <v>70</v>
      </c>
      <c r="M15" s="71" t="s">
        <v>59</v>
      </c>
      <c r="N15" s="339" t="s">
        <v>71</v>
      </c>
      <c r="O15" s="339" t="s">
        <v>72</v>
      </c>
      <c r="P15" s="341" t="s">
        <v>73</v>
      </c>
      <c r="Q15" s="70" t="s">
        <v>74</v>
      </c>
      <c r="R15" s="71" t="s">
        <v>75</v>
      </c>
      <c r="S15" s="73" t="s">
        <v>76</v>
      </c>
      <c r="T15" s="71" t="s">
        <v>41</v>
      </c>
      <c r="U15" s="71" t="s">
        <v>77</v>
      </c>
      <c r="V15" s="71" t="s">
        <v>78</v>
      </c>
      <c r="W15" s="71" t="s">
        <v>79</v>
      </c>
      <c r="X15" s="71" t="s">
        <v>80</v>
      </c>
      <c r="Y15" s="71" t="s">
        <v>81</v>
      </c>
      <c r="Z15" s="71" t="s">
        <v>82</v>
      </c>
      <c r="AA15" s="71" t="s">
        <v>127</v>
      </c>
      <c r="AB15" s="71" t="s">
        <v>128</v>
      </c>
      <c r="AC15" s="71" t="s">
        <v>129</v>
      </c>
      <c r="AD15" s="71" t="s">
        <v>130</v>
      </c>
      <c r="AE15" s="582" t="s">
        <v>552</v>
      </c>
      <c r="AF15" s="71" t="s">
        <v>131</v>
      </c>
      <c r="AG15" s="72" t="s">
        <v>132</v>
      </c>
      <c r="AH15" s="71" t="s">
        <v>133</v>
      </c>
      <c r="AI15" s="71" t="s">
        <v>134</v>
      </c>
      <c r="AJ15" s="582" t="s">
        <v>553</v>
      </c>
      <c r="AK15" s="582" t="s">
        <v>554</v>
      </c>
      <c r="AL15" s="582" t="s">
        <v>555</v>
      </c>
      <c r="AM15" s="582" t="s">
        <v>135</v>
      </c>
      <c r="AN15" s="582" t="s">
        <v>556</v>
      </c>
      <c r="AO15" s="71" t="s">
        <v>136</v>
      </c>
      <c r="AP15" s="71" t="s">
        <v>137</v>
      </c>
      <c r="AQ15" s="71" t="s">
        <v>138</v>
      </c>
      <c r="AR15" s="71" t="s">
        <v>139</v>
      </c>
      <c r="AS15" s="71" t="s">
        <v>140</v>
      </c>
      <c r="AT15" s="71" t="s">
        <v>141</v>
      </c>
      <c r="AU15" s="71" t="s">
        <v>142</v>
      </c>
      <c r="AV15" s="71" t="s">
        <v>143</v>
      </c>
      <c r="AW15" s="71" t="s">
        <v>144</v>
      </c>
      <c r="AX15" s="583" t="s">
        <v>312</v>
      </c>
      <c r="AY15" s="72" t="s">
        <v>144</v>
      </c>
      <c r="BA15" s="37" t="s">
        <v>14</v>
      </c>
      <c r="BB15" s="49"/>
      <c r="BD15" s="253" t="s">
        <v>397</v>
      </c>
      <c r="BE15" s="829">
        <v>1.08</v>
      </c>
      <c r="BH15" s="34" t="s">
        <v>438</v>
      </c>
      <c r="BI15" s="336"/>
      <c r="BJ15" s="336"/>
      <c r="BK15" s="336"/>
      <c r="BL15" s="336"/>
      <c r="BM15" s="336">
        <f>+AU24</f>
        <v>7.5351533447995847</v>
      </c>
      <c r="BN15"/>
      <c r="BO15"/>
      <c r="BP15"/>
      <c r="BQ15"/>
      <c r="BR15"/>
      <c r="BS15"/>
      <c r="BT15"/>
      <c r="CI15" s="37">
        <f>+CH15*(1.3*1.04)+CH15*0.03</f>
        <v>0</v>
      </c>
      <c r="CY15" s="37"/>
      <c r="CZ15" s="37"/>
    </row>
    <row r="16" spans="1:104" ht="32.25" customHeight="1">
      <c r="A16" s="1140" t="str">
        <f>B3</f>
        <v>01/DE/4941</v>
      </c>
      <c r="B16" s="237" t="str">
        <f>C3</f>
        <v>Extension of mixer bay and replacement of 02 nos mixer cranes 125+30t, span 28 m in SMS-2</v>
      </c>
      <c r="C16" s="236"/>
      <c r="D16" s="209"/>
      <c r="E16" s="114"/>
      <c r="F16" s="114"/>
      <c r="G16" s="114"/>
      <c r="H16" s="114"/>
      <c r="I16" s="114"/>
      <c r="J16" s="114"/>
      <c r="K16" s="114"/>
      <c r="L16" s="114"/>
      <c r="M16" s="114"/>
      <c r="N16" s="114"/>
      <c r="O16" s="114"/>
      <c r="P16" s="114"/>
      <c r="Q16" s="115"/>
      <c r="R16" s="114">
        <f>$BC$29*(D16+$BB$47*D16)+$BB$29*F16</f>
        <v>0</v>
      </c>
      <c r="S16" s="114">
        <f>$BB$31*(J16+$BB$47*J16+K16+L16+M16)</f>
        <v>0</v>
      </c>
      <c r="T16" s="114">
        <f>$BB$33*(N16+$BB$47*N16+O16)</f>
        <v>0</v>
      </c>
      <c r="U16" s="114"/>
      <c r="V16" s="114">
        <f>$BB$39*(D16+J16+N16+$BB$47*(D16+J16+N16)+F16+K16+L16+M16+O16+P16+R16+S16+T16+U16)</f>
        <v>0</v>
      </c>
      <c r="W16" s="114"/>
      <c r="X16" s="114">
        <f>$BB$41*(D16+J16+N16+$BB$47*(D16+J16+N16)+F16+K16+L16+M16+O16+P16+R16+S16+T16+U16)</f>
        <v>0</v>
      </c>
      <c r="Y16" s="114">
        <f>$BB$38*(D16+J16+N16+$BB$47*(D16+J16+N16)+F16+K16+L16+M16+O16+P16+R16+S16+T16+U16)</f>
        <v>0</v>
      </c>
      <c r="Z16" s="114">
        <f>$BB$47*(D16+H16+J16+N16)</f>
        <v>0</v>
      </c>
      <c r="AA16" s="114">
        <f>($BB$51*(D16+H16+$BB$47*(D16+H16))+$BB$53*(J16+N16+$BB$47*(J16+N16)))*(1+$BB$67)</f>
        <v>0</v>
      </c>
      <c r="AB16" s="114">
        <f>($BB$56*(F16+I16)+$BB$58*(K16+L16+O16))*(1+$BB$67)</f>
        <v>0</v>
      </c>
      <c r="AC16" s="114">
        <f>$BB$63*(D16+H16+J16+N16+$BB$47*(D16+H16+J16+N16))*1.01</f>
        <v>0</v>
      </c>
      <c r="AD16" s="114">
        <f>$BB$64*((D16+H16+J16+N16+$BB$47*(D16+H16+J16+N16))*1.01+AC16)</f>
        <v>0</v>
      </c>
      <c r="AE16" s="114">
        <f>$BB$69*(E16+V16+W16+AK16+AM16+AO16)</f>
        <v>0</v>
      </c>
      <c r="AF16" s="114">
        <f>$BB$71*(E16+$BB$69*W16+AK16+AM16)</f>
        <v>0</v>
      </c>
      <c r="AG16" s="114"/>
      <c r="AH16" s="209">
        <f>$BB$66*(F16+I16+K16+L16+O16)</f>
        <v>0</v>
      </c>
      <c r="AI16" s="114">
        <f>$BB$67*((R16+S16+T16+U16)*0.7+V16+W16+X16+0.33*(P16+AM16))</f>
        <v>0</v>
      </c>
      <c r="AJ16" s="114"/>
      <c r="AK16" s="114"/>
      <c r="AL16" s="114"/>
      <c r="AM16" s="114"/>
      <c r="AN16" s="114"/>
      <c r="AO16" s="114"/>
      <c r="AP16" s="114"/>
      <c r="AQ16" s="114">
        <f>+$BB$73*(D16+E16+H16+J16+N16+V16+W16+Z16+AG16+AK16+AM16+AO16)</f>
        <v>0</v>
      </c>
      <c r="AR16" s="114"/>
      <c r="AS16" s="114"/>
      <c r="AT16" s="114"/>
      <c r="AU16" s="115"/>
      <c r="AV16" s="37">
        <f>$BB$62*((D16+H16+J16+L16+O16)+$BB$47*(D16+H16+J16+L16+O16))</f>
        <v>0</v>
      </c>
      <c r="BA16" s="37" t="s">
        <v>164</v>
      </c>
      <c r="BB16" s="824">
        <f>80.99</f>
        <v>80.989999999999995</v>
      </c>
      <c r="BD16" s="254" t="s">
        <v>573</v>
      </c>
      <c r="BE16" s="825"/>
      <c r="BG16" s="44"/>
      <c r="BH16" s="34" t="s">
        <v>439</v>
      </c>
      <c r="BI16" s="336"/>
      <c r="BJ16" s="336"/>
      <c r="BK16" s="336"/>
      <c r="BL16" s="336"/>
      <c r="BM16" s="336">
        <f>+BM14-BM15</f>
        <v>54.023816893072535</v>
      </c>
      <c r="BQ16"/>
      <c r="BR16"/>
      <c r="BS16"/>
      <c r="BT16"/>
      <c r="CY16" s="37"/>
      <c r="CZ16" s="37"/>
    </row>
    <row r="17" spans="1:104" ht="35.25" customHeight="1">
      <c r="A17" s="862" t="s">
        <v>793</v>
      </c>
      <c r="B17" s="930" t="s">
        <v>1087</v>
      </c>
      <c r="C17" s="217"/>
      <c r="D17" s="209"/>
      <c r="E17" s="114"/>
      <c r="F17" s="114">
        <f>Basic_CostCmt!F43/100</f>
        <v>33.455222337500004</v>
      </c>
      <c r="G17" s="114"/>
      <c r="H17" s="114"/>
      <c r="I17" s="114"/>
      <c r="J17" s="114"/>
      <c r="K17" s="114"/>
      <c r="L17" s="114"/>
      <c r="M17" s="114"/>
      <c r="N17" s="114"/>
      <c r="O17" s="114"/>
      <c r="P17" s="114"/>
      <c r="Q17" s="115"/>
      <c r="R17" s="1127">
        <f>($BC$29*(D17+$BB$47*D17)+$BB$29*F17)+Basic_CostCmt!F51/100</f>
        <v>4.6186266805000002</v>
      </c>
      <c r="S17" s="114">
        <f>$BB$31*(J17+$BB$47*J17+K17+L17+M17)</f>
        <v>0</v>
      </c>
      <c r="T17" s="1127">
        <f>$BB$33*(N17+$BB$47*N17+O17)</f>
        <v>0</v>
      </c>
      <c r="U17" s="114">
        <f>Basic_CostCmt!F47/100</f>
        <v>0.9</v>
      </c>
      <c r="V17" s="1119">
        <f>$BB$39*(D17+J17+N17+$BB$47*(D17+J17+N17)+F17+K17+L17+M17+O17+P17+R17+S17+T17+U17)*0</f>
        <v>0</v>
      </c>
      <c r="W17" s="1119">
        <f>$BB$40*(D17+J17+N17+$BB$47*(D17+J17+N17)+F17+K17+L17+M17+O17+P17+Q17+R17+S17+T17+U17)*0</f>
        <v>0</v>
      </c>
      <c r="X17" s="114">
        <f>$BB$41*(D17+J17+N17+$BB$47*(D17+J17+N17)+F17+K17+L17+M17+O17+P17+Q17+R17+S17+T17+U17)</f>
        <v>1.9486924509000003</v>
      </c>
      <c r="Y17" s="114">
        <f>$BB$38*(D17+J17+N17+$BB$47*(D17+J17+N17)+F17+K17+L17+M17+O17+P17+Q17+R17+S17+T17+U17)</f>
        <v>0.97434622545000016</v>
      </c>
      <c r="Z17" s="114">
        <f>$BB$47*(D17+H17+J17+N17)</f>
        <v>0</v>
      </c>
      <c r="AA17" s="114">
        <f>($BB$51*(D17+H17+$BB$47*(D17+H17))+$BB$53*(J17+N17+$BB$47*(J17+N17)))</f>
        <v>0</v>
      </c>
      <c r="AB17" s="114">
        <f>(($BB$56*(F17+I17)+$BB$58*(K17+L17+O17)))</f>
        <v>0.66910444675000014</v>
      </c>
      <c r="AC17" s="114">
        <f>$BB$63*(D17+H17+J17+N17+Z17)</f>
        <v>0</v>
      </c>
      <c r="AD17" s="114">
        <f>$BB$64*((D17+E17+H17+J17+N17+Z17)+AC17+AF17)</f>
        <v>0</v>
      </c>
      <c r="AE17" s="114">
        <f>$BB$69*(V17+W17+AK17+AM17+AO17)</f>
        <v>0</v>
      </c>
      <c r="AF17" s="348">
        <f>$BB$71*(AC17)</f>
        <v>0</v>
      </c>
      <c r="AG17" s="114">
        <f>$BB$65*(V17+W17+AE17+AK17+AM17+AO17)</f>
        <v>0</v>
      </c>
      <c r="AH17" s="209">
        <f>$BB$66*(F17+G17+I17+K17+L17+M17+O17)</f>
        <v>6.0219400207500007</v>
      </c>
      <c r="AI17" s="114">
        <f>$BB$67*(P17+Q17+R17+S17+T17+U17+X17+AL17+AN17+AP17)+$BB$68*(AA17+AB17)</f>
        <v>1.4645562440670001</v>
      </c>
      <c r="AJ17" s="114"/>
      <c r="AK17" s="114"/>
      <c r="AL17" s="114"/>
      <c r="AM17" s="114"/>
      <c r="AN17" s="114"/>
      <c r="AO17" s="114"/>
      <c r="AP17" s="114"/>
      <c r="AQ17" s="114">
        <f>+$BB$73*(D17+E17+H17+J17+N17+V17+W17+Z17+AK17+AM17+AO17)</f>
        <v>0</v>
      </c>
      <c r="AR17" s="114">
        <f>+$BB$73*(F17+G17+I17+K17+L17+M17+O17+P17+Q17+R17+S17+T17+U17+X17+Y17+AA17+AB17+AC17+AD17+AE17+AF17+AG17+AH17+AI17+AJ17+AL17+AN17+AP17)</f>
        <v>2.5026244202958501</v>
      </c>
      <c r="AS17" s="114">
        <f>D17+E17+H17+J17+N17+V17+W17+Z17+AK17+AM17+AO17+AQ17</f>
        <v>0</v>
      </c>
      <c r="AT17" s="114">
        <f>(F17+G17+I17+K17+L17+M17+O17+P17+Q17+R17+S17+T17+U17+X17+Y17+AA17+AB17+AC17+AD17+AE17+AF17+AG17+AH17+AI17+AJ17+AL17+AN17+AP17+AR17)</f>
        <v>52.555112826212849</v>
      </c>
      <c r="AU17" s="115">
        <f t="shared" ref="AU17" si="0">AS17+AT17</f>
        <v>52.555112826212849</v>
      </c>
      <c r="AW17" s="335">
        <f>AU17-AR17-AQ17-Y17</f>
        <v>49.078142180466998</v>
      </c>
      <c r="AX17" s="335">
        <f>AD17+AH17-$BB$66*(L17+M17)+$BB$65*(V17+W17+AE17+AK17+AM17+AO17)+$BB$67*(Q17+R17+T17+$BB$31*(J17+K17)+X17+AL17+AN17+AP17)+$BB$68*(AA17+AB17)</f>
        <v>7.3244962648170011</v>
      </c>
      <c r="AY17" s="335">
        <f>AW17-AX17</f>
        <v>41.753645915649997</v>
      </c>
      <c r="BA17" s="4" t="s">
        <v>449</v>
      </c>
      <c r="BB17" s="1123">
        <f>(BB10+BE17/2)*0</f>
        <v>0</v>
      </c>
      <c r="BD17" s="254" t="s">
        <v>817</v>
      </c>
      <c r="BE17" s="95">
        <f>BE16*(22+6)/24*0+(951.259+(1327.067-951.259)*1/12)/100</f>
        <v>9.8257633333333327</v>
      </c>
      <c r="BF17" s="37">
        <f>BE17/2</f>
        <v>4.9128816666666664</v>
      </c>
      <c r="BG17" s="117"/>
      <c r="BQ17"/>
      <c r="BR17"/>
      <c r="BS17"/>
      <c r="BT17"/>
      <c r="CY17" s="37"/>
      <c r="CZ17" s="37"/>
    </row>
    <row r="18" spans="1:104" ht="52.5" customHeight="1">
      <c r="A18" s="862" t="s">
        <v>794</v>
      </c>
      <c r="B18" s="930" t="s">
        <v>797</v>
      </c>
      <c r="C18" s="217"/>
      <c r="D18" s="209"/>
      <c r="E18" s="114"/>
      <c r="F18" s="114"/>
      <c r="G18" s="114"/>
      <c r="H18" s="114"/>
      <c r="I18" s="114"/>
      <c r="J18" s="114"/>
      <c r="K18" s="114"/>
      <c r="L18" s="114"/>
      <c r="M18" s="114"/>
      <c r="N18" s="114"/>
      <c r="O18" s="114"/>
      <c r="P18" s="114"/>
      <c r="Q18" s="115"/>
      <c r="R18" s="114">
        <f t="shared" ref="R18:R20" si="1">($BC$29*(D18+$BB$47*D18)+$BB$29*F18)</f>
        <v>0</v>
      </c>
      <c r="S18" s="114">
        <f t="shared" ref="S18:S20" si="2">$BB$31*(J18+$BB$47*J18+K18+L18+M18)</f>
        <v>0</v>
      </c>
      <c r="T18" s="114">
        <f t="shared" ref="T18:T20" si="3">$BB$33*(N18+$BB$47*N18+O18)</f>
        <v>0</v>
      </c>
      <c r="U18" s="114"/>
      <c r="V18" s="114">
        <f>$BB$39*(D18+J18+N18+$BB$47*(D18+J18+N18)+F18+K18+L18+M18+O18+P18+R18+S18+T18+U18)*0</f>
        <v>0</v>
      </c>
      <c r="W18" s="114">
        <f>$BB$40*(D18+J18+N18+$BB$47*(D18+J18+N18)+F18+K18+L18+M18+O18+P18+Q18+R18+S18+T18+U18)*0</f>
        <v>0</v>
      </c>
      <c r="X18" s="1119">
        <f>$BB$41*(D18+J18+N18+$BB$47*(D18+J18+N18)+F18+K18+L18+M18+O18+P18+Q18+R18+S18+T18+U18)*0</f>
        <v>0</v>
      </c>
      <c r="Y18" s="348">
        <f t="shared" ref="Y18:Y20" si="4">$BB$38*(D18+J18+N18+$BB$47*(D18+J18+N18)+F18+K18+L18+M18+O18+P18+Q18+R18+S18+T18+U18)</f>
        <v>0</v>
      </c>
      <c r="Z18" s="114">
        <f t="shared" ref="Z18:Z20" si="5">$BB$47*(D18+H18+J18+N18)</f>
        <v>0</v>
      </c>
      <c r="AA18" s="114">
        <f t="shared" ref="AA18:AA20" si="6">($BB$51*(D18+H18+$BB$47*(D18+H18))+$BB$53*(J18+N18+$BB$47*(J18+N18)))</f>
        <v>0</v>
      </c>
      <c r="AB18" s="114">
        <f t="shared" ref="AB18:AB20" si="7">(($BB$56*(F18+I18)+$BB$58*(K18+L18+O18)))</f>
        <v>0</v>
      </c>
      <c r="AC18" s="114">
        <f t="shared" ref="AC18:AC20" si="8">$BB$63*(D18+H18+J18+N18+Z18)</f>
        <v>0</v>
      </c>
      <c r="AD18" s="114">
        <f t="shared" ref="AD18:AD20" si="9">$BB$64*((D18+E18+H18+J18+N18+Z18)+AC18+AF18)</f>
        <v>0</v>
      </c>
      <c r="AE18" s="114">
        <f t="shared" ref="AE18:AE20" si="10">$BB$69*(V18+W18+AK18+AM18+AO18)</f>
        <v>0</v>
      </c>
      <c r="AF18" s="348">
        <f t="shared" ref="AF18:AF20" si="11">$BB$71*(AC18)</f>
        <v>0</v>
      </c>
      <c r="AG18" s="114">
        <f t="shared" ref="AG18:AG20" si="12">$BB$65*(V18+W18+AE18+AK18+AM18+AO18)</f>
        <v>0</v>
      </c>
      <c r="AH18" s="209">
        <f t="shared" ref="AH18:AH20" si="13">$BB$66*(F18+G18+I18+K18+L18+M18+O18)</f>
        <v>0</v>
      </c>
      <c r="AI18" s="114">
        <f t="shared" ref="AI18:AI20" si="14">$BB$67*(P18+Q18+R18+S18+T18+U18+X18+AL18+AN18+AP18)+$BB$68*(AA18+AB18)</f>
        <v>0</v>
      </c>
      <c r="AJ18" s="114"/>
      <c r="AK18" s="114"/>
      <c r="AL18" s="114"/>
      <c r="AM18" s="114"/>
      <c r="AN18" s="114"/>
      <c r="AO18" s="114"/>
      <c r="AP18" s="114"/>
      <c r="AQ18" s="114">
        <f t="shared" ref="AQ18:AQ19" si="15">+$BB$73*(D18+E18+H18+J18+N18+V18+W18+Z18+AK18+AM18+AO18)</f>
        <v>0</v>
      </c>
      <c r="AR18" s="114">
        <f t="shared" ref="AR18:AR20" si="16">+$BB$73*(F18+G18+I18+K18+L18+M18+O18+P18+Q18+R18+S18+T18+U18+X18+Y18+AA18+AB18+AC18+AD18+AE18+AF18+AG18+AH18+AI18+AJ18+AL18+AN18+AP18)</f>
        <v>0</v>
      </c>
      <c r="AS18" s="114">
        <f t="shared" ref="AS18:AS19" si="17">D18+E18+H18+J18+N18+V18+W18+Z18+AK18+AM18+AO18+AQ18</f>
        <v>0</v>
      </c>
      <c r="AT18" s="114">
        <f t="shared" ref="AT18:AT20" si="18">(F18+G18+I18+K18+L18+M18+O18+P18+Q18+R18+S18+T18+U18+X18+Y18+AA18+AB18+AC18+AD18+AE18+AF18+AG18+AH18+AI18+AJ18+AL18+AN18+AP18+AR18)</f>
        <v>0</v>
      </c>
      <c r="AU18" s="115">
        <f t="shared" ref="AU18:AU20" si="19">AS18+AT18</f>
        <v>0</v>
      </c>
      <c r="AW18" s="335">
        <f t="shared" ref="AW18:AW21" si="20">AU18-AR18-AQ18-Y18</f>
        <v>0</v>
      </c>
      <c r="AX18" s="335">
        <f t="shared" ref="AX18:AX21" si="21">AD18+AH18-$BB$66*(L18+M18)+$BB$65*(V18+W18+AE18+AK18+AM18+AO18)+$BB$67*(Q18+R18+T18+$BB$31*(J18+K18)+X18+AL18+AN18+AP18)+$BB$68*(AA18+AB18)</f>
        <v>0</v>
      </c>
      <c r="AY18" s="335">
        <f t="shared" ref="AY18:AY21" si="22">AW18-AX18</f>
        <v>0</v>
      </c>
      <c r="BA18" s="4"/>
      <c r="BB18" s="49"/>
      <c r="BD18" s="254"/>
      <c r="BE18" s="95"/>
      <c r="BG18" s="117"/>
      <c r="BQ18"/>
      <c r="BR18"/>
      <c r="BS18"/>
      <c r="BT18"/>
      <c r="CY18" s="37"/>
      <c r="CZ18" s="37"/>
    </row>
    <row r="19" spans="1:104" ht="115.5" customHeight="1">
      <c r="A19" s="862" t="s">
        <v>795</v>
      </c>
      <c r="B19" s="930" t="s">
        <v>980</v>
      </c>
      <c r="C19" s="217"/>
      <c r="D19" s="209"/>
      <c r="E19" s="114"/>
      <c r="F19" s="114"/>
      <c r="G19" s="114"/>
      <c r="H19" s="114" t="s">
        <v>0</v>
      </c>
      <c r="I19" s="114"/>
      <c r="J19" s="114"/>
      <c r="K19" s="114"/>
      <c r="L19" s="114"/>
      <c r="M19" s="114"/>
      <c r="N19" s="114"/>
      <c r="O19" s="114"/>
      <c r="P19" s="114"/>
      <c r="Q19" s="115"/>
      <c r="R19" s="1119">
        <f>($BC$29*(D19+$BB$47*D19)+$BB$29*F19)*0</f>
        <v>0</v>
      </c>
      <c r="S19" s="114">
        <f t="shared" si="2"/>
        <v>0</v>
      </c>
      <c r="T19" s="114">
        <f t="shared" si="3"/>
        <v>0</v>
      </c>
      <c r="U19" s="114"/>
      <c r="V19" s="114">
        <f t="shared" ref="V19" si="23">$BB$39*(D19+J19+N19+$BB$47*(D19+J19+N19)+F19+K19+L19+M19+O19+P19+R19+S19+T19+U19)*0</f>
        <v>0</v>
      </c>
      <c r="W19" s="114">
        <f>$BB$40*(D19+J19+N19+$BB$47*(D19+J19+N19)+F19+K19+L19+M19+O19+P19+Q19+R19+S19+T19+U19)*0</f>
        <v>0</v>
      </c>
      <c r="X19" s="1119">
        <f>$BB$41*(D19+J19+N19+$BB$47*(D19+J19+N19)+F19+K19+L19+M19+O19+P19+Q19+R19+S19+T19+U19)*0</f>
        <v>0</v>
      </c>
      <c r="Y19" s="114">
        <f t="shared" si="4"/>
        <v>0</v>
      </c>
      <c r="Z19" s="114">
        <f t="shared" si="5"/>
        <v>0</v>
      </c>
      <c r="AA19" s="114">
        <f t="shared" si="6"/>
        <v>0</v>
      </c>
      <c r="AB19" s="114">
        <f t="shared" si="7"/>
        <v>0</v>
      </c>
      <c r="AC19" s="114">
        <f t="shared" si="8"/>
        <v>0</v>
      </c>
      <c r="AD19" s="114">
        <f t="shared" si="9"/>
        <v>0</v>
      </c>
      <c r="AE19" s="114">
        <f t="shared" si="10"/>
        <v>0</v>
      </c>
      <c r="AF19" s="348">
        <f t="shared" si="11"/>
        <v>0</v>
      </c>
      <c r="AG19" s="114">
        <f t="shared" si="12"/>
        <v>0</v>
      </c>
      <c r="AH19" s="209">
        <f t="shared" si="13"/>
        <v>0</v>
      </c>
      <c r="AI19" s="114">
        <f t="shared" si="14"/>
        <v>0</v>
      </c>
      <c r="AJ19" s="114"/>
      <c r="AK19" s="114"/>
      <c r="AL19" s="114"/>
      <c r="AM19" s="114"/>
      <c r="AN19" s="114"/>
      <c r="AO19" s="114"/>
      <c r="AP19" s="114"/>
      <c r="AQ19" s="114">
        <f t="shared" si="15"/>
        <v>0</v>
      </c>
      <c r="AR19" s="114">
        <f t="shared" si="16"/>
        <v>0</v>
      </c>
      <c r="AS19" s="114">
        <f t="shared" si="17"/>
        <v>0</v>
      </c>
      <c r="AT19" s="114">
        <f t="shared" si="18"/>
        <v>0</v>
      </c>
      <c r="AU19" s="115">
        <f t="shared" si="19"/>
        <v>0</v>
      </c>
      <c r="AW19" s="335">
        <f t="shared" si="20"/>
        <v>0</v>
      </c>
      <c r="AX19" s="335">
        <f t="shared" si="21"/>
        <v>0</v>
      </c>
      <c r="AY19" s="335">
        <f t="shared" si="22"/>
        <v>0</v>
      </c>
      <c r="BA19" s="4" t="s">
        <v>453</v>
      </c>
      <c r="BB19" s="49">
        <f>(BB16+BE19/2)*0</f>
        <v>0</v>
      </c>
      <c r="BD19" s="254" t="s">
        <v>744</v>
      </c>
      <c r="BE19" s="95">
        <f>BE17*BE15</f>
        <v>10.6118244</v>
      </c>
      <c r="BF19" s="37">
        <f>BE19/2</f>
        <v>5.3059121999999999</v>
      </c>
      <c r="BQ19"/>
      <c r="BR19"/>
      <c r="BS19"/>
      <c r="BT19"/>
      <c r="CY19" s="37"/>
      <c r="CZ19" s="37"/>
    </row>
    <row r="20" spans="1:104" ht="37.5" customHeight="1">
      <c r="A20" s="862" t="s">
        <v>796</v>
      </c>
      <c r="B20" s="930" t="s">
        <v>1145</v>
      </c>
      <c r="C20" s="217"/>
      <c r="D20" s="209"/>
      <c r="E20" s="114"/>
      <c r="F20" s="114">
        <f>Basic_CostCmt!F91/100</f>
        <v>0.18846018581250001</v>
      </c>
      <c r="G20" s="114"/>
      <c r="H20" s="114"/>
      <c r="I20" s="114"/>
      <c r="J20" s="114"/>
      <c r="K20" s="114"/>
      <c r="L20" s="114">
        <f>Basic_CostCmt!F58/100</f>
        <v>2.4580000000000002</v>
      </c>
      <c r="M20" s="114"/>
      <c r="N20" s="114"/>
      <c r="O20" s="114"/>
      <c r="P20" s="114">
        <f>Basic_CostCmt!F81/100</f>
        <v>3.2509626086956532E-2</v>
      </c>
      <c r="Q20" s="115">
        <f>Basic_CostCmt!F70/100</f>
        <v>0.54068404521739144</v>
      </c>
      <c r="R20" s="114">
        <f t="shared" si="1"/>
        <v>2.2615222297500001E-2</v>
      </c>
      <c r="S20" s="114">
        <f t="shared" si="2"/>
        <v>0.49160000000000004</v>
      </c>
      <c r="T20" s="114">
        <f t="shared" si="3"/>
        <v>0</v>
      </c>
      <c r="U20" s="114">
        <f>Basic_CostCmt!F85/100</f>
        <v>0.13750000000000001</v>
      </c>
      <c r="V20" s="114">
        <f>$BB$39*(D20+J20+N20+$BB$47*(D20+J20+N20)+F20+K20+L20+M20+O20+P20+R20+S20+T20+U20)*0</f>
        <v>0</v>
      </c>
      <c r="W20" s="114">
        <f>$BB$40*(D20+J20+N20+$BB$47*(D20+J20+N20)+F20+K20+L20+M20+O20+P20+Q20+R20+S20+T20+U20)*0</f>
        <v>0</v>
      </c>
      <c r="X20" s="114">
        <f t="shared" ref="X20" si="24">$BB$41*(D20+J20+N20+$BB$47*(D20+J20+N20)+F20+K20+L20+M20+O20+P20+Q20+R20+S20+T20+U20)</f>
        <v>0.19356845397071742</v>
      </c>
      <c r="Y20" s="114">
        <f t="shared" si="4"/>
        <v>9.6784226985358712E-2</v>
      </c>
      <c r="Z20" s="114">
        <f t="shared" si="5"/>
        <v>0</v>
      </c>
      <c r="AA20" s="114">
        <f t="shared" si="6"/>
        <v>0</v>
      </c>
      <c r="AB20" s="114">
        <f t="shared" si="7"/>
        <v>0.22498920371625</v>
      </c>
      <c r="AC20" s="114">
        <f t="shared" si="8"/>
        <v>0</v>
      </c>
      <c r="AD20" s="114">
        <f t="shared" si="9"/>
        <v>0</v>
      </c>
      <c r="AE20" s="114">
        <f t="shared" si="10"/>
        <v>0</v>
      </c>
      <c r="AF20" s="348">
        <f t="shared" si="11"/>
        <v>0</v>
      </c>
      <c r="AG20" s="114">
        <f t="shared" si="12"/>
        <v>0</v>
      </c>
      <c r="AH20" s="209">
        <f t="shared" si="13"/>
        <v>0.47636283344625002</v>
      </c>
      <c r="AI20" s="114">
        <f t="shared" si="14"/>
        <v>0.29582397923198672</v>
      </c>
      <c r="AJ20" s="114"/>
      <c r="AK20" s="114"/>
      <c r="AL20" s="114"/>
      <c r="AM20" s="114"/>
      <c r="AN20" s="114"/>
      <c r="AO20" s="114"/>
      <c r="AP20" s="114"/>
      <c r="AQ20" s="114">
        <f>+$BB$73*(D20+E20+H20+J20+N20+V20+W20+Z20+AK20+AM20+AO20)</f>
        <v>0</v>
      </c>
      <c r="AR20" s="114">
        <f t="shared" si="16"/>
        <v>0.25794488883824557</v>
      </c>
      <c r="AS20" s="114">
        <f>(D20+E20+H20+J20+N20+V20+W20+Z20+AK20+AM20+AO20+AQ20)</f>
        <v>0</v>
      </c>
      <c r="AT20" s="114">
        <f t="shared" si="18"/>
        <v>5.4168426656031574</v>
      </c>
      <c r="AU20" s="115">
        <f t="shared" si="19"/>
        <v>5.4168426656031574</v>
      </c>
      <c r="AW20" s="335">
        <f t="shared" si="20"/>
        <v>5.0621135497795526</v>
      </c>
      <c r="AX20" s="335">
        <f t="shared" si="21"/>
        <v>0.21065707998258462</v>
      </c>
      <c r="AY20" s="335">
        <f t="shared" si="22"/>
        <v>4.8514564697969682</v>
      </c>
      <c r="BA20" s="4"/>
      <c r="BB20" s="49"/>
      <c r="BD20" s="254"/>
      <c r="BE20" s="95"/>
      <c r="BQ20"/>
      <c r="BR20"/>
      <c r="BS20"/>
      <c r="BT20"/>
      <c r="CY20" s="37"/>
      <c r="CZ20" s="37"/>
    </row>
    <row r="21" spans="1:104" s="897" customFormat="1" ht="75.75" customHeight="1">
      <c r="A21" s="911">
        <v>1</v>
      </c>
      <c r="B21" s="912" t="s">
        <v>90</v>
      </c>
      <c r="C21" s="913"/>
      <c r="D21" s="914">
        <f>SUM(D17:D20)</f>
        <v>0</v>
      </c>
      <c r="E21" s="915">
        <f>SUM(E17:E20)</f>
        <v>0</v>
      </c>
      <c r="F21" s="915">
        <f t="shared" ref="F21:AT21" si="25">SUM(F17:F20)</f>
        <v>33.643682523312506</v>
      </c>
      <c r="G21" s="915">
        <f t="shared" si="25"/>
        <v>0</v>
      </c>
      <c r="H21" s="915">
        <f t="shared" si="25"/>
        <v>0</v>
      </c>
      <c r="I21" s="915">
        <f t="shared" si="25"/>
        <v>0</v>
      </c>
      <c r="J21" s="915">
        <f t="shared" si="25"/>
        <v>0</v>
      </c>
      <c r="K21" s="915">
        <f t="shared" si="25"/>
        <v>0</v>
      </c>
      <c r="L21" s="915">
        <f t="shared" si="25"/>
        <v>2.4580000000000002</v>
      </c>
      <c r="M21" s="915">
        <f t="shared" si="25"/>
        <v>0</v>
      </c>
      <c r="N21" s="915">
        <f t="shared" si="25"/>
        <v>0</v>
      </c>
      <c r="O21" s="915">
        <f t="shared" si="25"/>
        <v>0</v>
      </c>
      <c r="P21" s="915">
        <f t="shared" si="25"/>
        <v>3.2509626086956532E-2</v>
      </c>
      <c r="Q21" s="915">
        <f t="shared" si="25"/>
        <v>0.54068404521739144</v>
      </c>
      <c r="R21" s="915">
        <f t="shared" si="25"/>
        <v>4.6412419027974998</v>
      </c>
      <c r="S21" s="915">
        <f t="shared" si="25"/>
        <v>0.49160000000000004</v>
      </c>
      <c r="T21" s="915">
        <f t="shared" si="25"/>
        <v>0</v>
      </c>
      <c r="U21" s="915">
        <f t="shared" si="25"/>
        <v>1.0375000000000001</v>
      </c>
      <c r="V21" s="915">
        <f t="shared" si="25"/>
        <v>0</v>
      </c>
      <c r="W21" s="915">
        <f t="shared" si="25"/>
        <v>0</v>
      </c>
      <c r="X21" s="915">
        <f t="shared" si="25"/>
        <v>2.1422609048707177</v>
      </c>
      <c r="Y21" s="915">
        <f t="shared" si="25"/>
        <v>1.0711304524353589</v>
      </c>
      <c r="Z21" s="915">
        <f t="shared" si="25"/>
        <v>0</v>
      </c>
      <c r="AA21" s="915">
        <f t="shared" si="25"/>
        <v>0</v>
      </c>
      <c r="AB21" s="915">
        <f t="shared" si="25"/>
        <v>0.89409365046625011</v>
      </c>
      <c r="AC21" s="915">
        <f t="shared" si="25"/>
        <v>0</v>
      </c>
      <c r="AD21" s="915">
        <f t="shared" si="25"/>
        <v>0</v>
      </c>
      <c r="AE21" s="915">
        <f t="shared" si="25"/>
        <v>0</v>
      </c>
      <c r="AF21" s="915">
        <f t="shared" si="25"/>
        <v>0</v>
      </c>
      <c r="AG21" s="916">
        <f t="shared" si="25"/>
        <v>0</v>
      </c>
      <c r="AH21" s="915">
        <f t="shared" si="25"/>
        <v>6.4983028541962504</v>
      </c>
      <c r="AI21" s="915">
        <f t="shared" si="25"/>
        <v>1.7603802232989869</v>
      </c>
      <c r="AJ21" s="915">
        <f t="shared" si="25"/>
        <v>0</v>
      </c>
      <c r="AK21" s="915">
        <f t="shared" si="25"/>
        <v>0</v>
      </c>
      <c r="AL21" s="915">
        <f t="shared" si="25"/>
        <v>0</v>
      </c>
      <c r="AM21" s="915">
        <f t="shared" si="25"/>
        <v>0</v>
      </c>
      <c r="AN21" s="915">
        <f t="shared" si="25"/>
        <v>0</v>
      </c>
      <c r="AO21" s="915">
        <f t="shared" si="25"/>
        <v>0</v>
      </c>
      <c r="AP21" s="915">
        <f t="shared" si="25"/>
        <v>0</v>
      </c>
      <c r="AQ21" s="915">
        <f t="shared" si="25"/>
        <v>0</v>
      </c>
      <c r="AR21" s="915">
        <f t="shared" si="25"/>
        <v>2.7605693091340955</v>
      </c>
      <c r="AS21" s="915">
        <f t="shared" si="25"/>
        <v>0</v>
      </c>
      <c r="AT21" s="915">
        <f t="shared" si="25"/>
        <v>57.971955491816004</v>
      </c>
      <c r="AU21" s="1121">
        <f>SUM(AU17:AU20)*'Fin. Summary'!E22</f>
        <v>57.971955491816004</v>
      </c>
      <c r="AW21" s="1793">
        <f t="shared" si="20"/>
        <v>54.140255730246544</v>
      </c>
      <c r="AX21" s="1793">
        <f t="shared" si="21"/>
        <v>7.5351533447995847</v>
      </c>
      <c r="AY21" s="1793">
        <f t="shared" si="22"/>
        <v>46.605102385446962</v>
      </c>
      <c r="BA21" s="244" t="s">
        <v>450</v>
      </c>
      <c r="BB21" s="917">
        <f>BB13+BE21/2</f>
        <v>0</v>
      </c>
      <c r="BD21" s="918" t="s">
        <v>745</v>
      </c>
      <c r="BE21" s="897">
        <f>BE17*BE14</f>
        <v>0</v>
      </c>
      <c r="BQ21" s="919"/>
      <c r="BR21" s="919"/>
      <c r="BS21" s="919"/>
      <c r="BT21" s="919"/>
    </row>
    <row r="22" spans="1:104" ht="53.25" customHeight="1">
      <c r="A22" s="231">
        <v>2</v>
      </c>
      <c r="B22" s="864" t="s">
        <v>18</v>
      </c>
      <c r="C22" s="215"/>
      <c r="D22" s="210"/>
      <c r="E22" s="101"/>
      <c r="F22" s="101"/>
      <c r="G22" s="101"/>
      <c r="H22" s="101"/>
      <c r="I22" s="101"/>
      <c r="J22" s="101"/>
      <c r="K22" s="101"/>
      <c r="L22" s="101"/>
      <c r="M22" s="101"/>
      <c r="N22" s="101"/>
      <c r="O22" s="101"/>
      <c r="P22" s="101"/>
      <c r="Q22" s="204"/>
      <c r="R22" s="101"/>
      <c r="S22" s="101"/>
      <c r="T22" s="101"/>
      <c r="U22" s="101"/>
      <c r="V22" s="101"/>
      <c r="W22" s="101"/>
      <c r="X22" s="101"/>
      <c r="Y22" s="101"/>
      <c r="Z22" s="101"/>
      <c r="AA22" s="101"/>
      <c r="AB22" s="101"/>
      <c r="AC22" s="101"/>
      <c r="AD22" s="101"/>
      <c r="AE22" s="101"/>
      <c r="AF22" s="101"/>
      <c r="AG22" s="101"/>
      <c r="AH22" s="210"/>
      <c r="AI22" s="101"/>
      <c r="AJ22" s="101"/>
      <c r="AK22" s="101"/>
      <c r="AL22" s="101"/>
      <c r="AM22" s="101"/>
      <c r="AN22" s="101"/>
      <c r="AO22" s="101"/>
      <c r="AP22" s="101"/>
      <c r="AQ22" s="101"/>
      <c r="AR22" s="101"/>
      <c r="AS22" s="101"/>
      <c r="AT22" s="101">
        <f>+BL14</f>
        <v>3.5870147460561155</v>
      </c>
      <c r="AU22" s="204">
        <f>+AT22+AS22</f>
        <v>3.5870147460561155</v>
      </c>
      <c r="BA22" s="4" t="s">
        <v>571</v>
      </c>
      <c r="BB22" s="49">
        <f>BB12+BE22/2</f>
        <v>0</v>
      </c>
      <c r="BD22" s="611" t="s">
        <v>746</v>
      </c>
      <c r="BE22" s="37">
        <f>BE17*BE13</f>
        <v>0</v>
      </c>
      <c r="BF22" s="13"/>
      <c r="BM22" s="38"/>
      <c r="BQ22"/>
      <c r="BR22"/>
      <c r="BS22"/>
      <c r="BT22"/>
      <c r="CY22" s="37"/>
      <c r="CZ22" s="37"/>
    </row>
    <row r="23" spans="1:104" s="74" customFormat="1" ht="27.75" customHeight="1">
      <c r="A23" s="231">
        <v>3</v>
      </c>
      <c r="B23" s="866" t="s">
        <v>196</v>
      </c>
      <c r="C23" s="102"/>
      <c r="D23" s="205">
        <f>SUM(D21:D22)</f>
        <v>0</v>
      </c>
      <c r="E23" s="103">
        <f>SUM(E21:E22)</f>
        <v>0</v>
      </c>
      <c r="F23" s="103">
        <f t="shared" ref="F23:Q23" si="26">SUM(F21:F22)</f>
        <v>33.643682523312506</v>
      </c>
      <c r="G23" s="103">
        <f t="shared" si="26"/>
        <v>0</v>
      </c>
      <c r="H23" s="103">
        <f t="shared" si="26"/>
        <v>0</v>
      </c>
      <c r="I23" s="103">
        <f t="shared" si="26"/>
        <v>0</v>
      </c>
      <c r="J23" s="103">
        <f t="shared" si="26"/>
        <v>0</v>
      </c>
      <c r="K23" s="103">
        <f t="shared" si="26"/>
        <v>0</v>
      </c>
      <c r="L23" s="103">
        <f t="shared" si="26"/>
        <v>2.4580000000000002</v>
      </c>
      <c r="M23" s="103">
        <f t="shared" si="26"/>
        <v>0</v>
      </c>
      <c r="N23" s="103">
        <f t="shared" si="26"/>
        <v>0</v>
      </c>
      <c r="O23" s="103">
        <f t="shared" si="26"/>
        <v>0</v>
      </c>
      <c r="P23" s="103">
        <f t="shared" si="26"/>
        <v>3.2509626086956532E-2</v>
      </c>
      <c r="Q23" s="104">
        <f t="shared" si="26"/>
        <v>0.54068404521739144</v>
      </c>
      <c r="R23" s="103">
        <f t="shared" ref="R23:AT23" si="27">SUM(R21:R22)</f>
        <v>4.6412419027974998</v>
      </c>
      <c r="S23" s="103">
        <f t="shared" si="27"/>
        <v>0.49160000000000004</v>
      </c>
      <c r="T23" s="103">
        <f t="shared" si="27"/>
        <v>0</v>
      </c>
      <c r="U23" s="103">
        <f t="shared" si="27"/>
        <v>1.0375000000000001</v>
      </c>
      <c r="V23" s="103">
        <f t="shared" si="27"/>
        <v>0</v>
      </c>
      <c r="W23" s="103">
        <f t="shared" si="27"/>
        <v>0</v>
      </c>
      <c r="X23" s="103">
        <f t="shared" si="27"/>
        <v>2.1422609048707177</v>
      </c>
      <c r="Y23" s="103">
        <f t="shared" si="27"/>
        <v>1.0711304524353589</v>
      </c>
      <c r="Z23" s="103">
        <f t="shared" si="27"/>
        <v>0</v>
      </c>
      <c r="AA23" s="103">
        <f t="shared" si="27"/>
        <v>0</v>
      </c>
      <c r="AB23" s="103">
        <f t="shared" si="27"/>
        <v>0.89409365046625011</v>
      </c>
      <c r="AC23" s="103">
        <f t="shared" si="27"/>
        <v>0</v>
      </c>
      <c r="AD23" s="103">
        <f t="shared" si="27"/>
        <v>0</v>
      </c>
      <c r="AE23" s="103">
        <f t="shared" si="27"/>
        <v>0</v>
      </c>
      <c r="AF23" s="103">
        <f t="shared" si="27"/>
        <v>0</v>
      </c>
      <c r="AG23" s="103">
        <f t="shared" si="27"/>
        <v>0</v>
      </c>
      <c r="AH23" s="205">
        <f t="shared" si="27"/>
        <v>6.4983028541962504</v>
      </c>
      <c r="AI23" s="103">
        <f t="shared" si="27"/>
        <v>1.7603802232989869</v>
      </c>
      <c r="AJ23" s="103">
        <f t="shared" si="27"/>
        <v>0</v>
      </c>
      <c r="AK23" s="103">
        <f t="shared" si="27"/>
        <v>0</v>
      </c>
      <c r="AL23" s="352">
        <f t="shared" si="27"/>
        <v>0</v>
      </c>
      <c r="AM23" s="103">
        <f t="shared" si="27"/>
        <v>0</v>
      </c>
      <c r="AN23" s="103">
        <f t="shared" si="27"/>
        <v>0</v>
      </c>
      <c r="AO23" s="103">
        <f t="shared" si="27"/>
        <v>0</v>
      </c>
      <c r="AP23" s="103">
        <f t="shared" si="27"/>
        <v>0</v>
      </c>
      <c r="AQ23" s="103">
        <f t="shared" si="27"/>
        <v>0</v>
      </c>
      <c r="AR23" s="103">
        <f t="shared" si="27"/>
        <v>2.7605693091340955</v>
      </c>
      <c r="AS23" s="356">
        <f t="shared" si="27"/>
        <v>0</v>
      </c>
      <c r="AT23" s="356">
        <f t="shared" si="27"/>
        <v>61.558970237872117</v>
      </c>
      <c r="AU23" s="355">
        <f>SUM(AU21:AU22)</f>
        <v>61.558970237872117</v>
      </c>
      <c r="AV23" s="37"/>
      <c r="AW23" s="232"/>
      <c r="AX23" s="37"/>
      <c r="AZ23" s="37"/>
      <c r="BA23" s="37"/>
      <c r="BB23" s="37">
        <f>BB22-BB12</f>
        <v>0</v>
      </c>
      <c r="BC23" s="37"/>
      <c r="BD23" s="37"/>
      <c r="BE23" s="37"/>
      <c r="BF23" s="37"/>
      <c r="BG23" s="13"/>
      <c r="BH23" s="37"/>
      <c r="BI23" s="37"/>
      <c r="BJ23" s="37"/>
      <c r="BK23" s="37"/>
      <c r="BL23" s="37"/>
      <c r="BM23" s="37"/>
      <c r="BN23" s="37"/>
      <c r="BO23" s="37"/>
      <c r="BP23" s="37"/>
      <c r="BQ23"/>
      <c r="BR23"/>
      <c r="BS23"/>
      <c r="BT23"/>
      <c r="BU23" s="37"/>
      <c r="BV23" s="37"/>
      <c r="BW23" s="37"/>
      <c r="BX23" s="37"/>
      <c r="BY23" s="37"/>
      <c r="BZ23" s="37"/>
      <c r="CA23" s="37"/>
      <c r="CB23" s="37"/>
      <c r="CC23" s="37"/>
      <c r="CD23" s="37"/>
      <c r="CE23" s="37"/>
      <c r="CF23" s="37"/>
      <c r="CG23" s="37"/>
      <c r="CH23" s="37"/>
      <c r="CI23" s="37"/>
      <c r="CJ23" s="37"/>
      <c r="CK23" s="37"/>
      <c r="CL23" s="37"/>
      <c r="CM23" s="37"/>
      <c r="CN23" s="37"/>
      <c r="CO23" s="37"/>
      <c r="CP23" s="37"/>
      <c r="CQ23" s="37"/>
    </row>
    <row r="24" spans="1:104" ht="21.75" customHeight="1">
      <c r="A24" s="231">
        <v>4</v>
      </c>
      <c r="B24" s="865" t="s">
        <v>435</v>
      </c>
      <c r="C24" s="102"/>
      <c r="D24" s="205"/>
      <c r="E24" s="349">
        <f>E21</f>
        <v>0</v>
      </c>
      <c r="F24" s="103"/>
      <c r="G24" s="349">
        <f>G21</f>
        <v>0</v>
      </c>
      <c r="H24" s="103"/>
      <c r="I24" s="103"/>
      <c r="J24" s="349">
        <f t="shared" ref="J24:M24" si="28">J21</f>
        <v>0</v>
      </c>
      <c r="K24" s="349">
        <f t="shared" si="28"/>
        <v>0</v>
      </c>
      <c r="L24" s="349">
        <f t="shared" si="28"/>
        <v>2.4580000000000002</v>
      </c>
      <c r="M24" s="349">
        <f t="shared" si="28"/>
        <v>0</v>
      </c>
      <c r="N24" s="103"/>
      <c r="O24" s="103"/>
      <c r="P24" s="103"/>
      <c r="Q24" s="350">
        <f t="shared" ref="Q24:X24" si="29">Q21</f>
        <v>0.54068404521739144</v>
      </c>
      <c r="R24" s="349">
        <f t="shared" si="29"/>
        <v>4.6412419027974998</v>
      </c>
      <c r="S24" s="349">
        <f>S21-$BB$31*(L21+M21)</f>
        <v>0</v>
      </c>
      <c r="T24" s="349">
        <f t="shared" si="29"/>
        <v>0</v>
      </c>
      <c r="U24" s="103"/>
      <c r="V24" s="349">
        <f t="shared" si="29"/>
        <v>0</v>
      </c>
      <c r="W24" s="349">
        <f t="shared" si="29"/>
        <v>0</v>
      </c>
      <c r="X24" s="349">
        <f t="shared" si="29"/>
        <v>2.1422609048707177</v>
      </c>
      <c r="Y24" s="103"/>
      <c r="Z24" s="103"/>
      <c r="AA24" s="349">
        <f t="shared" ref="AA24:AG24" si="30">AA21</f>
        <v>0</v>
      </c>
      <c r="AB24" s="833">
        <f>AB21-$BB$58*L24*0</f>
        <v>0.89409365046625011</v>
      </c>
      <c r="AC24" s="103"/>
      <c r="AD24" s="351">
        <f t="shared" si="30"/>
        <v>0</v>
      </c>
      <c r="AE24" s="349">
        <f t="shared" si="30"/>
        <v>0</v>
      </c>
      <c r="AF24" s="103"/>
      <c r="AG24" s="357">
        <f t="shared" si="30"/>
        <v>0</v>
      </c>
      <c r="AH24" s="351">
        <f>AH21-$BB$66*(L24+M24)</f>
        <v>6.05586285419625</v>
      </c>
      <c r="AI24" s="832">
        <f>$BB$67*(Q24+R24+T24+$BB$31*(J24+K24)+X24+AL24+AN24+AP24)+$BB$68*(AA24+AB24)</f>
        <v>1.4792904906033346</v>
      </c>
      <c r="AJ24" s="103"/>
      <c r="AK24" s="354">
        <f t="shared" ref="AK24:AP24" si="31">AK21</f>
        <v>0</v>
      </c>
      <c r="AL24" s="349">
        <f t="shared" si="31"/>
        <v>0</v>
      </c>
      <c r="AM24" s="354">
        <f t="shared" si="31"/>
        <v>0</v>
      </c>
      <c r="AN24" s="354">
        <f t="shared" si="31"/>
        <v>0</v>
      </c>
      <c r="AO24" s="354">
        <f t="shared" si="31"/>
        <v>0</v>
      </c>
      <c r="AP24" s="354">
        <f t="shared" si="31"/>
        <v>0</v>
      </c>
      <c r="AQ24" s="103"/>
      <c r="AR24" s="103"/>
      <c r="AS24" s="103"/>
      <c r="AT24" s="103">
        <f>AD24+AG24+AH24+AI24</f>
        <v>7.5351533447995847</v>
      </c>
      <c r="AU24" s="1120">
        <f>(+AT24+AS24)*'Fin. Summary'!E22</f>
        <v>7.5351533447995847</v>
      </c>
      <c r="AV24" s="37">
        <f>AD24+AH24+AI24</f>
        <v>7.5351533447995847</v>
      </c>
      <c r="AW24" s="37">
        <f>AV24-AT24</f>
        <v>0</v>
      </c>
      <c r="AX24" s="4" t="s">
        <v>249</v>
      </c>
      <c r="BA24" s="37" t="s">
        <v>15</v>
      </c>
      <c r="BB24" s="37">
        <f>BB19-BB16</f>
        <v>-80.989999999999995</v>
      </c>
      <c r="BF24" s="14"/>
      <c r="BQ24"/>
      <c r="BR24"/>
      <c r="BS24"/>
      <c r="BT24"/>
      <c r="CY24" s="37"/>
      <c r="CZ24" s="37"/>
    </row>
    <row r="25" spans="1:104" ht="26.25" customHeight="1">
      <c r="A25" s="231">
        <v>5</v>
      </c>
      <c r="B25" s="866" t="s">
        <v>424</v>
      </c>
      <c r="C25" s="102"/>
      <c r="D25" s="205"/>
      <c r="E25" s="103"/>
      <c r="F25" s="103"/>
      <c r="G25" s="103"/>
      <c r="H25" s="103"/>
      <c r="I25" s="103"/>
      <c r="J25" s="103"/>
      <c r="K25" s="103"/>
      <c r="L25" s="103"/>
      <c r="M25" s="103"/>
      <c r="N25" s="103"/>
      <c r="O25" s="103"/>
      <c r="P25" s="103"/>
      <c r="Q25" s="104"/>
      <c r="R25" s="103"/>
      <c r="S25" s="103"/>
      <c r="T25" s="103"/>
      <c r="U25" s="103"/>
      <c r="V25" s="103"/>
      <c r="W25" s="103"/>
      <c r="X25" s="103"/>
      <c r="Y25" s="103"/>
      <c r="Z25" s="103"/>
      <c r="AA25" s="103"/>
      <c r="AB25" s="103"/>
      <c r="AC25" s="103"/>
      <c r="AD25" s="103"/>
      <c r="AE25" s="103"/>
      <c r="AF25" s="103"/>
      <c r="AG25" s="103"/>
      <c r="AH25" s="205"/>
      <c r="AI25" s="103"/>
      <c r="AJ25" s="103"/>
      <c r="AK25" s="103"/>
      <c r="AL25" s="353"/>
      <c r="AM25" s="103"/>
      <c r="AN25" s="103"/>
      <c r="AO25" s="103"/>
      <c r="AP25" s="103"/>
      <c r="AQ25" s="103"/>
      <c r="AR25" s="103"/>
      <c r="AS25" s="103"/>
      <c r="AT25" s="103"/>
      <c r="AU25" s="355">
        <f>+AU23-AU24</f>
        <v>54.023816893072535</v>
      </c>
      <c r="BA25" s="37" t="s">
        <v>16</v>
      </c>
      <c r="BQ25"/>
      <c r="BR25"/>
      <c r="BS25"/>
      <c r="BT25"/>
      <c r="CY25" s="37"/>
      <c r="CZ25" s="37"/>
    </row>
    <row r="26" spans="1:104" ht="20.100000000000001" customHeight="1">
      <c r="A26" s="75"/>
      <c r="BA26" s="37" t="s">
        <v>17</v>
      </c>
      <c r="BB26" s="37">
        <v>0</v>
      </c>
      <c r="BG26" s="40"/>
      <c r="BH26" s="40"/>
      <c r="BJ26" s="40"/>
      <c r="BQ26" s="38"/>
      <c r="BR26" s="38"/>
      <c r="BS26" s="38"/>
      <c r="BT26" s="38"/>
      <c r="CY26" s="37"/>
      <c r="CZ26" s="37"/>
    </row>
    <row r="27" spans="1:104" ht="15.6">
      <c r="D27" s="4" t="s">
        <v>329</v>
      </c>
      <c r="J27" s="37">
        <f>F21+I21+L21+Q21+U21</f>
        <v>37.679866568529896</v>
      </c>
      <c r="K27" s="37">
        <f>AU25/J27</f>
        <v>1.4337581794462366</v>
      </c>
      <c r="P27" s="13"/>
      <c r="AB27" s="271" t="s">
        <v>786</v>
      </c>
      <c r="AE27" s="13"/>
      <c r="AF27" s="13"/>
      <c r="AT27" s="13"/>
      <c r="BH27" s="40"/>
      <c r="BJ27" s="41"/>
      <c r="BL27" s="38"/>
      <c r="BQ27" s="76"/>
      <c r="BS27" s="76"/>
      <c r="CY27" s="37"/>
      <c r="CZ27" s="37"/>
    </row>
    <row r="28" spans="1:104">
      <c r="L28" s="1"/>
      <c r="AS28" s="4"/>
      <c r="AT28" s="100">
        <f>AT27-AU28</f>
        <v>-54.023816893072535</v>
      </c>
      <c r="AU28">
        <f>AU25</f>
        <v>54.023816893072535</v>
      </c>
      <c r="BA28" s="37" t="s">
        <v>19</v>
      </c>
      <c r="BB28" s="36" t="s">
        <v>20</v>
      </c>
      <c r="BC28" s="5" t="s">
        <v>21</v>
      </c>
      <c r="BD28" s="36"/>
      <c r="BE28" s="36"/>
      <c r="BG28" s="38"/>
      <c r="BH28" s="38"/>
      <c r="BI28" s="38"/>
      <c r="BJ28" s="38"/>
      <c r="BK28" s="38"/>
      <c r="BP28" s="38"/>
      <c r="CY28" s="37"/>
      <c r="CZ28" s="37"/>
    </row>
    <row r="29" spans="1:104">
      <c r="K29" s="1"/>
      <c r="W29" s="4" t="s">
        <v>566</v>
      </c>
      <c r="X29" s="37">
        <f>AU25/(SUM(D17:Q17)+U17+V17+SUM(AK17:AP17))</f>
        <v>1.5725066879891367</v>
      </c>
      <c r="AS29" s="4"/>
      <c r="AU29"/>
      <c r="BA29" s="37" t="s">
        <v>22</v>
      </c>
      <c r="BB29" s="77">
        <v>0.12</v>
      </c>
      <c r="BC29" s="834">
        <v>0.06</v>
      </c>
      <c r="BE29" s="4" t="s">
        <v>612</v>
      </c>
      <c r="BM29" s="38"/>
      <c r="CY29" s="37"/>
      <c r="CZ29" s="37"/>
    </row>
    <row r="30" spans="1:104">
      <c r="C30" s="4" t="s">
        <v>542</v>
      </c>
      <c r="D30" s="4" t="s">
        <v>543</v>
      </c>
      <c r="E30" s="4" t="s">
        <v>544</v>
      </c>
      <c r="F30" s="4" t="s">
        <v>545</v>
      </c>
      <c r="G30" s="4" t="s">
        <v>538</v>
      </c>
      <c r="H30" s="4" t="s">
        <v>539</v>
      </c>
      <c r="I30" s="4" t="s">
        <v>540</v>
      </c>
      <c r="J30" s="4" t="s">
        <v>541</v>
      </c>
      <c r="K30" s="4" t="s">
        <v>210</v>
      </c>
      <c r="L30" s="1" t="s">
        <v>456</v>
      </c>
      <c r="M30" s="4" t="s">
        <v>551</v>
      </c>
      <c r="N30" s="4" t="s">
        <v>421</v>
      </c>
      <c r="O30" s="4" t="s">
        <v>557</v>
      </c>
      <c r="P30" s="4" t="s">
        <v>558</v>
      </c>
      <c r="Q30" s="4" t="s">
        <v>559</v>
      </c>
      <c r="R30" s="4" t="s">
        <v>560</v>
      </c>
      <c r="AU30"/>
      <c r="BA30" s="37" t="s">
        <v>23</v>
      </c>
      <c r="BB30" s="77"/>
      <c r="CY30" s="37"/>
      <c r="CZ30" s="37"/>
    </row>
    <row r="31" spans="1:104">
      <c r="B31" s="4" t="s">
        <v>525</v>
      </c>
      <c r="C31" s="37">
        <f>D21</f>
        <v>0</v>
      </c>
      <c r="D31" s="37">
        <f>$BB$47*C31</f>
        <v>0</v>
      </c>
      <c r="E31" s="37">
        <f>$BB$51*(C31+D31)</f>
        <v>0</v>
      </c>
      <c r="G31" s="37">
        <f>$BC$29*(C31+D31)</f>
        <v>0</v>
      </c>
      <c r="H31" s="37">
        <f>$BB$38*(C31+D31+G31)</f>
        <v>0</v>
      </c>
      <c r="I31" s="37">
        <f>$BB$41*(C31+D31+G31)</f>
        <v>0</v>
      </c>
      <c r="J31" s="37">
        <f>$BB$38*(C31+D31+G31)</f>
        <v>0</v>
      </c>
      <c r="K31" s="37">
        <f>$BB$63*(C31+D31)</f>
        <v>0</v>
      </c>
      <c r="L31" s="37">
        <f>$BB$71*K31</f>
        <v>0</v>
      </c>
      <c r="M31" s="37">
        <f t="shared" ref="M31:M42" si="32">$BB$69*H31</f>
        <v>0</v>
      </c>
      <c r="N31" s="37">
        <f t="shared" ref="N31:N40" si="33">$BB$64*(C31+D31+K31+L31)</f>
        <v>0</v>
      </c>
      <c r="O31" s="37">
        <f>$BB$65*(H31+M31)</f>
        <v>0</v>
      </c>
      <c r="P31" s="37">
        <f>$BB$64*(E31+F31+G31+I31)</f>
        <v>0</v>
      </c>
      <c r="Q31" s="37">
        <f>$BB$73*(C31+D31+H31)</f>
        <v>0</v>
      </c>
      <c r="BA31" s="37" t="s">
        <v>27</v>
      </c>
      <c r="BB31" s="77">
        <v>0.2</v>
      </c>
      <c r="BE31" s="4"/>
      <c r="BF31" s="77"/>
      <c r="BG31" s="40"/>
      <c r="BM31" s="38"/>
      <c r="CY31" s="37"/>
      <c r="CZ31" s="37"/>
    </row>
    <row r="32" spans="1:104">
      <c r="B32" s="4" t="s">
        <v>526</v>
      </c>
      <c r="C32" s="37">
        <f>F21</f>
        <v>33.643682523312506</v>
      </c>
      <c r="F32" s="579">
        <f>$BB$56*C32</f>
        <v>0.67287365046625014</v>
      </c>
      <c r="G32" s="37">
        <f>$BB$29*C32</f>
        <v>4.0372419027975006</v>
      </c>
      <c r="H32" s="37">
        <f t="shared" ref="H32:H40" si="34">$BB$38*(C32+D32+G32)</f>
        <v>0.94202311065275035</v>
      </c>
      <c r="I32" s="37">
        <f t="shared" ref="I32:I40" si="35">$BB$41*(C32+D32+G32)</f>
        <v>1.8840462213055007</v>
      </c>
      <c r="J32" s="37">
        <f t="shared" ref="J32:J42" si="36">$BB$38*(C32+D32+G32)</f>
        <v>0.94202311065275035</v>
      </c>
      <c r="M32" s="37">
        <f t="shared" si="32"/>
        <v>0.10466923451697227</v>
      </c>
      <c r="N32" s="37">
        <f t="shared" si="33"/>
        <v>6.0558628541962509</v>
      </c>
      <c r="O32" s="37">
        <f>$BB$65*(H32+M32)</f>
        <v>0.18840462213055004</v>
      </c>
      <c r="P32" s="37">
        <f t="shared" ref="P32:P44" si="37">$BB$64*(E32+F32+G32+I32)</f>
        <v>1.1869491194224651</v>
      </c>
      <c r="R32" s="42"/>
      <c r="BA32" s="37" t="s">
        <v>31</v>
      </c>
      <c r="BB32" s="77"/>
      <c r="BF32" s="77"/>
      <c r="BG32" s="40"/>
      <c r="CY32" s="37"/>
      <c r="CZ32" s="37"/>
    </row>
    <row r="33" spans="1:104">
      <c r="B33" s="7" t="s">
        <v>527</v>
      </c>
      <c r="C33" s="37">
        <f>H21</f>
        <v>0</v>
      </c>
      <c r="D33" s="37">
        <f>$BB$47*C33</f>
        <v>0</v>
      </c>
      <c r="E33" s="37">
        <f>$BB$51*(C33+D33)</f>
        <v>0</v>
      </c>
      <c r="K33" s="37">
        <f>$BB$63*(C33+D33)</f>
        <v>0</v>
      </c>
      <c r="L33" s="50">
        <f>$BB$71*K33</f>
        <v>0</v>
      </c>
      <c r="M33" s="50">
        <f t="shared" si="32"/>
        <v>0</v>
      </c>
      <c r="N33" s="37">
        <f t="shared" si="33"/>
        <v>0</v>
      </c>
      <c r="P33" s="37">
        <f t="shared" si="37"/>
        <v>0</v>
      </c>
      <c r="Q33" s="37">
        <f>$BB$73*(C33+D33+H33)</f>
        <v>0</v>
      </c>
      <c r="R33" s="8"/>
      <c r="S33" s="8"/>
      <c r="BA33" s="37" t="s">
        <v>32</v>
      </c>
      <c r="BB33" s="77">
        <v>0.12</v>
      </c>
      <c r="BE33"/>
      <c r="BF33"/>
      <c r="BG33"/>
      <c r="BH33"/>
      <c r="BI33"/>
      <c r="BJ33"/>
      <c r="BK33"/>
      <c r="BL33"/>
      <c r="BR33" s="37" t="s">
        <v>0</v>
      </c>
      <c r="CY33" s="37"/>
      <c r="CZ33" s="37"/>
    </row>
    <row r="34" spans="1:104" ht="15.75" customHeight="1">
      <c r="B34" s="7" t="s">
        <v>528</v>
      </c>
      <c r="C34" s="37">
        <f>I21</f>
        <v>0</v>
      </c>
      <c r="E34" s="9"/>
      <c r="F34" s="579">
        <f>$BB$56*C34</f>
        <v>0</v>
      </c>
      <c r="G34" s="23"/>
      <c r="K34" s="11"/>
      <c r="L34" s="11"/>
      <c r="M34" s="37">
        <f t="shared" si="32"/>
        <v>0</v>
      </c>
      <c r="N34" s="37">
        <f t="shared" si="33"/>
        <v>0</v>
      </c>
      <c r="P34" s="37">
        <f t="shared" si="37"/>
        <v>0</v>
      </c>
      <c r="R34" s="8"/>
      <c r="S34" s="8"/>
      <c r="BA34" s="37" t="s">
        <v>33</v>
      </c>
      <c r="BB34" s="77"/>
      <c r="BE34"/>
      <c r="BF34"/>
      <c r="BG34"/>
      <c r="BH34"/>
      <c r="BI34"/>
      <c r="BJ34"/>
      <c r="BK34"/>
      <c r="BL34"/>
      <c r="CY34" s="37"/>
      <c r="CZ34" s="37"/>
    </row>
    <row r="35" spans="1:104" ht="15.6">
      <c r="A35" s="13"/>
      <c r="B35" s="7" t="s">
        <v>529</v>
      </c>
      <c r="C35" s="37">
        <f>J21</f>
        <v>0</v>
      </c>
      <c r="D35" s="37">
        <f>$BB$47*C35</f>
        <v>0</v>
      </c>
      <c r="E35" s="5">
        <f>$BB$53*(C35+D35)</f>
        <v>0</v>
      </c>
      <c r="F35" s="10"/>
      <c r="G35" s="580">
        <f>$BB$31*(C35+D35)</f>
        <v>0</v>
      </c>
      <c r="H35" s="37">
        <f t="shared" si="34"/>
        <v>0</v>
      </c>
      <c r="I35" s="37">
        <f t="shared" si="35"/>
        <v>0</v>
      </c>
      <c r="J35" s="37">
        <f t="shared" si="36"/>
        <v>0</v>
      </c>
      <c r="K35" s="37">
        <f>$BB$63*(C35+D35)</f>
        <v>0</v>
      </c>
      <c r="L35" s="37">
        <f>$BB$71*K35</f>
        <v>0</v>
      </c>
      <c r="M35" s="50">
        <f t="shared" si="32"/>
        <v>0</v>
      </c>
      <c r="N35" s="37">
        <f t="shared" si="33"/>
        <v>0</v>
      </c>
      <c r="O35" s="37">
        <f t="shared" ref="O35:O42" si="38">$BB$65*(H35+M35)</f>
        <v>0</v>
      </c>
      <c r="P35" s="37">
        <f t="shared" si="37"/>
        <v>0</v>
      </c>
      <c r="Q35" s="37">
        <f>$BB$73*(C35+D35+H35)</f>
        <v>0</v>
      </c>
      <c r="R35" s="8"/>
      <c r="S35" s="8"/>
      <c r="BB35" s="77"/>
      <c r="BE35"/>
      <c r="BF35"/>
      <c r="BG35"/>
      <c r="BH35"/>
      <c r="BI35"/>
      <c r="BJ35"/>
      <c r="BK35"/>
      <c r="BL35"/>
      <c r="CY35" s="37"/>
      <c r="CZ35" s="37"/>
    </row>
    <row r="36" spans="1:104" ht="15.6">
      <c r="A36" s="13"/>
      <c r="B36" s="7" t="s">
        <v>530</v>
      </c>
      <c r="C36" s="13">
        <f>K21</f>
        <v>0</v>
      </c>
      <c r="D36" s="13"/>
      <c r="E36" s="9"/>
      <c r="F36" s="5">
        <f>$BB$58*C36</f>
        <v>0</v>
      </c>
      <c r="G36" s="580">
        <f>$BB$31*(C36+D36)</f>
        <v>0</v>
      </c>
      <c r="H36" s="37">
        <f t="shared" si="34"/>
        <v>0</v>
      </c>
      <c r="I36" s="37">
        <f t="shared" si="35"/>
        <v>0</v>
      </c>
      <c r="J36" s="37">
        <f t="shared" si="36"/>
        <v>0</v>
      </c>
      <c r="K36" s="4"/>
      <c r="L36" s="4"/>
      <c r="M36" s="37">
        <f t="shared" si="32"/>
        <v>0</v>
      </c>
      <c r="N36" s="37">
        <f t="shared" si="33"/>
        <v>0</v>
      </c>
      <c r="O36" s="37">
        <f t="shared" si="38"/>
        <v>0</v>
      </c>
      <c r="P36" s="37">
        <f t="shared" si="37"/>
        <v>0</v>
      </c>
      <c r="Q36" s="13"/>
      <c r="R36" s="13"/>
      <c r="S36" s="4"/>
      <c r="T36" s="13"/>
      <c r="U36" s="13"/>
      <c r="V36" s="13"/>
      <c r="W36" s="13"/>
      <c r="X36" s="13"/>
      <c r="Y36" s="4"/>
      <c r="Z36" s="4"/>
      <c r="AA36" s="4"/>
      <c r="AB36" s="4"/>
      <c r="AC36" s="4"/>
      <c r="AD36" s="4"/>
      <c r="AE36" s="4"/>
      <c r="AF36" s="4"/>
      <c r="AG36" s="4"/>
      <c r="AH36" s="4"/>
      <c r="AI36" s="4"/>
      <c r="AJ36" s="4"/>
      <c r="AK36" s="4"/>
      <c r="AL36" s="4"/>
      <c r="AM36" s="4"/>
      <c r="AN36" s="4"/>
      <c r="AO36" s="13"/>
      <c r="AP36" s="13"/>
      <c r="AQ36" s="13"/>
      <c r="AR36" s="4"/>
      <c r="AS36" s="13"/>
      <c r="AT36" s="13"/>
      <c r="AU36" s="13"/>
      <c r="BA36" s="37" t="s">
        <v>35</v>
      </c>
      <c r="BB36" s="77"/>
      <c r="BE36"/>
      <c r="BF36"/>
      <c r="BG36"/>
      <c r="BH36"/>
      <c r="BI36"/>
      <c r="BJ36"/>
      <c r="BK36"/>
      <c r="BL36"/>
      <c r="CY36" s="37"/>
      <c r="CZ36" s="37"/>
    </row>
    <row r="37" spans="1:104" ht="15.6">
      <c r="A37" s="19"/>
      <c r="B37" s="203" t="s">
        <v>531</v>
      </c>
      <c r="C37" s="18">
        <f>L21</f>
        <v>2.4580000000000002</v>
      </c>
      <c r="D37" s="16"/>
      <c r="E37" s="16"/>
      <c r="F37" s="5">
        <f>$BB$58*C37</f>
        <v>0.22122</v>
      </c>
      <c r="G37" s="580">
        <f>$BB$31*(C37+D37)</f>
        <v>0.49160000000000004</v>
      </c>
      <c r="H37" s="37">
        <f t="shared" si="34"/>
        <v>7.3740000000000014E-2</v>
      </c>
      <c r="I37" s="37">
        <f t="shared" si="35"/>
        <v>0.14748000000000003</v>
      </c>
      <c r="J37" s="37">
        <f t="shared" si="36"/>
        <v>7.3740000000000014E-2</v>
      </c>
      <c r="K37" s="16"/>
      <c r="L37" s="16"/>
      <c r="M37" s="37">
        <f t="shared" si="32"/>
        <v>8.1933333333333355E-3</v>
      </c>
      <c r="N37" s="37">
        <f t="shared" si="33"/>
        <v>0.44244</v>
      </c>
      <c r="O37" s="37">
        <f t="shared" si="38"/>
        <v>1.4748000000000001E-2</v>
      </c>
      <c r="P37" s="37">
        <f t="shared" si="37"/>
        <v>0.15485400000000002</v>
      </c>
      <c r="Q37" s="19"/>
      <c r="R37" s="16"/>
      <c r="S37" s="16"/>
      <c r="T37" s="16"/>
      <c r="U37" s="16"/>
      <c r="V37" s="2336"/>
      <c r="W37" s="2338"/>
      <c r="X37" s="2338"/>
      <c r="Y37" s="2338"/>
      <c r="Z37" s="16"/>
      <c r="AA37" s="16"/>
      <c r="AB37" s="16"/>
      <c r="AC37" s="78"/>
      <c r="AD37" s="78"/>
      <c r="AE37" s="78"/>
      <c r="AF37" s="78"/>
      <c r="AG37" s="79"/>
      <c r="AH37" s="78"/>
      <c r="AI37" s="78"/>
      <c r="AJ37" s="78"/>
      <c r="AK37" s="16"/>
      <c r="AL37" s="16"/>
      <c r="AM37" s="16"/>
      <c r="AN37" s="16"/>
      <c r="AO37" s="16"/>
      <c r="AP37" s="16"/>
      <c r="AQ37" s="16"/>
      <c r="AR37" s="16"/>
      <c r="AS37" s="13"/>
      <c r="AT37" s="4"/>
      <c r="AU37" s="4"/>
      <c r="BA37" s="37" t="s">
        <v>36</v>
      </c>
      <c r="BB37" s="77">
        <v>0</v>
      </c>
      <c r="BE37"/>
      <c r="BF37"/>
      <c r="BG37"/>
      <c r="BH37"/>
      <c r="BI37"/>
      <c r="BJ37"/>
      <c r="BK37"/>
      <c r="BL37"/>
      <c r="CY37" s="37"/>
      <c r="CZ37" s="37"/>
    </row>
    <row r="38" spans="1:104" ht="15.6">
      <c r="A38" s="13"/>
      <c r="B38" s="203" t="s">
        <v>532</v>
      </c>
      <c r="C38" s="18">
        <f>M21</f>
        <v>0</v>
      </c>
      <c r="D38" s="16"/>
      <c r="E38" s="16"/>
      <c r="F38" s="16"/>
      <c r="G38" s="580">
        <f>$BB$31*(C38+D38)</f>
        <v>0</v>
      </c>
      <c r="H38" s="37">
        <f t="shared" si="34"/>
        <v>0</v>
      </c>
      <c r="I38" s="37">
        <f t="shared" si="35"/>
        <v>0</v>
      </c>
      <c r="J38" s="37">
        <f t="shared" si="36"/>
        <v>0</v>
      </c>
      <c r="K38" s="16"/>
      <c r="L38" s="16"/>
      <c r="M38" s="37">
        <f t="shared" si="32"/>
        <v>0</v>
      </c>
      <c r="N38" s="37">
        <f t="shared" si="33"/>
        <v>0</v>
      </c>
      <c r="O38" s="37">
        <f t="shared" si="38"/>
        <v>0</v>
      </c>
      <c r="P38" s="37">
        <f t="shared" si="37"/>
        <v>0</v>
      </c>
      <c r="Q38" s="16"/>
      <c r="R38" s="16"/>
      <c r="S38" s="16"/>
      <c r="T38" s="80"/>
      <c r="U38" s="16"/>
      <c r="V38" s="16"/>
      <c r="W38" s="8"/>
      <c r="X38" s="2336"/>
      <c r="Y38" s="2337"/>
      <c r="Z38" s="16"/>
      <c r="AA38" s="16"/>
      <c r="AB38" s="16"/>
      <c r="AC38" s="16"/>
      <c r="AD38" s="16"/>
      <c r="AE38" s="19"/>
      <c r="AF38" s="19"/>
      <c r="AG38" s="19"/>
      <c r="AH38" s="19"/>
      <c r="AI38" s="19"/>
      <c r="AJ38" s="16"/>
      <c r="AK38" s="13"/>
      <c r="AL38" s="13"/>
      <c r="AM38" s="13"/>
      <c r="AN38" s="13"/>
      <c r="AO38" s="13"/>
      <c r="AP38" s="13"/>
      <c r="AQ38" s="13"/>
      <c r="AR38" s="4"/>
      <c r="AS38" s="16"/>
      <c r="AT38" s="16"/>
      <c r="AU38" s="16"/>
      <c r="BA38" s="4" t="s">
        <v>379</v>
      </c>
      <c r="BB38" s="835">
        <f>(2.5)%</f>
        <v>2.5000000000000001E-2</v>
      </c>
      <c r="BC38" s="4" t="s">
        <v>785</v>
      </c>
      <c r="BE38"/>
      <c r="BF38"/>
      <c r="BG38"/>
      <c r="BH38"/>
      <c r="BI38"/>
      <c r="BJ38"/>
      <c r="BK38"/>
      <c r="BL38"/>
      <c r="CI38" s="5"/>
      <c r="CJ38" s="5"/>
      <c r="CY38" s="37"/>
      <c r="CZ38" s="37"/>
    </row>
    <row r="39" spans="1:104" ht="15.6">
      <c r="A39" s="13"/>
      <c r="B39" s="2" t="s">
        <v>533</v>
      </c>
      <c r="C39" s="13">
        <f>N21</f>
        <v>0</v>
      </c>
      <c r="D39" s="37">
        <f>$BB$47*C39</f>
        <v>0</v>
      </c>
      <c r="E39" s="5">
        <f>$BB$53*(C39+D39)</f>
        <v>0</v>
      </c>
      <c r="F39" s="19"/>
      <c r="G39" s="5">
        <f>$BB$33*(C39+D39)</f>
        <v>0</v>
      </c>
      <c r="H39" s="37">
        <f t="shared" si="34"/>
        <v>0</v>
      </c>
      <c r="I39" s="37">
        <f t="shared" si="35"/>
        <v>0</v>
      </c>
      <c r="J39" s="37">
        <f t="shared" si="36"/>
        <v>0</v>
      </c>
      <c r="K39" s="37">
        <f>$BB$63*(C39+D39)</f>
        <v>0</v>
      </c>
      <c r="L39" s="37">
        <f>$BB$71*K39</f>
        <v>0</v>
      </c>
      <c r="M39" s="50">
        <f t="shared" si="32"/>
        <v>0</v>
      </c>
      <c r="N39" s="37">
        <f t="shared" si="33"/>
        <v>0</v>
      </c>
      <c r="O39" s="37">
        <f t="shared" si="38"/>
        <v>0</v>
      </c>
      <c r="P39" s="37">
        <f t="shared" si="37"/>
        <v>0</v>
      </c>
      <c r="Q39" s="37">
        <f>$BB$73*(C39+D39+H39)</f>
        <v>0</v>
      </c>
      <c r="R39" s="13"/>
      <c r="S39" s="13"/>
      <c r="T39" s="13"/>
      <c r="U39" s="13"/>
      <c r="V39" s="13"/>
      <c r="W39" s="13"/>
      <c r="X39" s="13"/>
      <c r="Y39" s="13"/>
      <c r="Z39" s="19"/>
      <c r="AA39" s="19"/>
      <c r="AB39" s="19"/>
      <c r="AC39" s="16"/>
      <c r="AD39" s="16"/>
      <c r="AE39" s="19"/>
      <c r="AF39" s="19"/>
      <c r="AG39" s="19"/>
      <c r="AH39" s="19"/>
      <c r="AI39" s="19"/>
      <c r="AJ39" s="13"/>
      <c r="AK39" s="19"/>
      <c r="AL39" s="19"/>
      <c r="AM39" s="13"/>
      <c r="AN39" s="13"/>
      <c r="AO39" s="19"/>
      <c r="AP39" s="19"/>
      <c r="AQ39" s="13"/>
      <c r="AR39" s="13"/>
      <c r="AS39" s="13"/>
      <c r="AT39" s="13"/>
      <c r="AU39" s="13"/>
      <c r="BA39" s="4" t="s">
        <v>310</v>
      </c>
      <c r="BB39" s="835">
        <f>1%</f>
        <v>0.01</v>
      </c>
      <c r="BE39"/>
      <c r="BF39"/>
      <c r="BG39"/>
      <c r="BH39"/>
      <c r="BI39"/>
      <c r="BJ39"/>
      <c r="BK39"/>
      <c r="BL39"/>
      <c r="CI39" s="5"/>
      <c r="CJ39" s="5"/>
      <c r="CY39" s="37"/>
      <c r="CZ39" s="37"/>
    </row>
    <row r="40" spans="1:104" ht="15.6">
      <c r="A40" s="13"/>
      <c r="B40" s="2" t="s">
        <v>534</v>
      </c>
      <c r="C40" s="4">
        <f>O21</f>
        <v>0</v>
      </c>
      <c r="D40" s="19"/>
      <c r="E40" s="19"/>
      <c r="F40" s="5">
        <f>$BB$58*C40</f>
        <v>0</v>
      </c>
      <c r="G40" s="5">
        <f>$BB$33*(C40+D40)</f>
        <v>0</v>
      </c>
      <c r="H40" s="37">
        <f t="shared" si="34"/>
        <v>0</v>
      </c>
      <c r="I40" s="37">
        <f t="shared" si="35"/>
        <v>0</v>
      </c>
      <c r="J40" s="37">
        <f t="shared" si="36"/>
        <v>0</v>
      </c>
      <c r="K40" s="19"/>
      <c r="L40" s="19"/>
      <c r="M40" s="37">
        <f t="shared" si="32"/>
        <v>0</v>
      </c>
      <c r="N40" s="37">
        <f t="shared" si="33"/>
        <v>0</v>
      </c>
      <c r="O40" s="37">
        <f t="shared" si="38"/>
        <v>0</v>
      </c>
      <c r="P40" s="37">
        <f t="shared" si="37"/>
        <v>0</v>
      </c>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9"/>
      <c r="AS40" s="19"/>
      <c r="AT40" s="19"/>
      <c r="AU40" s="19"/>
      <c r="BA40" s="37" t="s">
        <v>40</v>
      </c>
      <c r="BB40" s="835">
        <f>2.5%</f>
        <v>2.5000000000000001E-2</v>
      </c>
      <c r="BF40" s="76"/>
      <c r="CI40" s="5"/>
      <c r="CJ40" s="5"/>
      <c r="CY40" s="37"/>
      <c r="CZ40" s="37"/>
    </row>
    <row r="41" spans="1:104" ht="15.6">
      <c r="A41" s="19"/>
      <c r="B41" s="2" t="s">
        <v>535</v>
      </c>
      <c r="C41" s="18">
        <f>P17</f>
        <v>0</v>
      </c>
      <c r="D41" s="19"/>
      <c r="E41" s="19"/>
      <c r="F41" s="19"/>
      <c r="G41" s="19"/>
      <c r="H41" s="37">
        <f t="shared" ref="H41:H42" si="39">$BB$38*(C41+D41+G41)</f>
        <v>0</v>
      </c>
      <c r="I41" s="37">
        <f t="shared" ref="I41:I42" si="40">$BB$41*(C41+D41+G41)</f>
        <v>0</v>
      </c>
      <c r="J41" s="37">
        <f t="shared" si="36"/>
        <v>0</v>
      </c>
      <c r="K41" s="19"/>
      <c r="L41" s="19"/>
      <c r="M41" s="37">
        <f t="shared" si="32"/>
        <v>0</v>
      </c>
      <c r="N41" s="19"/>
      <c r="O41" s="37">
        <f t="shared" si="38"/>
        <v>0</v>
      </c>
      <c r="P41" s="37">
        <f>$BB$64*(C41+E41+F41+G41+I41)</f>
        <v>0</v>
      </c>
      <c r="Q41" s="19"/>
      <c r="R41" s="19"/>
      <c r="S41" s="41"/>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9"/>
      <c r="AS41" s="19"/>
      <c r="AT41" s="19"/>
      <c r="AU41" s="19"/>
      <c r="BA41" s="37" t="s">
        <v>42</v>
      </c>
      <c r="BB41" s="835">
        <v>0.05</v>
      </c>
      <c r="BF41" s="76"/>
      <c r="CI41" s="5"/>
      <c r="CJ41" s="5"/>
      <c r="CY41" s="37"/>
      <c r="CZ41" s="37"/>
    </row>
    <row r="42" spans="1:104" ht="14.1" customHeight="1">
      <c r="A42" s="2"/>
      <c r="B42" s="2" t="s">
        <v>536</v>
      </c>
      <c r="C42" s="2">
        <f>Q17</f>
        <v>0</v>
      </c>
      <c r="D42" s="3"/>
      <c r="E42" s="3"/>
      <c r="F42" s="3"/>
      <c r="G42" s="3"/>
      <c r="H42" s="37">
        <f t="shared" si="39"/>
        <v>0</v>
      </c>
      <c r="I42" s="37">
        <f t="shared" si="40"/>
        <v>0</v>
      </c>
      <c r="J42" s="37">
        <f t="shared" si="36"/>
        <v>0</v>
      </c>
      <c r="K42" s="3"/>
      <c r="L42" s="3"/>
      <c r="M42" s="37">
        <f t="shared" si="32"/>
        <v>0</v>
      </c>
      <c r="N42" s="3"/>
      <c r="O42" s="37">
        <f t="shared" si="38"/>
        <v>0</v>
      </c>
      <c r="P42" s="37">
        <f>$BB$64*(C42+E42+F42+G42+I42)</f>
        <v>0</v>
      </c>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BB42" s="77"/>
      <c r="CI42" s="5"/>
      <c r="CJ42" s="5"/>
      <c r="CY42" s="37"/>
      <c r="CZ42" s="37"/>
    </row>
    <row r="43" spans="1:104" ht="15.6">
      <c r="A43" s="75"/>
      <c r="B43" s="203" t="s">
        <v>310</v>
      </c>
      <c r="C43" s="81">
        <f>V17</f>
        <v>0</v>
      </c>
      <c r="M43" s="50">
        <f>$BB$69*C43</f>
        <v>0</v>
      </c>
      <c r="O43" s="37">
        <f>$BB$65*(C43+M43)</f>
        <v>0</v>
      </c>
      <c r="P43" s="37">
        <f t="shared" si="37"/>
        <v>0</v>
      </c>
      <c r="Q43" s="37">
        <f>$BB$73*(C43+D43+H43)</f>
        <v>0</v>
      </c>
      <c r="BB43" s="77">
        <f>(BB40+BB41+BB39+BB38)*0+11%</f>
        <v>0.11</v>
      </c>
      <c r="BK43" s="47"/>
      <c r="CI43" s="5"/>
      <c r="CJ43" s="5"/>
      <c r="CY43" s="37"/>
      <c r="CZ43" s="37"/>
    </row>
    <row r="44" spans="1:104">
      <c r="A44" s="75"/>
      <c r="B44" s="7" t="s">
        <v>377</v>
      </c>
      <c r="C44" s="81">
        <f>AM17</f>
        <v>0</v>
      </c>
      <c r="M44" s="50">
        <f>$BB$69*C44</f>
        <v>0</v>
      </c>
      <c r="O44" s="37">
        <f>$BB$65*(C44+M44)</f>
        <v>0</v>
      </c>
      <c r="P44" s="37">
        <f t="shared" si="37"/>
        <v>0</v>
      </c>
      <c r="Q44" s="37">
        <f>$BB$73*(C44+D44+H44)</f>
        <v>0</v>
      </c>
      <c r="BB44" s="77"/>
      <c r="BH44" s="38"/>
      <c r="CI44" s="5"/>
      <c r="CJ44" s="5"/>
      <c r="CY44" s="37"/>
      <c r="CZ44" s="37"/>
    </row>
    <row r="45" spans="1:104">
      <c r="A45" s="82"/>
      <c r="B45" s="578" t="s">
        <v>116</v>
      </c>
      <c r="C45" s="37">
        <f>U17</f>
        <v>0.9</v>
      </c>
      <c r="H45" s="37">
        <f>$BB$38*(C45+D45+G45)</f>
        <v>2.2500000000000003E-2</v>
      </c>
      <c r="I45" s="37">
        <f t="shared" ref="I45" si="41">$BB$41*(C45+D45+G45)</f>
        <v>4.5000000000000005E-2</v>
      </c>
      <c r="J45" s="37">
        <f t="shared" ref="J45" si="42">$BB$38*(C45+D45+G45)</f>
        <v>2.2500000000000003E-2</v>
      </c>
      <c r="M45" s="50">
        <f>$BB$69*H45</f>
        <v>2.5000000000000005E-3</v>
      </c>
      <c r="O45" s="37">
        <f>$BB$65*(H45+M45)</f>
        <v>4.4999999999999997E-3</v>
      </c>
      <c r="P45" s="37">
        <f>$BB$64*(C45+E45+F45+G45+I45)</f>
        <v>0.1701</v>
      </c>
      <c r="BA45" s="37" t="s">
        <v>43</v>
      </c>
      <c r="BB45" s="77"/>
      <c r="CI45" s="5"/>
      <c r="CJ45" s="5"/>
      <c r="CY45" s="37"/>
      <c r="CZ45" s="37"/>
    </row>
    <row r="46" spans="1:104">
      <c r="A46" s="82"/>
      <c r="B46" s="578" t="s">
        <v>550</v>
      </c>
      <c r="C46" s="37">
        <f>2*0</f>
        <v>0</v>
      </c>
      <c r="G46" s="580">
        <f>$BB$31*(C46+D46)</f>
        <v>0</v>
      </c>
      <c r="N46" s="37">
        <f>$BB$64*(C46+D46+K46+L46)</f>
        <v>0</v>
      </c>
      <c r="BB46" s="77"/>
      <c r="CI46" s="5"/>
      <c r="CJ46" s="5"/>
      <c r="CY46" s="37"/>
      <c r="CZ46" s="37"/>
    </row>
    <row r="47" spans="1:104">
      <c r="A47" s="75"/>
      <c r="B47" s="7" t="s">
        <v>537</v>
      </c>
      <c r="BA47" s="37" t="s">
        <v>44</v>
      </c>
      <c r="BB47" s="77">
        <v>7.0000000000000007E-2</v>
      </c>
      <c r="CI47" s="5"/>
      <c r="CJ47" s="5"/>
      <c r="CY47" s="37"/>
      <c r="CZ47" s="37"/>
    </row>
    <row r="48" spans="1:104">
      <c r="A48" s="75"/>
      <c r="B48" s="7" t="s">
        <v>546</v>
      </c>
      <c r="C48" s="37">
        <f>AK17</f>
        <v>0</v>
      </c>
      <c r="M48" s="50">
        <f>$BB$69*C48</f>
        <v>0</v>
      </c>
      <c r="O48" s="37">
        <f>$BB$65*(C48+M48)</f>
        <v>0</v>
      </c>
      <c r="P48" s="37">
        <f>$BB$64*(D48+E48+F48+G48+I48)</f>
        <v>0</v>
      </c>
      <c r="Q48" s="37">
        <f>$BB$73*(C48+D48+H48)</f>
        <v>0</v>
      </c>
      <c r="BA48" s="37" t="s">
        <v>45</v>
      </c>
      <c r="BB48" s="77"/>
      <c r="CI48" s="5"/>
      <c r="CJ48" s="5"/>
      <c r="CY48" s="37"/>
      <c r="CZ48" s="37"/>
    </row>
    <row r="49" spans="2:127">
      <c r="B49" s="7" t="s">
        <v>547</v>
      </c>
      <c r="C49" s="37">
        <f>AL17</f>
        <v>0</v>
      </c>
      <c r="P49" s="37">
        <f>$BB$64*(C49+E49+F49+G49+I49)</f>
        <v>0</v>
      </c>
      <c r="BA49" s="4" t="s">
        <v>311</v>
      </c>
      <c r="BB49" s="77"/>
      <c r="CI49" s="5"/>
      <c r="CJ49" s="5"/>
      <c r="CY49" s="37"/>
      <c r="CZ49" s="37"/>
    </row>
    <row r="50" spans="2:127" hidden="1">
      <c r="BA50" s="37" t="s">
        <v>46</v>
      </c>
      <c r="BB50" s="77"/>
      <c r="BH50" s="37" t="s">
        <v>194</v>
      </c>
      <c r="BI50" s="37" t="e">
        <f>+#REF!</f>
        <v>#REF!</v>
      </c>
      <c r="CI50" s="5"/>
      <c r="CJ50" s="5"/>
      <c r="CY50" s="37"/>
      <c r="CZ50" s="37"/>
    </row>
    <row r="51" spans="2:127">
      <c r="B51" s="7" t="s">
        <v>548</v>
      </c>
      <c r="C51" s="37">
        <f>AO17</f>
        <v>0</v>
      </c>
      <c r="M51" s="50">
        <f>$BB$69*C51</f>
        <v>0</v>
      </c>
      <c r="O51" s="37">
        <f>$BB$65*(C51+M51)</f>
        <v>0</v>
      </c>
      <c r="P51" s="37">
        <f>$BB$64*(D51+E51+F51+G51+I51)</f>
        <v>0</v>
      </c>
      <c r="Q51" s="37">
        <f>$BB$73*(C51+D51+H51)</f>
        <v>0</v>
      </c>
      <c r="BA51" s="37" t="s">
        <v>47</v>
      </c>
      <c r="BB51" s="77">
        <v>0.03</v>
      </c>
      <c r="BH51"/>
      <c r="BI51"/>
      <c r="BJ51"/>
      <c r="BK51"/>
      <c r="BL51"/>
      <c r="BM51"/>
      <c r="CI51" s="5"/>
      <c r="CJ51" s="5"/>
      <c r="CY51" s="37"/>
      <c r="CZ51" s="37"/>
    </row>
    <row r="52" spans="2:127">
      <c r="B52" s="7" t="s">
        <v>549</v>
      </c>
      <c r="C52" s="37">
        <f>AP17</f>
        <v>0</v>
      </c>
      <c r="P52" s="37">
        <f>$BB$64*(C52+E52+F52+G52+I52)</f>
        <v>0</v>
      </c>
      <c r="BA52" s="37" t="s">
        <v>48</v>
      </c>
      <c r="BB52" s="77"/>
      <c r="BH52"/>
      <c r="BI52"/>
      <c r="BJ52"/>
      <c r="BK52"/>
      <c r="BL52"/>
      <c r="BM52"/>
      <c r="CI52" s="5"/>
      <c r="CJ52" s="5"/>
      <c r="CY52" s="37"/>
      <c r="CZ52" s="37"/>
    </row>
    <row r="53" spans="2:127">
      <c r="B53" s="5" t="s">
        <v>9</v>
      </c>
      <c r="H53" s="581">
        <f>SUM(H31:H52)</f>
        <v>1.0382631106527502</v>
      </c>
      <c r="I53" s="37">
        <f>SUM(I31:I52)</f>
        <v>2.0765262213055005</v>
      </c>
      <c r="M53" s="581">
        <f>SUM(M31:M52)</f>
        <v>0.1153625678503056</v>
      </c>
      <c r="N53" s="581">
        <f>SUM(N31:N52)</f>
        <v>6.4983028541962513</v>
      </c>
      <c r="O53" s="581">
        <f>SUM(O31:O52)</f>
        <v>0.20765262213055005</v>
      </c>
      <c r="P53" s="581">
        <f>SUM(P31:P52)</f>
        <v>1.511903119422465</v>
      </c>
      <c r="Q53" s="581">
        <f>SUM(Q31:Q52)</f>
        <v>0</v>
      </c>
      <c r="BA53" s="37" t="s">
        <v>49</v>
      </c>
      <c r="BB53" s="77">
        <v>0.1</v>
      </c>
      <c r="BH53"/>
      <c r="BI53"/>
      <c r="BJ53"/>
      <c r="BK53"/>
      <c r="BL53"/>
      <c r="BM53"/>
      <c r="CI53" s="5"/>
      <c r="CJ53" s="5"/>
      <c r="CK53" s="5"/>
      <c r="CY53" s="37"/>
      <c r="CZ53" s="37"/>
    </row>
    <row r="54" spans="2:127">
      <c r="B54" s="5"/>
      <c r="BB54" s="77"/>
      <c r="BH54"/>
      <c r="BI54"/>
      <c r="BJ54"/>
      <c r="BK54"/>
      <c r="BL54"/>
      <c r="BM54"/>
      <c r="CI54" s="5"/>
      <c r="CJ54" s="5"/>
      <c r="CK54" s="5"/>
      <c r="CY54" s="37"/>
      <c r="CZ54" s="37"/>
    </row>
    <row r="55" spans="2:127">
      <c r="B55" s="7"/>
      <c r="H55" s="37">
        <f>H53+I53</f>
        <v>3.1147893319582507</v>
      </c>
      <c r="BA55" s="37" t="s">
        <v>50</v>
      </c>
      <c r="BB55" s="77"/>
      <c r="BH55"/>
      <c r="BI55"/>
      <c r="BJ55"/>
      <c r="BK55"/>
      <c r="BL55"/>
      <c r="BM55"/>
      <c r="CI55" s="5"/>
      <c r="CJ55" s="5"/>
      <c r="CK55" s="5"/>
      <c r="CY55" s="37"/>
      <c r="CZ55" s="37"/>
    </row>
    <row r="56" spans="2:127">
      <c r="BA56" s="37" t="s">
        <v>51</v>
      </c>
      <c r="BB56" s="77">
        <v>0.02</v>
      </c>
      <c r="BH56"/>
      <c r="BI56"/>
      <c r="BJ56"/>
      <c r="BK56"/>
      <c r="BL56"/>
      <c r="BM56"/>
      <c r="CI56" s="5"/>
      <c r="CJ56" s="5"/>
      <c r="CK56" s="5"/>
      <c r="CY56" s="37"/>
      <c r="CZ56" s="37"/>
    </row>
    <row r="57" spans="2:127">
      <c r="BA57" s="37" t="s">
        <v>52</v>
      </c>
      <c r="BB57" s="77"/>
      <c r="BH57"/>
      <c r="BI57"/>
      <c r="BJ57"/>
      <c r="BK57"/>
      <c r="BL57"/>
      <c r="BM57"/>
      <c r="CI57" s="5"/>
      <c r="CJ57" s="5"/>
      <c r="CK57" s="5"/>
      <c r="CY57" s="37"/>
      <c r="CZ57" s="37"/>
    </row>
    <row r="58" spans="2:127">
      <c r="BA58" s="37" t="s">
        <v>53</v>
      </c>
      <c r="BB58" s="77">
        <v>0.09</v>
      </c>
      <c r="BH58"/>
      <c r="BI58"/>
      <c r="BJ58"/>
      <c r="BK58"/>
      <c r="BL58"/>
      <c r="BM58"/>
      <c r="CI58" s="5"/>
      <c r="CJ58" s="5"/>
      <c r="CK58" s="5"/>
      <c r="CY58" s="37"/>
      <c r="CZ58" s="37"/>
    </row>
    <row r="59" spans="2:127">
      <c r="BB59" s="77"/>
      <c r="BH59"/>
      <c r="BI59"/>
      <c r="BJ59"/>
      <c r="BK59"/>
      <c r="BL59"/>
      <c r="BM59"/>
      <c r="CI59" s="5"/>
      <c r="CJ59" s="5"/>
      <c r="CK59" s="5"/>
      <c r="CY59" s="37"/>
      <c r="CZ59" s="37"/>
    </row>
    <row r="60" spans="2:127">
      <c r="BB60" s="77"/>
      <c r="BH60"/>
      <c r="BI60"/>
      <c r="BJ60"/>
      <c r="BK60"/>
      <c r="BL60"/>
      <c r="BM60"/>
      <c r="CI60" s="5"/>
      <c r="CJ60" s="5"/>
      <c r="CK60" s="5"/>
      <c r="CY60" s="37"/>
      <c r="CZ60" s="37"/>
    </row>
    <row r="61" spans="2:127">
      <c r="B61" s="7"/>
      <c r="BA61" s="37" t="s">
        <v>54</v>
      </c>
      <c r="BB61" s="77"/>
      <c r="BH61"/>
      <c r="BI61"/>
      <c r="BJ61"/>
      <c r="BK61"/>
      <c r="BL61"/>
      <c r="BM61"/>
      <c r="CI61" s="5"/>
      <c r="CJ61" s="5"/>
      <c r="CK61" s="5"/>
      <c r="CY61" s="37"/>
      <c r="CZ61" s="37"/>
    </row>
    <row r="62" spans="2:127">
      <c r="B62" s="5"/>
      <c r="BA62" s="37" t="s">
        <v>56</v>
      </c>
      <c r="BB62" s="77"/>
      <c r="BH62"/>
      <c r="BI62"/>
      <c r="BJ62"/>
      <c r="BK62"/>
      <c r="BL62"/>
      <c r="BM62"/>
      <c r="CI62" s="5"/>
      <c r="CJ62" s="5"/>
      <c r="CK62" s="5"/>
      <c r="CY62" s="37"/>
      <c r="CZ62" s="37"/>
    </row>
    <row r="63" spans="2:127">
      <c r="B63" s="5"/>
      <c r="BA63" s="37" t="s">
        <v>210</v>
      </c>
      <c r="BB63" s="118">
        <v>7.4999999999999997E-2</v>
      </c>
      <c r="BH63"/>
      <c r="BI63"/>
      <c r="BJ63"/>
      <c r="BK63"/>
      <c r="BL63"/>
      <c r="BM63"/>
      <c r="CK63" s="5"/>
      <c r="CY63" s="37"/>
      <c r="CZ63" s="37"/>
      <c r="DB63" s="5"/>
      <c r="DG63" s="5"/>
      <c r="DI63" s="83">
        <v>5</v>
      </c>
      <c r="DJ63" s="37" t="s">
        <v>189</v>
      </c>
      <c r="DK63" s="83">
        <v>14</v>
      </c>
      <c r="DM63" s="37">
        <v>13</v>
      </c>
      <c r="DO63" s="84">
        <v>10</v>
      </c>
      <c r="DP63" s="85"/>
      <c r="DQ63" s="85"/>
      <c r="DR63" s="85" t="e">
        <f t="shared" ref="DR63:DR73" si="43">$DM$77</f>
        <v>#REF!</v>
      </c>
      <c r="DS63" s="85" t="e">
        <f>DR63+DQ63-DP63</f>
        <v>#REF!</v>
      </c>
      <c r="DT63" s="85"/>
      <c r="DU63" s="24"/>
      <c r="DV63" s="86"/>
      <c r="DW63" s="24"/>
    </row>
    <row r="64" spans="2:127" ht="15.9" customHeight="1">
      <c r="B64" s="5"/>
      <c r="BA64" s="4" t="s">
        <v>427</v>
      </c>
      <c r="BB64" s="836">
        <v>0.18</v>
      </c>
      <c r="BH64"/>
      <c r="BI64"/>
      <c r="BJ64"/>
      <c r="BK64"/>
      <c r="BL64"/>
      <c r="BM64"/>
      <c r="CY64" s="37"/>
      <c r="CZ64" s="37"/>
      <c r="DB64" s="5"/>
      <c r="DG64" s="5"/>
      <c r="DI64" s="83">
        <v>6</v>
      </c>
      <c r="DJ64" s="37" t="s">
        <v>190</v>
      </c>
      <c r="DM64" s="37">
        <v>14</v>
      </c>
      <c r="DO64" s="84">
        <v>11</v>
      </c>
      <c r="DP64" s="85"/>
      <c r="DQ64" s="85"/>
      <c r="DR64" s="85" t="e">
        <f t="shared" si="43"/>
        <v>#REF!</v>
      </c>
      <c r="DS64" s="85" t="e">
        <f>DR64+DQ64-DP64</f>
        <v>#REF!</v>
      </c>
      <c r="DU64" s="87" t="s">
        <v>178</v>
      </c>
      <c r="DV64" s="88" t="s">
        <v>163</v>
      </c>
      <c r="DW64" s="89" t="e">
        <f>DS76</f>
        <v>#VALUE!</v>
      </c>
    </row>
    <row r="65" spans="2:127" ht="17.100000000000001" customHeight="1">
      <c r="B65" s="5"/>
      <c r="BA65" s="4" t="s">
        <v>428</v>
      </c>
      <c r="BB65" s="836">
        <v>0.18</v>
      </c>
      <c r="BH65"/>
      <c r="BI65"/>
      <c r="BJ65"/>
      <c r="BK65"/>
      <c r="BL65"/>
      <c r="BM65"/>
      <c r="CY65" s="37"/>
      <c r="CZ65" s="37"/>
      <c r="DB65" s="5"/>
      <c r="DG65" s="5"/>
      <c r="DI65" s="75" t="s">
        <v>94</v>
      </c>
      <c r="DJ65" s="37" t="s">
        <v>170</v>
      </c>
      <c r="DL65" s="37" t="s">
        <v>172</v>
      </c>
      <c r="DO65" s="84">
        <v>12</v>
      </c>
      <c r="DP65" s="85"/>
      <c r="DQ65" s="85"/>
      <c r="DR65" s="85" t="e">
        <f t="shared" si="43"/>
        <v>#REF!</v>
      </c>
      <c r="DS65" s="85" t="e">
        <f>DR65+DQ65-DP65</f>
        <v>#REF!</v>
      </c>
      <c r="DU65" s="24"/>
      <c r="DV65" s="86"/>
      <c r="DW65" s="24"/>
    </row>
    <row r="66" spans="2:127">
      <c r="B66" s="5"/>
      <c r="BA66" s="4" t="s">
        <v>430</v>
      </c>
      <c r="BB66" s="837">
        <v>0.18</v>
      </c>
      <c r="BH66"/>
      <c r="BI66"/>
      <c r="BJ66"/>
      <c r="BK66"/>
      <c r="BL66"/>
      <c r="BM66"/>
      <c r="CY66" s="37"/>
      <c r="CZ66" s="37"/>
      <c r="DB66" s="5"/>
      <c r="DC66" s="5"/>
      <c r="DD66" s="5"/>
      <c r="DE66" s="5"/>
      <c r="DF66" s="5"/>
      <c r="DG66" s="5"/>
      <c r="DI66" s="83">
        <v>1</v>
      </c>
      <c r="DJ66" s="37" t="s">
        <v>174</v>
      </c>
      <c r="DL66" s="37" t="s">
        <v>173</v>
      </c>
      <c r="DM66" s="83">
        <f>30*0.7*6*0.7*3*365</f>
        <v>96578.999999999985</v>
      </c>
      <c r="DO66" s="84">
        <v>13</v>
      </c>
      <c r="DP66" s="85"/>
      <c r="DQ66" s="85"/>
      <c r="DR66" s="85" t="e">
        <f t="shared" si="43"/>
        <v>#REF!</v>
      </c>
      <c r="DS66" s="85" t="e">
        <f>DR66+DQ66-DP66</f>
        <v>#REF!</v>
      </c>
      <c r="DU66" s="90" t="s">
        <v>179</v>
      </c>
      <c r="DV66" s="91" t="s">
        <v>180</v>
      </c>
      <c r="DW66" s="92" t="e">
        <f>DS77</f>
        <v>#REF!</v>
      </c>
    </row>
    <row r="67" spans="2:127">
      <c r="BA67" s="4" t="s">
        <v>432</v>
      </c>
      <c r="BB67" s="837">
        <v>0.18</v>
      </c>
      <c r="BH67"/>
      <c r="BI67"/>
      <c r="BJ67"/>
      <c r="BK67"/>
      <c r="BL67"/>
      <c r="BM67"/>
      <c r="CY67" s="37"/>
      <c r="CZ67" s="37"/>
      <c r="DB67" s="5"/>
      <c r="DC67" s="5"/>
      <c r="DD67" s="5"/>
      <c r="DE67" s="5"/>
      <c r="DF67" s="5"/>
      <c r="DG67" s="5"/>
      <c r="DI67" s="83">
        <v>2</v>
      </c>
      <c r="DJ67" s="37" t="s">
        <v>175</v>
      </c>
      <c r="DL67" s="37" t="s">
        <v>176</v>
      </c>
      <c r="DM67" s="37">
        <f>DM66*3.17/10^5</f>
        <v>3.0615542999999992</v>
      </c>
      <c r="DO67" s="84">
        <v>14</v>
      </c>
      <c r="DP67" s="85"/>
      <c r="DQ67" s="85"/>
      <c r="DR67" s="85" t="e">
        <f t="shared" si="43"/>
        <v>#REF!</v>
      </c>
      <c r="DS67" s="85" t="e">
        <f t="shared" ref="DS67:DS74" si="44">DR67+DQ67-DP67</f>
        <v>#REF!</v>
      </c>
      <c r="DU67" s="4"/>
      <c r="DV67" s="6"/>
      <c r="DW67" s="5"/>
    </row>
    <row r="68" spans="2:127">
      <c r="BA68" s="4" t="s">
        <v>433</v>
      </c>
      <c r="BB68" s="834">
        <v>0.18</v>
      </c>
      <c r="BH68"/>
      <c r="BI68"/>
      <c r="BJ68"/>
      <c r="BK68"/>
      <c r="BL68"/>
      <c r="BM68"/>
      <c r="CY68" s="37"/>
      <c r="CZ68" s="37"/>
      <c r="DB68" s="5"/>
      <c r="DC68" s="5"/>
      <c r="DD68" s="5"/>
      <c r="DE68" s="5"/>
      <c r="DF68" s="5"/>
      <c r="DG68" s="5"/>
      <c r="DI68" s="83">
        <v>3</v>
      </c>
      <c r="DJ68" s="37" t="s">
        <v>161</v>
      </c>
      <c r="DL68" s="37" t="s">
        <v>176</v>
      </c>
      <c r="DM68" s="37" t="e">
        <f>0.02*#REF!</f>
        <v>#REF!</v>
      </c>
      <c r="DO68" s="84">
        <v>15</v>
      </c>
      <c r="DP68" s="85"/>
      <c r="DQ68" s="85"/>
      <c r="DR68" s="85" t="e">
        <f t="shared" si="43"/>
        <v>#REF!</v>
      </c>
      <c r="DS68" s="85" t="e">
        <f t="shared" si="44"/>
        <v>#REF!</v>
      </c>
      <c r="DU68" s="7"/>
      <c r="DV68" s="6"/>
      <c r="DW68" s="5"/>
    </row>
    <row r="69" spans="2:127">
      <c r="BA69" s="37" t="s">
        <v>57</v>
      </c>
      <c r="BB69" s="929">
        <f>(0.1/(1-0.1))</f>
        <v>0.11111111111111112</v>
      </c>
      <c r="BC69" s="4"/>
      <c r="BH69"/>
      <c r="BI69"/>
      <c r="BJ69"/>
      <c r="BK69"/>
      <c r="BL69"/>
      <c r="BM69"/>
      <c r="CY69" s="37"/>
      <c r="CZ69" s="37"/>
      <c r="DB69" s="5"/>
      <c r="DC69" s="5"/>
      <c r="DD69" s="5"/>
      <c r="DE69" s="5"/>
      <c r="DF69" s="5"/>
      <c r="DG69" s="5"/>
      <c r="DI69" s="83"/>
      <c r="DJ69" s="37" t="s">
        <v>171</v>
      </c>
      <c r="DL69" s="37" t="s">
        <v>176</v>
      </c>
      <c r="DM69" s="37" t="e">
        <f>SUM(DM67:DM68)</f>
        <v>#REF!</v>
      </c>
      <c r="DO69" s="84">
        <v>16</v>
      </c>
      <c r="DP69" s="85"/>
      <c r="DQ69" s="85"/>
      <c r="DR69" s="85" t="e">
        <f t="shared" si="43"/>
        <v>#REF!</v>
      </c>
      <c r="DS69" s="85" t="e">
        <f t="shared" si="44"/>
        <v>#REF!</v>
      </c>
      <c r="DU69" s="4"/>
      <c r="DV69" s="6"/>
      <c r="DW69" s="5"/>
    </row>
    <row r="70" spans="2:127">
      <c r="BB70" s="77"/>
      <c r="BC70" s="117"/>
      <c r="BH70"/>
      <c r="BI70"/>
      <c r="BJ70"/>
      <c r="BK70"/>
      <c r="BL70"/>
      <c r="BM70"/>
      <c r="CY70" s="37"/>
      <c r="CZ70" s="37"/>
      <c r="DB70" s="36"/>
      <c r="DC70" s="36"/>
      <c r="DD70" s="36"/>
      <c r="DE70" s="36"/>
      <c r="DF70" s="36"/>
      <c r="DG70" s="36"/>
      <c r="DO70" s="84">
        <v>17</v>
      </c>
      <c r="DP70" s="85"/>
      <c r="DQ70" s="85"/>
      <c r="DR70" s="85" t="e">
        <f t="shared" si="43"/>
        <v>#REF!</v>
      </c>
      <c r="DS70" s="85" t="e">
        <f t="shared" si="44"/>
        <v>#REF!</v>
      </c>
    </row>
    <row r="71" spans="2:127">
      <c r="BA71" s="4" t="s">
        <v>458</v>
      </c>
      <c r="BB71" s="77">
        <v>0.1</v>
      </c>
      <c r="BH71"/>
      <c r="BI71"/>
      <c r="BJ71"/>
      <c r="BK71"/>
      <c r="BL71"/>
      <c r="BM71"/>
      <c r="CY71" s="37"/>
      <c r="CZ71" s="37"/>
      <c r="DB71" s="36"/>
      <c r="DC71" s="36"/>
      <c r="DD71" s="36"/>
      <c r="DE71" s="36"/>
      <c r="DF71" s="36"/>
      <c r="DG71" s="36"/>
      <c r="DI71" s="40" t="s">
        <v>95</v>
      </c>
      <c r="DJ71" s="37" t="s">
        <v>182</v>
      </c>
      <c r="DO71" s="84">
        <v>18</v>
      </c>
      <c r="DP71" s="85"/>
      <c r="DQ71" s="85"/>
      <c r="DR71" s="85" t="e">
        <f t="shared" si="43"/>
        <v>#REF!</v>
      </c>
      <c r="DS71" s="85" t="e">
        <f t="shared" si="44"/>
        <v>#REF!</v>
      </c>
    </row>
    <row r="72" spans="2:127">
      <c r="BA72" s="244" t="s">
        <v>455</v>
      </c>
      <c r="BB72" s="347">
        <v>0.04</v>
      </c>
      <c r="BH72"/>
      <c r="BI72"/>
      <c r="BJ72"/>
      <c r="BK72"/>
      <c r="BL72"/>
      <c r="BM72"/>
      <c r="CW72" s="36"/>
      <c r="CX72" s="93"/>
      <c r="DA72" s="36"/>
      <c r="DB72" s="36"/>
      <c r="DC72" s="36"/>
      <c r="DD72" s="36"/>
      <c r="DE72" s="36"/>
      <c r="DF72" s="36"/>
      <c r="DG72" s="36"/>
      <c r="DI72" s="83">
        <v>1</v>
      </c>
      <c r="DJ72" s="37" t="s">
        <v>191</v>
      </c>
      <c r="DL72" s="37" t="s">
        <v>176</v>
      </c>
      <c r="DM72" s="37" t="e">
        <f>CU59-DM69</f>
        <v>#REF!</v>
      </c>
      <c r="DO72" s="84">
        <v>19</v>
      </c>
      <c r="DP72" s="85"/>
      <c r="DQ72" s="85"/>
      <c r="DR72" s="85" t="e">
        <f t="shared" si="43"/>
        <v>#REF!</v>
      </c>
      <c r="DS72" s="85" t="e">
        <f t="shared" si="44"/>
        <v>#REF!</v>
      </c>
    </row>
    <row r="73" spans="2:127">
      <c r="BA73" s="37" t="s">
        <v>58</v>
      </c>
      <c r="BB73" s="273">
        <v>0.05</v>
      </c>
      <c r="BH73"/>
      <c r="BI73"/>
      <c r="BJ73"/>
      <c r="BK73"/>
      <c r="BL73"/>
      <c r="BM73"/>
      <c r="CW73" s="36"/>
      <c r="CX73" s="93"/>
      <c r="DA73" s="36"/>
      <c r="DB73" s="36"/>
      <c r="DC73" s="36"/>
      <c r="DD73" s="36"/>
      <c r="DE73" s="36"/>
      <c r="DF73" s="36"/>
      <c r="DG73" s="36"/>
      <c r="DI73" s="83">
        <v>2</v>
      </c>
      <c r="DJ73" s="37" t="s">
        <v>183</v>
      </c>
      <c r="DL73" s="37" t="s">
        <v>176</v>
      </c>
      <c r="DM73" s="37" t="e">
        <f>CU60-DM69</f>
        <v>#REF!</v>
      </c>
      <c r="DO73" s="84">
        <v>20</v>
      </c>
      <c r="DP73" s="85"/>
      <c r="DQ73" s="85"/>
      <c r="DR73" s="85" t="e">
        <f t="shared" si="43"/>
        <v>#REF!</v>
      </c>
      <c r="DS73" s="85" t="e">
        <f t="shared" si="44"/>
        <v>#REF!</v>
      </c>
    </row>
    <row r="74" spans="2:127">
      <c r="BB74" s="77"/>
      <c r="CS74" s="40"/>
      <c r="CW74" s="36"/>
      <c r="CX74" s="93"/>
      <c r="DA74" s="36"/>
      <c r="DB74" s="36"/>
      <c r="DC74" s="36"/>
      <c r="DD74" s="36"/>
      <c r="DE74" s="36"/>
      <c r="DF74" s="36"/>
      <c r="DG74" s="36"/>
      <c r="DI74" s="83">
        <v>3</v>
      </c>
      <c r="DJ74" s="37" t="s">
        <v>184</v>
      </c>
      <c r="DL74" s="37" t="s">
        <v>176</v>
      </c>
      <c r="DM74" s="37" t="e">
        <f>CU61-DM69</f>
        <v>#REF!</v>
      </c>
      <c r="DO74" s="84">
        <v>21</v>
      </c>
      <c r="DP74" s="85">
        <f>-CX54*0.05</f>
        <v>0</v>
      </c>
      <c r="DQ74" s="85"/>
      <c r="DR74" s="85" t="e">
        <f>$DM$77*9/12</f>
        <v>#REF!</v>
      </c>
      <c r="DS74" s="85" t="e">
        <f t="shared" si="44"/>
        <v>#REF!</v>
      </c>
    </row>
    <row r="75" spans="2:127">
      <c r="BB75" s="77"/>
      <c r="CW75" s="36"/>
      <c r="CX75" s="93"/>
      <c r="DA75" s="36"/>
      <c r="DB75" s="36"/>
      <c r="DC75" s="36"/>
      <c r="DD75" s="36"/>
      <c r="DE75" s="36"/>
      <c r="DF75" s="36"/>
      <c r="DG75" s="36"/>
      <c r="DI75" s="94">
        <v>4</v>
      </c>
      <c r="DJ75" s="95" t="s">
        <v>185</v>
      </c>
      <c r="DL75" s="95" t="s">
        <v>176</v>
      </c>
      <c r="DM75" s="95" t="e">
        <f>CU62-DM69</f>
        <v>#REF!</v>
      </c>
      <c r="DO75" s="96" t="s">
        <v>177</v>
      </c>
      <c r="DP75" s="97">
        <f>NPV(0.14,DP54:DP74)</f>
        <v>0</v>
      </c>
      <c r="DQ75" s="97">
        <f>NPV(0.14,DQ54:DQ74)</f>
        <v>0</v>
      </c>
      <c r="DR75" s="97" t="e">
        <f>NPV(0.14,DR54:DR74)</f>
        <v>#REF!</v>
      </c>
      <c r="DS75" s="97" t="e">
        <f>NPV(0.14,DS54:DS74)</f>
        <v>#REF!</v>
      </c>
    </row>
    <row r="76" spans="2:127">
      <c r="BB76" s="77"/>
      <c r="CW76" s="36"/>
      <c r="CX76" s="93"/>
      <c r="DA76" s="36"/>
      <c r="DB76" s="36"/>
      <c r="DC76" s="36"/>
      <c r="DD76" s="36"/>
      <c r="DE76" s="36"/>
      <c r="DF76" s="36"/>
      <c r="DG76" s="36"/>
      <c r="DI76" s="83">
        <v>5</v>
      </c>
      <c r="DJ76" s="37" t="s">
        <v>188</v>
      </c>
      <c r="DL76" s="37" t="s">
        <v>176</v>
      </c>
      <c r="DM76" s="37" t="e">
        <f>DM63-DM69</f>
        <v>#REF!</v>
      </c>
      <c r="DO76" s="96" t="s">
        <v>160</v>
      </c>
      <c r="DP76" s="97"/>
      <c r="DQ76" s="97"/>
      <c r="DR76" s="97"/>
      <c r="DS76" s="98" t="e">
        <f>IRR(DS54:DS74)</f>
        <v>#VALUE!</v>
      </c>
    </row>
    <row r="77" spans="2:127">
      <c r="BE77"/>
      <c r="CW77" s="36"/>
      <c r="CX77" s="93"/>
      <c r="DA77" s="36"/>
      <c r="DB77" s="36"/>
      <c r="DC77" s="36"/>
      <c r="DD77" s="36"/>
      <c r="DE77" s="36"/>
      <c r="DF77" s="36"/>
      <c r="DG77" s="36"/>
      <c r="DI77" s="94">
        <v>6</v>
      </c>
      <c r="DJ77" s="99" t="s">
        <v>192</v>
      </c>
      <c r="DL77" s="95" t="s">
        <v>176</v>
      </c>
      <c r="DM77" s="95" t="e">
        <f>DM64-DM69</f>
        <v>#REF!</v>
      </c>
      <c r="DO77" s="96" t="s">
        <v>159</v>
      </c>
      <c r="DP77" s="97"/>
      <c r="DQ77" s="97"/>
      <c r="DR77" s="97"/>
      <c r="DS77" s="97" t="e">
        <f>(DR75+DQ75)/DP75</f>
        <v>#REF!</v>
      </c>
    </row>
    <row r="78" spans="2:127">
      <c r="CW78" s="36"/>
      <c r="CX78" s="93"/>
      <c r="DA78" s="36"/>
      <c r="DB78" s="36"/>
      <c r="DC78" s="36"/>
      <c r="DD78" s="36"/>
      <c r="DE78" s="36"/>
      <c r="DF78" s="36"/>
      <c r="DG78" s="36"/>
      <c r="DJ78" s="37" t="s">
        <v>193</v>
      </c>
    </row>
    <row r="79" spans="2:127">
      <c r="CW79" s="36"/>
      <c r="CX79" s="93"/>
      <c r="DA79" s="36"/>
      <c r="DB79" s="36"/>
      <c r="DC79" s="36"/>
      <c r="DD79" s="36"/>
      <c r="DE79" s="36"/>
      <c r="DF79" s="36"/>
      <c r="DG79" s="36"/>
      <c r="DU79" s="4"/>
      <c r="DV79" s="6"/>
      <c r="DW79" s="5"/>
    </row>
    <row r="80" spans="2:127" ht="15" customHeight="1">
      <c r="CW80" s="36"/>
      <c r="CX80" s="93"/>
      <c r="DA80" s="36"/>
      <c r="DB80" s="36"/>
      <c r="DC80" s="36"/>
      <c r="DD80" s="36"/>
      <c r="DE80" s="36"/>
      <c r="DF80" s="36"/>
      <c r="DG80" s="36"/>
    </row>
    <row r="81" spans="54:127">
      <c r="CW81" s="36"/>
      <c r="CX81" s="93"/>
      <c r="DA81" s="36"/>
      <c r="DB81" s="36"/>
      <c r="DC81" s="36"/>
      <c r="DD81" s="36"/>
      <c r="DE81" s="36"/>
      <c r="DF81" s="36"/>
      <c r="DG81" s="36"/>
      <c r="DU81" s="4"/>
      <c r="DV81" s="4"/>
      <c r="DW81" s="5"/>
    </row>
    <row r="82" spans="54:127">
      <c r="BB82" s="77"/>
      <c r="CW82" s="36"/>
      <c r="CX82" s="93"/>
      <c r="DA82" s="36"/>
      <c r="DB82" s="36"/>
      <c r="DC82" s="36"/>
      <c r="DD82" s="36"/>
      <c r="DE82" s="36"/>
      <c r="DF82" s="36"/>
      <c r="DG82" s="36"/>
    </row>
    <row r="83" spans="54:127" ht="15.6">
      <c r="BB83" s="77"/>
      <c r="CW83" s="36"/>
      <c r="CX83" s="93"/>
      <c r="DA83" s="36"/>
      <c r="DB83" s="36"/>
      <c r="DC83" s="36"/>
      <c r="DD83" s="36"/>
      <c r="DE83" s="36"/>
      <c r="DF83" s="36"/>
      <c r="DG83" s="36"/>
      <c r="DI83" s="13" t="s">
        <v>165</v>
      </c>
    </row>
    <row r="84" spans="54:127">
      <c r="BB84" s="77"/>
      <c r="CW84" s="36"/>
      <c r="CX84" s="93"/>
    </row>
    <row r="85" spans="54:127">
      <c r="BB85" s="77"/>
      <c r="CW85" s="36"/>
      <c r="CX85" s="93"/>
    </row>
    <row r="86" spans="54:127">
      <c r="BB86" s="77"/>
      <c r="CW86" s="36"/>
      <c r="CX86" s="93"/>
    </row>
    <row r="87" spans="54:127">
      <c r="BB87" s="77"/>
      <c r="CW87" s="36"/>
      <c r="CX87" s="93"/>
    </row>
    <row r="88" spans="54:127">
      <c r="BB88" s="77"/>
      <c r="CW88" s="36"/>
      <c r="CX88" s="93"/>
      <c r="DI88" s="37" t="s">
        <v>167</v>
      </c>
      <c r="DJ88" s="37" t="s">
        <v>168</v>
      </c>
      <c r="DK88" s="37" t="s">
        <v>172</v>
      </c>
      <c r="DL88" s="37" t="s">
        <v>169</v>
      </c>
    </row>
    <row r="89" spans="54:127">
      <c r="BB89" s="77"/>
      <c r="CW89" s="36"/>
      <c r="CX89" s="93"/>
      <c r="DI89" s="37" t="s">
        <v>93</v>
      </c>
      <c r="DJ89" s="37" t="s">
        <v>166</v>
      </c>
    </row>
    <row r="90" spans="54:127">
      <c r="BB90" s="77"/>
      <c r="CW90" s="36"/>
      <c r="CX90" s="93"/>
    </row>
    <row r="91" spans="54:127">
      <c r="BB91" s="77"/>
      <c r="CW91" s="36"/>
      <c r="CX91" s="93"/>
      <c r="DI91" s="37">
        <v>1</v>
      </c>
      <c r="DJ91" s="37" t="s">
        <v>186</v>
      </c>
      <c r="DK91" s="37" t="s">
        <v>176</v>
      </c>
      <c r="DL91" s="37">
        <f>14*1</f>
        <v>14</v>
      </c>
    </row>
    <row r="92" spans="54:127">
      <c r="BB92" s="77"/>
      <c r="CW92" s="36"/>
      <c r="CX92" s="93"/>
      <c r="DJ92" s="37" t="s">
        <v>181</v>
      </c>
    </row>
    <row r="93" spans="54:127">
      <c r="BB93" s="77"/>
      <c r="CW93" s="36"/>
      <c r="CX93" s="93"/>
      <c r="DI93" s="37" t="s">
        <v>94</v>
      </c>
      <c r="DJ93" s="37" t="s">
        <v>170</v>
      </c>
    </row>
    <row r="94" spans="54:127">
      <c r="BB94" s="77"/>
      <c r="CW94" s="36"/>
      <c r="CX94" s="93"/>
      <c r="DI94" s="83">
        <v>1</v>
      </c>
      <c r="DJ94" s="37" t="s">
        <v>174</v>
      </c>
      <c r="DK94" s="37" t="s">
        <v>173</v>
      </c>
      <c r="DL94" s="83">
        <f>30*6*0.7*3*365</f>
        <v>137969.99999999997</v>
      </c>
    </row>
    <row r="95" spans="54:127">
      <c r="BB95" s="77"/>
      <c r="CW95" s="36"/>
      <c r="CX95" s="93"/>
      <c r="DI95" s="83">
        <v>2</v>
      </c>
      <c r="DJ95" s="37" t="s">
        <v>175</v>
      </c>
      <c r="DK95" s="37" t="s">
        <v>176</v>
      </c>
      <c r="DL95" s="37">
        <f>DL94*3.17/10^5</f>
        <v>4.3736489999999995</v>
      </c>
    </row>
    <row r="96" spans="54:127">
      <c r="BB96" s="77"/>
      <c r="CW96" s="36"/>
      <c r="CX96" s="93"/>
      <c r="DI96" s="83">
        <v>3</v>
      </c>
      <c r="DJ96" s="37" t="s">
        <v>161</v>
      </c>
      <c r="DK96" s="37" t="s">
        <v>176</v>
      </c>
      <c r="DL96" s="37" t="e">
        <f>0.02*#REF!</f>
        <v>#REF!</v>
      </c>
    </row>
    <row r="97" spans="1:116">
      <c r="BB97" s="77"/>
      <c r="CW97" s="36"/>
      <c r="CX97" s="93"/>
      <c r="DI97" s="83"/>
      <c r="DJ97" s="37" t="s">
        <v>171</v>
      </c>
      <c r="DK97" s="37" t="s">
        <v>176</v>
      </c>
      <c r="DL97" s="37" t="e">
        <f>SUM(DL95:DL96)</f>
        <v>#REF!</v>
      </c>
    </row>
    <row r="98" spans="1:116">
      <c r="BB98" s="77"/>
      <c r="CW98" s="36"/>
      <c r="CX98" s="93"/>
    </row>
    <row r="99" spans="1:116">
      <c r="BB99" s="77"/>
      <c r="CW99" s="36"/>
      <c r="CX99" s="93"/>
      <c r="DI99" s="37" t="s">
        <v>95</v>
      </c>
      <c r="DJ99" s="37" t="s">
        <v>187</v>
      </c>
      <c r="DK99" s="37" t="s">
        <v>176</v>
      </c>
      <c r="DL99" s="37" t="e">
        <f>DL91-DL97</f>
        <v>#REF!</v>
      </c>
    </row>
    <row r="100" spans="1:116">
      <c r="BB100" s="77"/>
      <c r="CW100" s="36"/>
      <c r="CX100" s="93"/>
    </row>
    <row r="101" spans="1:116">
      <c r="BB101" s="77"/>
      <c r="CW101" s="36"/>
      <c r="CX101" s="93"/>
    </row>
    <row r="102" spans="1:116" ht="15.6">
      <c r="V102" s="203" t="s">
        <v>314</v>
      </c>
      <c r="W102" s="7"/>
      <c r="BB102" s="77"/>
      <c r="CW102" s="36"/>
      <c r="CX102" s="93"/>
    </row>
    <row r="103" spans="1:116" ht="17.399999999999999">
      <c r="A103" s="21"/>
      <c r="B103" s="21"/>
      <c r="C103" s="21"/>
      <c r="D103" s="21"/>
      <c r="E103" s="21"/>
      <c r="J103" s="21"/>
      <c r="K103" s="2352" t="s">
        <v>1</v>
      </c>
      <c r="L103" s="2352"/>
      <c r="M103" s="2352"/>
      <c r="N103" s="2352"/>
      <c r="O103" s="2352"/>
      <c r="P103" s="2352"/>
      <c r="Q103" s="2352"/>
      <c r="R103" s="2352"/>
      <c r="S103" s="21"/>
      <c r="T103" s="21"/>
      <c r="U103" s="21"/>
      <c r="V103" s="17" t="str">
        <f>$O$3</f>
        <v>Base date: 3rd Qtr 2022</v>
      </c>
      <c r="W103" s="4"/>
      <c r="X103" s="21"/>
      <c r="BB103" s="77"/>
      <c r="CW103" s="36"/>
      <c r="CX103" s="93"/>
    </row>
    <row r="104" spans="1:116" ht="17.399999999999999">
      <c r="A104" s="21"/>
      <c r="B104" s="21"/>
      <c r="C104" s="21"/>
      <c r="D104" s="21"/>
      <c r="E104" s="21"/>
      <c r="G104" s="21"/>
      <c r="I104" s="21"/>
      <c r="K104" s="2352" t="str">
        <f>E2</f>
        <v>BHILAI STEEL PLANT</v>
      </c>
      <c r="L104" s="2352"/>
      <c r="M104" s="2352"/>
      <c r="N104" s="2352"/>
      <c r="O104" s="2352"/>
      <c r="P104" s="2352"/>
      <c r="Q104" s="2352"/>
      <c r="R104" s="2352"/>
      <c r="S104" s="21"/>
      <c r="T104" s="21"/>
      <c r="U104" s="21"/>
      <c r="V104" s="17" t="str">
        <f>$O$5</f>
        <v>Figures in Rs. Crore</v>
      </c>
      <c r="W104" s="4"/>
      <c r="X104" s="21"/>
      <c r="BB104" s="77"/>
      <c r="CW104" s="36"/>
      <c r="CX104" s="93"/>
    </row>
    <row r="105" spans="1:116" ht="39" customHeight="1">
      <c r="A105" s="21"/>
      <c r="B105" s="21"/>
      <c r="C105" s="21"/>
      <c r="D105" s="21"/>
      <c r="I105" s="21"/>
      <c r="J105" s="2348" t="str">
        <f>$C$3</f>
        <v>Extension of mixer bay and replacement of 02 nos mixer cranes 125+30t, span 28 m in SMS-2</v>
      </c>
      <c r="K105" s="2348"/>
      <c r="L105" s="2348"/>
      <c r="M105" s="2348"/>
      <c r="N105" s="2348"/>
      <c r="O105" s="2348"/>
      <c r="P105" s="2348"/>
      <c r="Q105" s="2348"/>
      <c r="R105" s="2348"/>
      <c r="S105" s="2348"/>
      <c r="T105" s="21"/>
      <c r="U105" s="21"/>
      <c r="V105" s="21"/>
      <c r="W105" s="21"/>
      <c r="X105" s="21"/>
      <c r="BB105" s="77"/>
      <c r="CW105" s="36"/>
      <c r="CX105" s="93"/>
    </row>
    <row r="106" spans="1:116">
      <c r="F106" s="37" t="s">
        <v>0</v>
      </c>
      <c r="BB106" s="77"/>
      <c r="CW106" s="36"/>
      <c r="CX106" s="93"/>
    </row>
    <row r="107" spans="1:116" ht="15" customHeight="1">
      <c r="K107" s="2336" t="s">
        <v>204</v>
      </c>
      <c r="L107" s="2336"/>
      <c r="M107" s="2336"/>
      <c r="N107" s="2336"/>
      <c r="O107" s="2336"/>
      <c r="P107" s="2336"/>
      <c r="Q107" s="2336"/>
      <c r="R107" s="2336"/>
      <c r="BB107" s="77"/>
      <c r="CW107" s="36"/>
      <c r="CX107" s="93"/>
    </row>
    <row r="108" spans="1:116">
      <c r="C108" s="36"/>
      <c r="W108" s="37" t="s">
        <v>0</v>
      </c>
      <c r="CW108" s="36"/>
      <c r="CX108" s="93"/>
    </row>
    <row r="109" spans="1:116" s="897" customFormat="1" ht="27" customHeight="1">
      <c r="B109" s="898" t="str">
        <f>B9</f>
        <v>1USD=(with forward premium rate)</v>
      </c>
      <c r="C109" s="899">
        <f>BB17</f>
        <v>0</v>
      </c>
      <c r="D109" s="900"/>
      <c r="L109" s="819" t="s">
        <v>210</v>
      </c>
      <c r="M109" s="819" t="str">
        <f>F7</f>
        <v>GST (Supply)</v>
      </c>
      <c r="N109" s="819" t="str">
        <f>G7</f>
        <v>GST (Services)</v>
      </c>
      <c r="O109" s="819" t="s">
        <v>317</v>
      </c>
      <c r="P109" s="819" t="str">
        <f>I7</f>
        <v>E&amp;C</v>
      </c>
      <c r="Q109" s="819" t="str">
        <f>J7</f>
        <v>Contingn</v>
      </c>
      <c r="R109" s="244"/>
      <c r="S109" s="819"/>
      <c r="CW109" s="901"/>
      <c r="CX109" s="902"/>
      <c r="CY109" s="903"/>
      <c r="CZ109" s="335"/>
    </row>
    <row r="110" spans="1:116" s="897" customFormat="1" ht="21.75" customHeight="1">
      <c r="A110" s="904"/>
      <c r="B110" s="905" t="str">
        <f>B10</f>
        <v>1EURO=(with forward premium rate)</v>
      </c>
      <c r="C110" s="899">
        <f>C10</f>
        <v>0</v>
      </c>
      <c r="D110" s="906">
        <f>D10</f>
        <v>0</v>
      </c>
      <c r="E110" s="907">
        <f>E10</f>
        <v>0</v>
      </c>
      <c r="F110" s="906">
        <f>F10</f>
        <v>0</v>
      </c>
      <c r="G110" s="908"/>
      <c r="H110" s="904"/>
      <c r="I110" s="904"/>
      <c r="J110" s="904"/>
      <c r="K110" s="904"/>
      <c r="L110" s="909">
        <f>E8</f>
        <v>7.4999999999999997E-2</v>
      </c>
      <c r="M110" s="910">
        <f>F8</f>
        <v>0.18</v>
      </c>
      <c r="N110" s="910">
        <f>F8</f>
        <v>0.18</v>
      </c>
      <c r="O110" s="910">
        <f>H8</f>
        <v>0.11111111111111112</v>
      </c>
      <c r="P110" s="909">
        <f>I8</f>
        <v>0.11</v>
      </c>
      <c r="Q110" s="910">
        <f>J8</f>
        <v>0.05</v>
      </c>
      <c r="R110" s="910"/>
      <c r="S110" s="909"/>
      <c r="T110" s="904"/>
      <c r="U110" s="904"/>
      <c r="V110" s="904"/>
      <c r="W110" s="904"/>
      <c r="X110" s="904"/>
      <c r="CW110" s="901"/>
      <c r="CX110" s="902"/>
      <c r="CY110" s="903"/>
      <c r="CZ110" s="335"/>
    </row>
    <row r="111" spans="1:116" ht="31.5" customHeight="1">
      <c r="A111" s="29" t="s">
        <v>92</v>
      </c>
      <c r="B111" s="29" t="s">
        <v>96</v>
      </c>
      <c r="C111" s="2357" t="s">
        <v>899</v>
      </c>
      <c r="D111" s="2358"/>
      <c r="E111" s="1074" t="s">
        <v>97</v>
      </c>
      <c r="F111" s="1075"/>
      <c r="G111" s="1074" t="s">
        <v>152</v>
      </c>
      <c r="H111" s="1076"/>
      <c r="I111" s="1074" t="s">
        <v>100</v>
      </c>
      <c r="J111" s="1076"/>
      <c r="K111" s="1077" t="s">
        <v>101</v>
      </c>
      <c r="L111" s="1077" t="s">
        <v>102</v>
      </c>
      <c r="M111" s="1077" t="s">
        <v>153</v>
      </c>
      <c r="N111" s="1077"/>
      <c r="O111" s="1074" t="s">
        <v>154</v>
      </c>
      <c r="P111" s="1076"/>
      <c r="Q111" s="1074" t="s">
        <v>155</v>
      </c>
      <c r="R111" s="1076"/>
      <c r="S111" s="1074" t="s">
        <v>108</v>
      </c>
      <c r="T111" s="1076"/>
      <c r="U111" s="1074" t="s">
        <v>109</v>
      </c>
      <c r="V111" s="1076"/>
      <c r="W111" s="1074" t="s">
        <v>83</v>
      </c>
      <c r="X111" s="1078"/>
      <c r="CW111" s="36"/>
      <c r="CX111" s="93"/>
    </row>
    <row r="112" spans="1:116" ht="15.6">
      <c r="A112" s="25"/>
      <c r="B112" s="25"/>
      <c r="C112" s="26" t="s">
        <v>9</v>
      </c>
      <c r="D112" s="27" t="s">
        <v>156</v>
      </c>
      <c r="E112" s="26" t="s">
        <v>9</v>
      </c>
      <c r="F112" s="27" t="s">
        <v>156</v>
      </c>
      <c r="G112" s="28" t="s">
        <v>9</v>
      </c>
      <c r="H112" s="28" t="s">
        <v>156</v>
      </c>
      <c r="I112" s="26" t="s">
        <v>9</v>
      </c>
      <c r="J112" s="28" t="s">
        <v>156</v>
      </c>
      <c r="K112" s="26" t="s">
        <v>9</v>
      </c>
      <c r="L112" s="26" t="s">
        <v>9</v>
      </c>
      <c r="M112" s="26" t="s">
        <v>9</v>
      </c>
      <c r="N112" s="28" t="s">
        <v>156</v>
      </c>
      <c r="O112" s="26" t="s">
        <v>9</v>
      </c>
      <c r="P112" s="28" t="s">
        <v>156</v>
      </c>
      <c r="Q112" s="26" t="s">
        <v>9</v>
      </c>
      <c r="R112" s="28" t="s">
        <v>156</v>
      </c>
      <c r="S112" s="26" t="s">
        <v>9</v>
      </c>
      <c r="T112" s="28" t="s">
        <v>156</v>
      </c>
      <c r="U112" s="26" t="s">
        <v>9</v>
      </c>
      <c r="V112" s="28" t="s">
        <v>156</v>
      </c>
      <c r="W112" s="26" t="s">
        <v>9</v>
      </c>
      <c r="X112" s="28" t="s">
        <v>156</v>
      </c>
      <c r="CW112" s="36"/>
      <c r="CX112" s="93"/>
    </row>
    <row r="113" spans="1:104" ht="15.6">
      <c r="A113" s="25"/>
      <c r="B113" s="25"/>
      <c r="C113" s="29" t="s">
        <v>157</v>
      </c>
      <c r="D113" s="30" t="s">
        <v>37</v>
      </c>
      <c r="E113" s="29" t="s">
        <v>157</v>
      </c>
      <c r="F113" s="30" t="s">
        <v>37</v>
      </c>
      <c r="G113" s="30" t="s">
        <v>157</v>
      </c>
      <c r="H113" s="29" t="s">
        <v>37</v>
      </c>
      <c r="I113" s="29" t="s">
        <v>157</v>
      </c>
      <c r="J113" s="30" t="s">
        <v>37</v>
      </c>
      <c r="K113" s="29" t="s">
        <v>157</v>
      </c>
      <c r="L113" s="29" t="s">
        <v>157</v>
      </c>
      <c r="M113" s="29" t="s">
        <v>157</v>
      </c>
      <c r="N113" s="31" t="s">
        <v>37</v>
      </c>
      <c r="O113" s="29" t="s">
        <v>157</v>
      </c>
      <c r="P113" s="30" t="s">
        <v>37</v>
      </c>
      <c r="Q113" s="29" t="s">
        <v>157</v>
      </c>
      <c r="R113" s="30" t="s">
        <v>37</v>
      </c>
      <c r="S113" s="29" t="s">
        <v>157</v>
      </c>
      <c r="T113" s="30" t="s">
        <v>37</v>
      </c>
      <c r="U113" s="29" t="s">
        <v>157</v>
      </c>
      <c r="V113" s="30" t="s">
        <v>37</v>
      </c>
      <c r="W113" s="29" t="s">
        <v>157</v>
      </c>
      <c r="X113" s="30" t="s">
        <v>37</v>
      </c>
      <c r="CW113" s="36"/>
      <c r="CX113" s="93"/>
    </row>
    <row r="114" spans="1:104" ht="15.6">
      <c r="A114" s="108" t="s">
        <v>197</v>
      </c>
      <c r="B114" s="108" t="s">
        <v>61</v>
      </c>
      <c r="C114" s="108" t="s">
        <v>62</v>
      </c>
      <c r="D114" s="72" t="s">
        <v>63</v>
      </c>
      <c r="E114" s="108" t="s">
        <v>64</v>
      </c>
      <c r="F114" s="72" t="s">
        <v>37</v>
      </c>
      <c r="G114" s="72" t="s">
        <v>66</v>
      </c>
      <c r="H114" s="72" t="s">
        <v>67</v>
      </c>
      <c r="I114" s="108" t="s">
        <v>158</v>
      </c>
      <c r="J114" s="72" t="s">
        <v>68</v>
      </c>
      <c r="K114" s="108" t="s">
        <v>69</v>
      </c>
      <c r="L114" s="108" t="s">
        <v>70</v>
      </c>
      <c r="M114" s="108" t="s">
        <v>59</v>
      </c>
      <c r="N114" s="72" t="s">
        <v>71</v>
      </c>
      <c r="O114" s="108" t="s">
        <v>72</v>
      </c>
      <c r="P114" s="72" t="s">
        <v>73</v>
      </c>
      <c r="Q114" s="108" t="s">
        <v>74</v>
      </c>
      <c r="R114" s="72" t="s">
        <v>75</v>
      </c>
      <c r="S114" s="108" t="s">
        <v>76</v>
      </c>
      <c r="T114" s="72" t="s">
        <v>41</v>
      </c>
      <c r="U114" s="108" t="s">
        <v>77</v>
      </c>
      <c r="V114" s="72" t="s">
        <v>78</v>
      </c>
      <c r="W114" s="108" t="s">
        <v>79</v>
      </c>
      <c r="X114" s="72" t="s">
        <v>80</v>
      </c>
      <c r="BV114" s="100"/>
      <c r="BW114" s="4"/>
      <c r="BX114" s="40"/>
      <c r="BY114" s="83"/>
      <c r="BZ114" s="83"/>
      <c r="CW114" s="36"/>
      <c r="CX114" s="93"/>
    </row>
    <row r="115" spans="1:104" ht="34.5" customHeight="1">
      <c r="A115" s="1141" t="str">
        <f>B3</f>
        <v>01/DE/4941</v>
      </c>
      <c r="B115" s="2353" t="str">
        <f>C3</f>
        <v>Extension of mixer bay and replacement of 02 nos mixer cranes 125+30t, span 28 m in SMS-2</v>
      </c>
      <c r="C115" s="2354"/>
      <c r="D115" s="2354"/>
      <c r="E115" s="2354"/>
      <c r="F115" s="2354"/>
      <c r="G115" s="2354"/>
      <c r="H115" s="196"/>
      <c r="I115" s="196"/>
      <c r="J115" s="196"/>
      <c r="K115" s="196"/>
      <c r="L115" s="196"/>
      <c r="M115" s="196"/>
      <c r="N115" s="196"/>
      <c r="O115" s="196"/>
      <c r="P115" s="196"/>
      <c r="Q115" s="196"/>
      <c r="R115" s="196"/>
      <c r="S115" s="196"/>
      <c r="T115" s="196"/>
      <c r="U115" s="196"/>
      <c r="V115" s="196"/>
      <c r="W115" s="196"/>
      <c r="X115" s="261"/>
      <c r="BV115" s="100"/>
      <c r="BW115" s="4"/>
      <c r="BX115" s="40"/>
      <c r="BY115" s="83"/>
      <c r="BZ115" s="83"/>
      <c r="CW115" s="36"/>
      <c r="CX115" s="93"/>
    </row>
    <row r="116" spans="1:104" ht="39" customHeight="1">
      <c r="A116" s="862" t="s">
        <v>793</v>
      </c>
      <c r="B116" s="212" t="str">
        <f>B17</f>
        <v>Main Package  (Pkg-II)</v>
      </c>
      <c r="C116" s="1129">
        <f>SUM(D17:G17, J17:K17)</f>
        <v>33.455222337500004</v>
      </c>
      <c r="D116" s="1130">
        <f>SUM(D17:E17)</f>
        <v>0</v>
      </c>
      <c r="E116" s="1130">
        <f>SUM(H17:I17)</f>
        <v>0</v>
      </c>
      <c r="F116" s="1130">
        <f>+H17</f>
        <v>0</v>
      </c>
      <c r="G116" s="1130">
        <f>SUM(L17:M17)</f>
        <v>0</v>
      </c>
      <c r="H116" s="1130">
        <f>+J17</f>
        <v>0</v>
      </c>
      <c r="I116" s="1130">
        <f>SUM(N17:O17)</f>
        <v>0</v>
      </c>
      <c r="J116" s="1130">
        <f>N17</f>
        <v>0</v>
      </c>
      <c r="K116" s="1130">
        <f>SUM(P17:Q17)</f>
        <v>0</v>
      </c>
      <c r="L116" s="1131">
        <f>SUM(R17:U17)</f>
        <v>5.5186266805000006</v>
      </c>
      <c r="M116" s="1131">
        <f>SUM(V17:Y17)</f>
        <v>2.9230386763500005</v>
      </c>
      <c r="N116" s="1131">
        <f>+V17+W17</f>
        <v>0</v>
      </c>
      <c r="O116" s="1131">
        <f>SUM(Z17:AB17)</f>
        <v>0.66910444675000014</v>
      </c>
      <c r="P116" s="1131">
        <f>+Z17</f>
        <v>0</v>
      </c>
      <c r="Q116" s="1131">
        <f>SUM(AC17:AJ17)</f>
        <v>7.486496264817001</v>
      </c>
      <c r="R116" s="1131"/>
      <c r="S116" s="1131">
        <f>SUM(AK17:AP17)</f>
        <v>0</v>
      </c>
      <c r="T116" s="1131">
        <f>+AK17+AM17+AO17</f>
        <v>0</v>
      </c>
      <c r="U116" s="1131">
        <f>+AQ17+AR17</f>
        <v>2.5026244202958501</v>
      </c>
      <c r="V116" s="1131">
        <f>+AQ17</f>
        <v>0</v>
      </c>
      <c r="W116" s="1131">
        <f>+AU17</f>
        <v>52.555112826212849</v>
      </c>
      <c r="X116" s="1132">
        <f>+AS17</f>
        <v>0</v>
      </c>
      <c r="BV116" s="100"/>
      <c r="BW116" s="4"/>
      <c r="BX116" s="40"/>
      <c r="BY116" s="83"/>
      <c r="BZ116" s="83"/>
      <c r="CW116" s="36"/>
      <c r="CX116" s="93"/>
    </row>
    <row r="117" spans="1:104" ht="36" customHeight="1">
      <c r="A117" s="862" t="s">
        <v>794</v>
      </c>
      <c r="B117" s="212" t="str">
        <f>B18</f>
        <v xml:space="preserve">Area survey &amp; soil investigation </v>
      </c>
      <c r="C117" s="109">
        <f t="shared" ref="C117:C119" si="45">SUM(D18:G18, J18:K18)</f>
        <v>0</v>
      </c>
      <c r="D117" s="110">
        <f>SUM(D18:E18)</f>
        <v>0</v>
      </c>
      <c r="E117" s="110">
        <f>SUM(H18:I18)</f>
        <v>0</v>
      </c>
      <c r="F117" s="110">
        <f>+H18</f>
        <v>0</v>
      </c>
      <c r="G117" s="110">
        <f t="shared" ref="G117:G119" si="46">SUM(L18:M18)</f>
        <v>0</v>
      </c>
      <c r="H117" s="110">
        <f>+J18</f>
        <v>0</v>
      </c>
      <c r="I117" s="110">
        <f t="shared" ref="I117:I119" si="47">SUM(N18:O18)</f>
        <v>0</v>
      </c>
      <c r="J117" s="110">
        <f>N18</f>
        <v>0</v>
      </c>
      <c r="K117" s="110">
        <f t="shared" ref="K117:K119" si="48">SUM(P18:Q18)</f>
        <v>0</v>
      </c>
      <c r="L117" s="111">
        <f t="shared" ref="L117:L119" si="49">SUM(R18:U18)</f>
        <v>0</v>
      </c>
      <c r="M117" s="111">
        <f t="shared" ref="M117:M119" si="50">SUM(V18:Y18)</f>
        <v>0</v>
      </c>
      <c r="N117" s="111">
        <f>+V18+W18</f>
        <v>0</v>
      </c>
      <c r="O117" s="111">
        <f t="shared" ref="O117:O119" si="51">SUM(Z18:AB18)</f>
        <v>0</v>
      </c>
      <c r="P117" s="111">
        <f>+Z18</f>
        <v>0</v>
      </c>
      <c r="Q117" s="111">
        <f t="shared" ref="Q117:Q119" si="52">SUM(AC18:AJ18)</f>
        <v>0</v>
      </c>
      <c r="R117" s="111"/>
      <c r="S117" s="111">
        <f>SUM(AK18:AP18)</f>
        <v>0</v>
      </c>
      <c r="T117" s="111">
        <f>+AK18+AM18+AO18</f>
        <v>0</v>
      </c>
      <c r="U117" s="111">
        <f t="shared" ref="U117:U119" si="53">+AQ18+AR18</f>
        <v>0</v>
      </c>
      <c r="V117" s="111">
        <f>+AQ18</f>
        <v>0</v>
      </c>
      <c r="W117" s="1131">
        <f t="shared" ref="W117:W119" si="54">+AU18</f>
        <v>0</v>
      </c>
      <c r="X117" s="112">
        <f>+AS18</f>
        <v>0</v>
      </c>
      <c r="BV117" s="100"/>
      <c r="BW117" s="4"/>
      <c r="BX117" s="40"/>
      <c r="BY117" s="83"/>
      <c r="BZ117" s="83"/>
      <c r="CW117" s="36"/>
      <c r="CX117" s="93"/>
    </row>
    <row r="118" spans="1:104" ht="110.25" customHeight="1">
      <c r="A118" s="862" t="s">
        <v>795</v>
      </c>
      <c r="B118" s="212" t="str">
        <f>B19</f>
        <v>Expenditure towards Corporate Environmental Responsibility (CER) and Cost for engagement of NABET accredited Consultant for environmental clearance / Supply Package</v>
      </c>
      <c r="C118" s="109">
        <f t="shared" si="45"/>
        <v>0</v>
      </c>
      <c r="D118" s="110">
        <f>SUM(D19:E19)</f>
        <v>0</v>
      </c>
      <c r="E118" s="110">
        <f>SUM(H19:I19)</f>
        <v>0</v>
      </c>
      <c r="F118" s="110" t="str">
        <f>+H19</f>
        <v xml:space="preserve"> </v>
      </c>
      <c r="G118" s="110">
        <f t="shared" si="46"/>
        <v>0</v>
      </c>
      <c r="H118" s="110">
        <f>+J19</f>
        <v>0</v>
      </c>
      <c r="I118" s="110">
        <f t="shared" si="47"/>
        <v>0</v>
      </c>
      <c r="J118" s="110">
        <f>N19</f>
        <v>0</v>
      </c>
      <c r="K118" s="110">
        <f t="shared" si="48"/>
        <v>0</v>
      </c>
      <c r="L118" s="111">
        <f t="shared" si="49"/>
        <v>0</v>
      </c>
      <c r="M118" s="111">
        <f t="shared" si="50"/>
        <v>0</v>
      </c>
      <c r="N118" s="111">
        <f>+V19+W19</f>
        <v>0</v>
      </c>
      <c r="O118" s="111">
        <f t="shared" si="51"/>
        <v>0</v>
      </c>
      <c r="P118" s="111">
        <f>+Z19</f>
        <v>0</v>
      </c>
      <c r="Q118" s="111">
        <f t="shared" si="52"/>
        <v>0</v>
      </c>
      <c r="R118" s="111"/>
      <c r="S118" s="111">
        <f>SUM(AK19:AP19)</f>
        <v>0</v>
      </c>
      <c r="T118" s="111">
        <f>+AK19+AM19+AO19</f>
        <v>0</v>
      </c>
      <c r="U118" s="111">
        <f t="shared" si="53"/>
        <v>0</v>
      </c>
      <c r="V118" s="111">
        <f>+AQ19</f>
        <v>0</v>
      </c>
      <c r="W118" s="1131">
        <f t="shared" si="54"/>
        <v>0</v>
      </c>
      <c r="X118" s="112">
        <f>+AS19</f>
        <v>0</v>
      </c>
      <c r="BV118" s="100"/>
      <c r="BW118" s="4"/>
      <c r="BX118" s="40"/>
      <c r="BY118" s="83"/>
      <c r="BZ118" s="83"/>
      <c r="CW118" s="36"/>
      <c r="CX118" s="93"/>
    </row>
    <row r="119" spans="1:104" ht="45.75" customHeight="1">
      <c r="A119" s="862" t="s">
        <v>796</v>
      </c>
      <c r="B119" s="1118" t="str">
        <f>B20</f>
        <v>(Enabling Package)  (Pkg-I)</v>
      </c>
      <c r="C119" s="109">
        <f t="shared" si="45"/>
        <v>0.18846018581250001</v>
      </c>
      <c r="D119" s="110"/>
      <c r="E119" s="110"/>
      <c r="F119" s="110"/>
      <c r="G119" s="110">
        <f t="shared" si="46"/>
        <v>2.4580000000000002</v>
      </c>
      <c r="H119" s="110"/>
      <c r="I119" s="110">
        <f t="shared" si="47"/>
        <v>0</v>
      </c>
      <c r="J119" s="110"/>
      <c r="K119" s="110">
        <f t="shared" si="48"/>
        <v>0.57319367130434795</v>
      </c>
      <c r="L119" s="111">
        <f t="shared" si="49"/>
        <v>0.65171522229750001</v>
      </c>
      <c r="M119" s="111">
        <f t="shared" si="50"/>
        <v>0.29035268095607614</v>
      </c>
      <c r="N119" s="111"/>
      <c r="O119" s="111">
        <f t="shared" si="51"/>
        <v>0.22498920371625</v>
      </c>
      <c r="P119" s="111"/>
      <c r="Q119" s="111">
        <f t="shared" si="52"/>
        <v>0.77218681267823674</v>
      </c>
      <c r="R119" s="111"/>
      <c r="S119" s="111"/>
      <c r="T119" s="111"/>
      <c r="U119" s="111">
        <f t="shared" si="53"/>
        <v>0.25794488883824557</v>
      </c>
      <c r="V119" s="111"/>
      <c r="W119" s="1131">
        <f t="shared" si="54"/>
        <v>5.4168426656031574</v>
      </c>
      <c r="X119" s="112"/>
      <c r="BV119" s="100"/>
      <c r="BW119" s="4"/>
      <c r="BX119" s="40"/>
      <c r="BY119" s="83"/>
      <c r="BZ119" s="83"/>
      <c r="CW119" s="36"/>
      <c r="CX119" s="93"/>
    </row>
    <row r="120" spans="1:104" s="897" customFormat="1" ht="43.5" customHeight="1">
      <c r="A120" s="911">
        <v>1</v>
      </c>
      <c r="B120" s="912" t="str">
        <f>B21</f>
        <v>Total Plant Cost</v>
      </c>
      <c r="C120" s="920">
        <f>SUM(C116:C119)</f>
        <v>33.643682523312506</v>
      </c>
      <c r="D120" s="920">
        <f t="shared" ref="D120:V120" si="55">SUM(D116:D119)</f>
        <v>0</v>
      </c>
      <c r="E120" s="920">
        <f t="shared" si="55"/>
        <v>0</v>
      </c>
      <c r="F120" s="920">
        <f t="shared" si="55"/>
        <v>0</v>
      </c>
      <c r="G120" s="920">
        <f t="shared" si="55"/>
        <v>2.4580000000000002</v>
      </c>
      <c r="H120" s="920">
        <f t="shared" si="55"/>
        <v>0</v>
      </c>
      <c r="I120" s="920">
        <f t="shared" si="55"/>
        <v>0</v>
      </c>
      <c r="J120" s="920">
        <f t="shared" si="55"/>
        <v>0</v>
      </c>
      <c r="K120" s="920">
        <f t="shared" si="55"/>
        <v>0.57319367130434795</v>
      </c>
      <c r="L120" s="920">
        <f t="shared" si="55"/>
        <v>6.1703419027975004</v>
      </c>
      <c r="M120" s="920">
        <f t="shared" si="55"/>
        <v>3.2133913573060768</v>
      </c>
      <c r="N120" s="920">
        <f t="shared" si="55"/>
        <v>0</v>
      </c>
      <c r="O120" s="920">
        <f t="shared" si="55"/>
        <v>0.89409365046625011</v>
      </c>
      <c r="P120" s="920">
        <f t="shared" si="55"/>
        <v>0</v>
      </c>
      <c r="Q120" s="920">
        <f t="shared" si="55"/>
        <v>8.2586830774952382</v>
      </c>
      <c r="R120" s="920">
        <f t="shared" si="55"/>
        <v>0</v>
      </c>
      <c r="S120" s="920">
        <f t="shared" si="55"/>
        <v>0</v>
      </c>
      <c r="T120" s="920">
        <f t="shared" si="55"/>
        <v>0</v>
      </c>
      <c r="U120" s="920">
        <f t="shared" si="55"/>
        <v>2.7605693091340955</v>
      </c>
      <c r="V120" s="920">
        <f t="shared" si="55"/>
        <v>0</v>
      </c>
      <c r="W120" s="1130">
        <f>SUM(W116:W119)</f>
        <v>57.971955491816004</v>
      </c>
      <c r="X120" s="921">
        <f t="shared" ref="X120" si="56">SUM(X116:X118)</f>
        <v>0</v>
      </c>
      <c r="BV120" s="922"/>
      <c r="BW120" s="244"/>
      <c r="BX120" s="335"/>
      <c r="BY120" s="923"/>
      <c r="BZ120" s="923"/>
      <c r="CW120" s="901"/>
      <c r="CX120" s="902"/>
      <c r="CY120" s="903"/>
      <c r="CZ120" s="335"/>
    </row>
    <row r="121" spans="1:104" ht="38.25" customHeight="1">
      <c r="A121" s="911">
        <v>2</v>
      </c>
      <c r="B121" s="868" t="str">
        <f>+B22</f>
        <v>IDC</v>
      </c>
      <c r="C121" s="32"/>
      <c r="D121" s="32"/>
      <c r="E121" s="32"/>
      <c r="F121" s="32"/>
      <c r="G121" s="32"/>
      <c r="H121" s="32"/>
      <c r="I121" s="32"/>
      <c r="J121" s="32"/>
      <c r="K121" s="32"/>
      <c r="L121" s="32"/>
      <c r="M121" s="32"/>
      <c r="N121" s="32"/>
      <c r="O121" s="32"/>
      <c r="P121" s="32"/>
      <c r="Q121" s="32"/>
      <c r="R121" s="32"/>
      <c r="S121" s="32"/>
      <c r="T121" s="32"/>
      <c r="U121" s="32"/>
      <c r="V121" s="32"/>
      <c r="W121" s="1133">
        <f>+AU22</f>
        <v>3.5870147460561155</v>
      </c>
      <c r="X121" s="113"/>
      <c r="Y121" s="4"/>
      <c r="Z121" s="4"/>
      <c r="BV121" s="100"/>
      <c r="BW121" s="4"/>
      <c r="BX121" s="40"/>
      <c r="BY121" s="83"/>
      <c r="BZ121" s="83"/>
    </row>
    <row r="122" spans="1:104" ht="37.5" customHeight="1">
      <c r="A122" s="911">
        <v>3</v>
      </c>
      <c r="B122" s="867" t="str">
        <f>B23</f>
        <v xml:space="preserve">CAPITAL COST </v>
      </c>
      <c r="C122" s="32"/>
      <c r="D122" s="32"/>
      <c r="E122" s="32"/>
      <c r="F122" s="32"/>
      <c r="G122" s="32"/>
      <c r="H122" s="32"/>
      <c r="I122" s="32"/>
      <c r="J122" s="32"/>
      <c r="K122" s="32"/>
      <c r="L122" s="32"/>
      <c r="M122" s="32"/>
      <c r="N122" s="32"/>
      <c r="O122" s="32"/>
      <c r="P122" s="32"/>
      <c r="Q122" s="32"/>
      <c r="R122" s="32"/>
      <c r="S122" s="32"/>
      <c r="T122" s="32"/>
      <c r="U122" s="32"/>
      <c r="V122" s="32"/>
      <c r="W122" s="1133">
        <f t="shared" ref="W122:X122" si="57">SUM(W120:W121)</f>
        <v>61.558970237872117</v>
      </c>
      <c r="X122" s="113">
        <f t="shared" si="57"/>
        <v>0</v>
      </c>
      <c r="Y122" s="4"/>
      <c r="Z122" s="4"/>
      <c r="BV122" s="100"/>
      <c r="BW122" s="4"/>
      <c r="BX122" s="40"/>
      <c r="BY122" s="83"/>
      <c r="BZ122" s="83"/>
    </row>
    <row r="123" spans="1:104" ht="39" customHeight="1">
      <c r="A123" s="911">
        <v>4</v>
      </c>
      <c r="B123" s="869" t="str">
        <f>B24</f>
        <v>Input Tax Credit (ITC)</v>
      </c>
      <c r="C123" s="32"/>
      <c r="D123" s="32"/>
      <c r="E123" s="32"/>
      <c r="F123" s="32"/>
      <c r="G123" s="32"/>
      <c r="H123" s="32"/>
      <c r="I123" s="32"/>
      <c r="J123" s="32"/>
      <c r="K123" s="32"/>
      <c r="L123" s="32"/>
      <c r="M123" s="32"/>
      <c r="N123" s="32"/>
      <c r="O123" s="32"/>
      <c r="P123" s="32"/>
      <c r="Q123" s="32"/>
      <c r="R123" s="32"/>
      <c r="S123" s="32"/>
      <c r="T123" s="32"/>
      <c r="U123" s="32"/>
      <c r="V123" s="32"/>
      <c r="W123" s="1133">
        <f>+AU24</f>
        <v>7.5351533447995847</v>
      </c>
      <c r="X123" s="113"/>
      <c r="BW123" s="7"/>
      <c r="BY123" s="83"/>
      <c r="CB123" s="2"/>
    </row>
    <row r="124" spans="1:104" ht="36" customHeight="1">
      <c r="A124" s="911">
        <v>5</v>
      </c>
      <c r="B124" s="867" t="str">
        <f>B25</f>
        <v>Capital Cost net of ITC</v>
      </c>
      <c r="C124" s="32"/>
      <c r="D124" s="32"/>
      <c r="E124" s="32"/>
      <c r="F124" s="32"/>
      <c r="G124" s="32"/>
      <c r="H124" s="32"/>
      <c r="I124" s="32"/>
      <c r="J124" s="32"/>
      <c r="K124" s="32"/>
      <c r="L124" s="32"/>
      <c r="M124" s="32"/>
      <c r="N124" s="32"/>
      <c r="O124" s="32"/>
      <c r="P124" s="32"/>
      <c r="Q124" s="32"/>
      <c r="R124" s="32"/>
      <c r="S124" s="32"/>
      <c r="T124" s="32"/>
      <c r="U124" s="32"/>
      <c r="V124" s="32"/>
      <c r="W124" s="1133">
        <f t="shared" ref="W124:X124" si="58">W122-W123</f>
        <v>54.023816893072535</v>
      </c>
      <c r="X124" s="113">
        <f t="shared" si="58"/>
        <v>0</v>
      </c>
      <c r="BW124" s="4"/>
      <c r="BY124" s="83"/>
    </row>
    <row r="125" spans="1:104">
      <c r="BW125" s="4"/>
      <c r="BY125" s="83"/>
    </row>
    <row r="126" spans="1:104">
      <c r="BW126" s="4"/>
      <c r="BY126" s="83"/>
    </row>
    <row r="127" spans="1:104" ht="17.399999999999999">
      <c r="A127" s="4"/>
      <c r="B127" s="1134" t="str">
        <f>BH3</f>
        <v>PHASING OF EXPENDITURE &amp; IDC (19 months from Stg.-2 approval)</v>
      </c>
      <c r="C127" s="4"/>
      <c r="D127" s="4"/>
      <c r="E127" s="4"/>
      <c r="F127" s="4"/>
      <c r="G127" s="4"/>
      <c r="H127" s="4"/>
      <c r="BW127" s="4"/>
      <c r="BY127" s="83"/>
    </row>
    <row r="128" spans="1:104">
      <c r="A128" s="4"/>
      <c r="B128" s="4"/>
      <c r="C128" s="4"/>
      <c r="D128" s="4"/>
      <c r="E128" s="4"/>
      <c r="F128" s="4"/>
      <c r="G128" s="4"/>
      <c r="H128" s="4"/>
      <c r="BW128" s="4"/>
      <c r="BY128" s="83"/>
    </row>
    <row r="129" spans="1:77" s="37" customFormat="1" ht="15" customHeight="1">
      <c r="A129" s="4"/>
      <c r="B129" s="2321" t="s">
        <v>24</v>
      </c>
      <c r="C129" s="2321" t="s">
        <v>194</v>
      </c>
      <c r="D129" s="2321" t="s">
        <v>199</v>
      </c>
      <c r="E129" s="2321" t="s">
        <v>29</v>
      </c>
      <c r="F129" s="2321" t="s">
        <v>982</v>
      </c>
      <c r="G129" s="2324" t="s">
        <v>983</v>
      </c>
      <c r="H129" s="2324"/>
      <c r="BW129" s="4"/>
      <c r="BY129" s="83"/>
    </row>
    <row r="130" spans="1:77" s="37" customFormat="1" ht="15" customHeight="1">
      <c r="A130" s="4"/>
      <c r="B130" s="2322"/>
      <c r="C130" s="2322"/>
      <c r="D130" s="2322"/>
      <c r="E130" s="2322"/>
      <c r="F130" s="2322"/>
      <c r="G130" s="2324"/>
      <c r="H130" s="2324"/>
      <c r="BW130" s="4"/>
      <c r="BY130" s="83"/>
    </row>
    <row r="131" spans="1:77" s="37" customFormat="1" ht="15" customHeight="1">
      <c r="A131" s="4"/>
      <c r="B131" s="2323"/>
      <c r="C131" s="2323"/>
      <c r="D131" s="2323"/>
      <c r="E131" s="2323"/>
      <c r="F131" s="2323"/>
      <c r="G131" s="2324"/>
      <c r="H131" s="2324"/>
      <c r="BW131" s="4"/>
      <c r="BY131" s="83"/>
    </row>
    <row r="132" spans="1:77" s="37" customFormat="1" ht="36.75" customHeight="1">
      <c r="A132" s="4"/>
      <c r="B132" s="1135" t="str">
        <f>BH9</f>
        <v>1 year</v>
      </c>
      <c r="C132" s="1136">
        <f>BI9</f>
        <v>26.087379971317201</v>
      </c>
      <c r="D132" s="1136">
        <f t="shared" ref="D132:F137" si="59">BJ9</f>
        <v>0</v>
      </c>
      <c r="E132" s="1136">
        <f t="shared" si="59"/>
        <v>26.087379971317201</v>
      </c>
      <c r="F132" s="1136">
        <f t="shared" si="59"/>
        <v>1.3043689985658602</v>
      </c>
      <c r="G132" s="2316">
        <f>BM9</f>
        <v>27.391748969883061</v>
      </c>
      <c r="H132" s="2318"/>
      <c r="BW132" s="4"/>
      <c r="BY132" s="83"/>
    </row>
    <row r="133" spans="1:77" s="37" customFormat="1" ht="35.25" customHeight="1">
      <c r="A133" s="4"/>
      <c r="B133" s="1135" t="str">
        <f>BH10</f>
        <v>2nd year (7 months)</v>
      </c>
      <c r="C133" s="1136">
        <f t="shared" ref="C133:C137" si="60">BI10</f>
        <v>26.087379971317201</v>
      </c>
      <c r="D133" s="1136">
        <f t="shared" ref="D133:D137" si="61">BJ10</f>
        <v>0</v>
      </c>
      <c r="E133" s="1136">
        <f t="shared" si="59"/>
        <v>26.087379971317201</v>
      </c>
      <c r="F133" s="1136">
        <f t="shared" si="59"/>
        <v>2.2826457474902551</v>
      </c>
      <c r="G133" s="2316">
        <f>BM10</f>
        <v>28.370025718807454</v>
      </c>
      <c r="H133" s="2318"/>
      <c r="BW133" s="4"/>
      <c r="BY133" s="83"/>
    </row>
    <row r="134" spans="1:77" s="37" customFormat="1" ht="35.25" customHeight="1">
      <c r="A134" s="4"/>
      <c r="B134" s="1135" t="str">
        <f>BH11</f>
        <v xml:space="preserve">3rd year </v>
      </c>
      <c r="C134" s="1136">
        <f t="shared" si="60"/>
        <v>0</v>
      </c>
      <c r="D134" s="1136">
        <f t="shared" si="61"/>
        <v>0</v>
      </c>
      <c r="E134" s="1136">
        <f t="shared" si="59"/>
        <v>0</v>
      </c>
      <c r="F134" s="1136">
        <f t="shared" si="59"/>
        <v>0</v>
      </c>
      <c r="G134" s="2316">
        <f t="shared" ref="G134:G136" si="62">BM11</f>
        <v>0</v>
      </c>
      <c r="H134" s="2318"/>
      <c r="BW134" s="4"/>
      <c r="BY134" s="83"/>
    </row>
    <row r="135" spans="1:77" s="37" customFormat="1" ht="36" customHeight="1">
      <c r="A135" s="4"/>
      <c r="B135" s="1135" t="str">
        <f>BH12</f>
        <v xml:space="preserve">4th Year </v>
      </c>
      <c r="C135" s="1136">
        <f t="shared" si="60"/>
        <v>0</v>
      </c>
      <c r="D135" s="1136">
        <f t="shared" si="61"/>
        <v>0</v>
      </c>
      <c r="E135" s="1136">
        <f t="shared" si="59"/>
        <v>0</v>
      </c>
      <c r="F135" s="1136">
        <f t="shared" si="59"/>
        <v>0</v>
      </c>
      <c r="G135" s="2316">
        <f t="shared" si="62"/>
        <v>0</v>
      </c>
      <c r="H135" s="2318"/>
      <c r="BW135" s="4"/>
      <c r="BY135" s="83"/>
    </row>
    <row r="136" spans="1:77" s="37" customFormat="1" ht="36" customHeight="1">
      <c r="A136" s="4"/>
      <c r="B136" s="1135" t="s">
        <v>984</v>
      </c>
      <c r="C136" s="1136">
        <f t="shared" si="60"/>
        <v>5.797195549181601</v>
      </c>
      <c r="D136" s="1136">
        <f t="shared" si="61"/>
        <v>0</v>
      </c>
      <c r="E136" s="1136">
        <f t="shared" si="59"/>
        <v>5.797195549181601</v>
      </c>
      <c r="F136" s="1136">
        <f t="shared" si="59"/>
        <v>0</v>
      </c>
      <c r="G136" s="2316">
        <f t="shared" si="62"/>
        <v>5.797195549181601</v>
      </c>
      <c r="H136" s="2318"/>
      <c r="BW136" s="4"/>
      <c r="BY136" s="83"/>
    </row>
    <row r="137" spans="1:77" s="37" customFormat="1" ht="34.5" customHeight="1">
      <c r="A137" s="4"/>
      <c r="B137" s="1137" t="s">
        <v>9</v>
      </c>
      <c r="C137" s="1136">
        <f t="shared" si="60"/>
        <v>57.971955491816004</v>
      </c>
      <c r="D137" s="1136">
        <f t="shared" si="61"/>
        <v>0</v>
      </c>
      <c r="E137" s="1136">
        <f t="shared" si="59"/>
        <v>57.971955491816004</v>
      </c>
      <c r="F137" s="1139">
        <f t="shared" si="59"/>
        <v>3.5870147460561155</v>
      </c>
      <c r="G137" s="2319">
        <f t="shared" ref="G137:G139" si="63">BM14</f>
        <v>61.558970237872117</v>
      </c>
      <c r="H137" s="2320"/>
      <c r="BW137" s="4"/>
      <c r="BY137" s="83"/>
    </row>
    <row r="138" spans="1:77" s="37" customFormat="1" ht="33.75" customHeight="1">
      <c r="A138" s="4"/>
      <c r="B138" s="1137" t="s">
        <v>438</v>
      </c>
      <c r="C138" s="2316"/>
      <c r="D138" s="2317"/>
      <c r="E138" s="2317"/>
      <c r="F138" s="2318"/>
      <c r="G138" s="2316">
        <f t="shared" si="63"/>
        <v>7.5351533447995847</v>
      </c>
      <c r="H138" s="2318"/>
      <c r="BW138" s="4"/>
      <c r="BY138" s="83"/>
    </row>
    <row r="139" spans="1:77" s="37" customFormat="1" ht="34.5" customHeight="1">
      <c r="A139" s="4"/>
      <c r="B139" s="1137" t="s">
        <v>439</v>
      </c>
      <c r="C139" s="2316"/>
      <c r="D139" s="2317"/>
      <c r="E139" s="2317"/>
      <c r="F139" s="2318"/>
      <c r="G139" s="2319">
        <f t="shared" si="63"/>
        <v>54.023816893072535</v>
      </c>
      <c r="H139" s="2320"/>
      <c r="BW139" s="4"/>
      <c r="BY139" s="83"/>
    </row>
    <row r="140" spans="1:77" s="37" customFormat="1">
      <c r="A140" s="4"/>
      <c r="B140" s="4"/>
      <c r="C140" s="4"/>
      <c r="D140" s="4"/>
      <c r="E140" s="4"/>
      <c r="F140" s="4"/>
      <c r="G140" s="4"/>
      <c r="H140" s="4"/>
      <c r="BW140" s="4"/>
      <c r="BY140" s="83"/>
    </row>
    <row r="141" spans="1:77" s="37" customFormat="1">
      <c r="A141" s="4"/>
      <c r="B141" s="4"/>
      <c r="C141" s="4"/>
      <c r="D141" s="4"/>
      <c r="E141" s="4"/>
      <c r="F141" s="4"/>
      <c r="G141" s="4"/>
      <c r="H141" s="4"/>
      <c r="BW141" s="4"/>
      <c r="BY141" s="83"/>
    </row>
    <row r="142" spans="1:77" s="37" customFormat="1" ht="21">
      <c r="A142" s="1138" t="s">
        <v>985</v>
      </c>
      <c r="B142" s="4"/>
      <c r="C142" s="4"/>
      <c r="D142" s="4"/>
      <c r="E142" s="4"/>
      <c r="F142" s="4"/>
      <c r="G142" s="4"/>
      <c r="H142" s="4"/>
      <c r="BW142" s="4"/>
      <c r="BY142" s="83"/>
    </row>
    <row r="143" spans="1:77" s="37" customFormat="1">
      <c r="W143" s="37">
        <v>557.36115265389742</v>
      </c>
      <c r="X143" s="37">
        <v>88.38293916654861</v>
      </c>
      <c r="BW143" s="4"/>
      <c r="BY143" s="83"/>
    </row>
    <row r="144" spans="1:77" s="37" customFormat="1">
      <c r="W144" s="37">
        <v>538.40952938937096</v>
      </c>
      <c r="X144" s="37">
        <v>81.776459782456072</v>
      </c>
      <c r="BW144" s="4"/>
      <c r="BY144" s="83"/>
    </row>
    <row r="145" spans="1:24" s="37" customFormat="1">
      <c r="B145" s="4"/>
      <c r="D145" s="83"/>
      <c r="X145" s="37">
        <f>X143-X144</f>
        <v>6.6064793840925375</v>
      </c>
    </row>
    <row r="146" spans="1:24" s="37" customFormat="1" ht="15.6">
      <c r="E146" s="116" t="s">
        <v>206</v>
      </c>
    </row>
    <row r="147" spans="1:24" s="37" customFormat="1">
      <c r="C147" s="105"/>
    </row>
    <row r="148" spans="1:24" s="37" customFormat="1" ht="15.75" customHeight="1">
      <c r="A148" s="2355" t="s">
        <v>396</v>
      </c>
      <c r="B148" s="2355"/>
      <c r="C148" s="2355"/>
      <c r="D148" s="2355"/>
      <c r="E148" s="2355"/>
    </row>
    <row r="149" spans="1:24" s="37" customFormat="1" ht="15.75" customHeight="1">
      <c r="A149" s="2355" t="str">
        <f>K104</f>
        <v>BHILAI STEEL PLANT</v>
      </c>
      <c r="B149" s="2355"/>
      <c r="C149" s="2355"/>
      <c r="D149" s="2355"/>
      <c r="E149" s="2355"/>
    </row>
    <row r="150" spans="1:24" s="37" customFormat="1" ht="21.75" customHeight="1">
      <c r="A150" s="2356" t="str">
        <f>J105</f>
        <v>Extension of mixer bay and replacement of 02 nos mixer cranes 125+30t, span 28 m in SMS-2</v>
      </c>
      <c r="B150" s="2356"/>
      <c r="C150" s="2356"/>
      <c r="D150" s="2356"/>
      <c r="E150" s="2356"/>
    </row>
    <row r="151" spans="1:24" s="37" customFormat="1" ht="15.75" hidden="1" customHeight="1">
      <c r="A151" s="2356"/>
      <c r="B151" s="2356"/>
      <c r="C151" s="2356"/>
      <c r="D151" s="2356"/>
      <c r="E151" s="2356"/>
    </row>
    <row r="152" spans="1:24" s="37" customFormat="1" ht="15" customHeight="1">
      <c r="A152" s="2347" t="s">
        <v>395</v>
      </c>
      <c r="B152" s="2347"/>
      <c r="C152" s="2347"/>
      <c r="D152" s="2347"/>
      <c r="E152" s="2347"/>
    </row>
    <row r="153" spans="1:24" s="37" customFormat="1" ht="15.6">
      <c r="A153" s="2347" t="s">
        <v>322</v>
      </c>
      <c r="B153" s="2347"/>
      <c r="C153" s="2347"/>
      <c r="D153" s="2347"/>
      <c r="E153" s="2347"/>
      <c r="F153" s="874"/>
      <c r="I153" s="874"/>
    </row>
    <row r="154" spans="1:24" s="37" customFormat="1" ht="15.6">
      <c r="A154" s="2"/>
      <c r="B154" s="876" t="str">
        <f>B9</f>
        <v>1USD=(with forward premium rate)</v>
      </c>
      <c r="C154" s="873">
        <f>BB17*0</f>
        <v>0</v>
      </c>
      <c r="D154" s="875"/>
      <c r="E154" s="875"/>
      <c r="F154" s="874"/>
      <c r="K154" s="783"/>
    </row>
    <row r="155" spans="1:24" s="37" customFormat="1" ht="15.6">
      <c r="A155" s="2"/>
      <c r="B155" s="876" t="str">
        <f>B10</f>
        <v>1EURO=(with forward premium rate)</v>
      </c>
      <c r="C155" s="873">
        <f>BB19</f>
        <v>0</v>
      </c>
      <c r="D155" s="875"/>
      <c r="E155" s="875"/>
      <c r="F155" s="874"/>
    </row>
    <row r="156" spans="1:24" s="37" customFormat="1" ht="16.2" thickBot="1">
      <c r="A156" s="13" t="str">
        <f>+O3</f>
        <v>Base date: 3rd Qtr 2022</v>
      </c>
      <c r="E156" s="251" t="s">
        <v>209</v>
      </c>
      <c r="G156" s="2"/>
    </row>
    <row r="157" spans="1:24" s="37" customFormat="1" ht="16.2" thickBot="1">
      <c r="A157" s="878" t="s">
        <v>318</v>
      </c>
      <c r="B157" s="879" t="s">
        <v>8</v>
      </c>
      <c r="C157" s="878" t="s">
        <v>37</v>
      </c>
      <c r="D157" s="880" t="s">
        <v>32</v>
      </c>
      <c r="E157" s="881" t="s">
        <v>9</v>
      </c>
      <c r="F157"/>
    </row>
    <row r="158" spans="1:24" s="37" customFormat="1" ht="24.9" customHeight="1">
      <c r="A158" s="882">
        <v>1</v>
      </c>
      <c r="B158" s="244" t="s">
        <v>900</v>
      </c>
      <c r="C158" s="893">
        <f>D120</f>
        <v>0</v>
      </c>
      <c r="D158" s="245">
        <f>C120-D120</f>
        <v>33.643682523312506</v>
      </c>
      <c r="E158" s="883">
        <f>C158+D158</f>
        <v>33.643682523312506</v>
      </c>
      <c r="F158"/>
      <c r="G158" s="1266"/>
      <c r="H158" s="897"/>
      <c r="I158" s="897"/>
      <c r="J158" s="1267"/>
      <c r="L158" s="244"/>
      <c r="M158" s="919"/>
    </row>
    <row r="159" spans="1:24" s="37" customFormat="1" ht="24.9" customHeight="1">
      <c r="A159" s="882">
        <v>2</v>
      </c>
      <c r="B159" s="244" t="s">
        <v>84</v>
      </c>
      <c r="C159" s="893">
        <f>F120</f>
        <v>0</v>
      </c>
      <c r="D159" s="245">
        <f>E120-F120</f>
        <v>0</v>
      </c>
      <c r="E159" s="883">
        <f t="shared" ref="E159:E168" si="64">C159+D159</f>
        <v>0</v>
      </c>
      <c r="F159"/>
      <c r="G159" s="1266"/>
      <c r="H159" s="897"/>
      <c r="I159" s="897"/>
      <c r="L159" s="244"/>
      <c r="M159" s="919"/>
    </row>
    <row r="160" spans="1:24" s="37" customFormat="1" ht="24.9" customHeight="1">
      <c r="A160" s="882">
        <v>3</v>
      </c>
      <c r="B160" s="244" t="s">
        <v>85</v>
      </c>
      <c r="C160" s="893">
        <f>H120</f>
        <v>0</v>
      </c>
      <c r="D160" s="245">
        <f>G120-H120</f>
        <v>2.4580000000000002</v>
      </c>
      <c r="E160" s="883">
        <f t="shared" si="64"/>
        <v>2.4580000000000002</v>
      </c>
      <c r="F160"/>
      <c r="G160" s="1266"/>
      <c r="H160" s="897"/>
      <c r="I160" s="897"/>
      <c r="L160" s="244"/>
      <c r="M160" s="919"/>
      <c r="N160" s="897"/>
    </row>
    <row r="161" spans="1:14" s="37" customFormat="1" ht="24.9" customHeight="1">
      <c r="A161" s="882">
        <v>4</v>
      </c>
      <c r="B161" s="244" t="s">
        <v>86</v>
      </c>
      <c r="C161" s="893">
        <f>J120</f>
        <v>0</v>
      </c>
      <c r="D161" s="245">
        <f>I120-J120</f>
        <v>0</v>
      </c>
      <c r="E161" s="883">
        <f t="shared" si="64"/>
        <v>0</v>
      </c>
      <c r="F161"/>
      <c r="G161" s="1266"/>
      <c r="H161" s="897"/>
      <c r="I161" s="897"/>
      <c r="L161" s="244"/>
      <c r="M161" s="919"/>
      <c r="N161" s="897"/>
    </row>
    <row r="162" spans="1:14" s="37" customFormat="1" ht="24.9" customHeight="1">
      <c r="A162" s="882">
        <v>5</v>
      </c>
      <c r="B162" s="244" t="s">
        <v>87</v>
      </c>
      <c r="C162" s="893"/>
      <c r="D162" s="245">
        <f>K120</f>
        <v>0.57319367130434795</v>
      </c>
      <c r="E162" s="883">
        <f t="shared" si="64"/>
        <v>0.57319367130434795</v>
      </c>
      <c r="F162"/>
      <c r="G162" s="1266"/>
      <c r="H162" s="897"/>
      <c r="I162" s="897"/>
      <c r="L162" s="244"/>
      <c r="M162" s="919"/>
    </row>
    <row r="163" spans="1:14" s="37" customFormat="1" ht="24.9" customHeight="1">
      <c r="A163" s="882">
        <v>6</v>
      </c>
      <c r="B163" s="244" t="s">
        <v>203</v>
      </c>
      <c r="C163" s="893"/>
      <c r="D163" s="245">
        <f>L120</f>
        <v>6.1703419027975004</v>
      </c>
      <c r="E163" s="883">
        <f t="shared" si="64"/>
        <v>6.1703419027975004</v>
      </c>
      <c r="F163"/>
      <c r="G163" s="1266"/>
      <c r="H163" s="897"/>
      <c r="I163" s="897"/>
      <c r="L163" s="244"/>
      <c r="M163" s="919"/>
    </row>
    <row r="164" spans="1:14" s="37" customFormat="1" ht="24.9" customHeight="1">
      <c r="A164" s="882">
        <v>7</v>
      </c>
      <c r="B164" s="244" t="s">
        <v>201</v>
      </c>
      <c r="C164" s="893">
        <f>N120</f>
        <v>0</v>
      </c>
      <c r="D164" s="245">
        <f>M120-N120</f>
        <v>3.2133913573060768</v>
      </c>
      <c r="E164" s="883">
        <f t="shared" si="64"/>
        <v>3.2133913573060768</v>
      </c>
      <c r="F164"/>
      <c r="G164" s="1266"/>
      <c r="H164" s="897"/>
      <c r="I164" s="897"/>
      <c r="J164" s="1267"/>
    </row>
    <row r="165" spans="1:14" s="37" customFormat="1" ht="24.9" customHeight="1">
      <c r="A165" s="882">
        <v>8</v>
      </c>
      <c r="B165" s="244" t="s">
        <v>202</v>
      </c>
      <c r="C165" s="893">
        <f>P120</f>
        <v>0</v>
      </c>
      <c r="D165" s="245">
        <f>O120-P120</f>
        <v>0.89409365046625011</v>
      </c>
      <c r="E165" s="883">
        <f t="shared" si="64"/>
        <v>0.89409365046625011</v>
      </c>
      <c r="F165"/>
      <c r="G165" s="1266"/>
      <c r="H165" s="897"/>
      <c r="I165" s="897"/>
      <c r="J165" s="4"/>
      <c r="L165" s="244"/>
      <c r="M165" s="919"/>
      <c r="N165" s="897"/>
    </row>
    <row r="166" spans="1:14" s="37" customFormat="1" ht="24.9" customHeight="1">
      <c r="A166" s="882">
        <v>9</v>
      </c>
      <c r="B166" s="244" t="s">
        <v>88</v>
      </c>
      <c r="C166" s="893">
        <f>R120</f>
        <v>0</v>
      </c>
      <c r="D166" s="245">
        <f>Q120-R120</f>
        <v>8.2586830774952382</v>
      </c>
      <c r="E166" s="883">
        <f t="shared" si="64"/>
        <v>8.2586830774952382</v>
      </c>
      <c r="F166"/>
      <c r="G166" s="1266"/>
      <c r="H166" s="897"/>
      <c r="I166" s="897"/>
      <c r="L166" s="919"/>
      <c r="M166" s="919"/>
    </row>
    <row r="167" spans="1:14" s="37" customFormat="1" ht="24.9" customHeight="1">
      <c r="A167" s="882">
        <v>10</v>
      </c>
      <c r="B167" s="244" t="s">
        <v>122</v>
      </c>
      <c r="C167" s="893">
        <f>T120</f>
        <v>0</v>
      </c>
      <c r="D167" s="245">
        <f>S120-T120</f>
        <v>0</v>
      </c>
      <c r="E167" s="883">
        <f t="shared" si="64"/>
        <v>0</v>
      </c>
      <c r="F167"/>
      <c r="G167" s="1266"/>
      <c r="H167" s="897"/>
      <c r="I167" s="897"/>
    </row>
    <row r="168" spans="1:14" s="37" customFormat="1" ht="24.9" customHeight="1">
      <c r="A168" s="882">
        <v>11</v>
      </c>
      <c r="B168" s="244" t="s">
        <v>89</v>
      </c>
      <c r="C168" s="893">
        <f>V120</f>
        <v>0</v>
      </c>
      <c r="D168" s="245">
        <f>U120-V120</f>
        <v>2.7605693091340955</v>
      </c>
      <c r="E168" s="883">
        <f t="shared" si="64"/>
        <v>2.7605693091340955</v>
      </c>
      <c r="F168"/>
      <c r="G168" s="1266"/>
      <c r="H168" s="897"/>
      <c r="I168" s="897"/>
    </row>
    <row r="169" spans="1:14" s="37" customFormat="1" ht="24.9" customHeight="1">
      <c r="A169" s="884">
        <v>12</v>
      </c>
      <c r="B169" s="877" t="s">
        <v>90</v>
      </c>
      <c r="C169" s="894">
        <f>SUM(C158:C168)</f>
        <v>0</v>
      </c>
      <c r="D169" s="242">
        <f>SUM(D158:D168)</f>
        <v>57.971955491816018</v>
      </c>
      <c r="E169" s="885">
        <f>SUM(E158:E168)</f>
        <v>57.971955491816018</v>
      </c>
      <c r="F169"/>
      <c r="G169" s="1266"/>
      <c r="H169" s="897"/>
      <c r="I169" s="897"/>
    </row>
    <row r="170" spans="1:14" s="37" customFormat="1" ht="24.9" customHeight="1">
      <c r="A170" s="884">
        <v>13</v>
      </c>
      <c r="B170" s="247" t="s">
        <v>91</v>
      </c>
      <c r="C170" s="895"/>
      <c r="D170" s="246"/>
      <c r="E170" s="886">
        <f>W121</f>
        <v>3.5870147460561155</v>
      </c>
      <c r="F170"/>
      <c r="G170" s="1266"/>
      <c r="H170" s="897"/>
      <c r="I170" s="897"/>
    </row>
    <row r="171" spans="1:14" s="37" customFormat="1" ht="19.5" customHeight="1">
      <c r="A171" s="887">
        <v>14</v>
      </c>
      <c r="B171" s="248" t="s">
        <v>205</v>
      </c>
      <c r="C171" s="895"/>
      <c r="D171" s="249"/>
      <c r="E171" s="888">
        <f>+E170+E169</f>
        <v>61.558970237872131</v>
      </c>
      <c r="F171"/>
      <c r="G171" s="1266"/>
      <c r="H171" s="897"/>
      <c r="I171" s="897"/>
    </row>
    <row r="172" spans="1:14" s="37" customFormat="1" ht="18.75" customHeight="1">
      <c r="A172" s="887">
        <v>15</v>
      </c>
      <c r="B172" s="250" t="str">
        <f>B123</f>
        <v>Input Tax Credit (ITC)</v>
      </c>
      <c r="C172" s="895"/>
      <c r="D172" s="246"/>
      <c r="E172" s="886">
        <f>W123</f>
        <v>7.5351533447995847</v>
      </c>
      <c r="F172"/>
      <c r="G172" s="1266"/>
      <c r="H172" s="897"/>
      <c r="I172" s="897"/>
      <c r="M172" s="4"/>
    </row>
    <row r="173" spans="1:14" s="37" customFormat="1" ht="21" customHeight="1" thickBot="1">
      <c r="A173" s="889">
        <v>16</v>
      </c>
      <c r="B173" s="890" t="s">
        <v>424</v>
      </c>
      <c r="C173" s="896"/>
      <c r="D173" s="891"/>
      <c r="E173" s="892">
        <f>+E171-E172</f>
        <v>54.023816893072549</v>
      </c>
      <c r="F173" s="817"/>
      <c r="G173" s="1266"/>
      <c r="H173" s="897"/>
      <c r="I173" s="897"/>
    </row>
    <row r="174" spans="1:14" s="37" customFormat="1">
      <c r="A174" s="4"/>
      <c r="B174" s="4"/>
      <c r="C174" s="4"/>
      <c r="D174" s="4"/>
    </row>
    <row r="175" spans="1:14" s="37" customFormat="1">
      <c r="I175" s="1082"/>
    </row>
    <row r="176" spans="1:14" s="37" customFormat="1">
      <c r="E176" s="1082"/>
    </row>
  </sheetData>
  <mergeCells count="47">
    <mergeCell ref="E1:K1"/>
    <mergeCell ref="E2:K2"/>
    <mergeCell ref="E5:K5"/>
    <mergeCell ref="P11:Q11"/>
    <mergeCell ref="C3:M3"/>
    <mergeCell ref="A153:E153"/>
    <mergeCell ref="K107:R107"/>
    <mergeCell ref="J105:S105"/>
    <mergeCell ref="L11:M11"/>
    <mergeCell ref="N11:O11"/>
    <mergeCell ref="K103:R103"/>
    <mergeCell ref="B115:G115"/>
    <mergeCell ref="A148:E148"/>
    <mergeCell ref="A149:E149"/>
    <mergeCell ref="A150:E151"/>
    <mergeCell ref="A152:E152"/>
    <mergeCell ref="K104:R104"/>
    <mergeCell ref="C111:D111"/>
    <mergeCell ref="B129:B131"/>
    <mergeCell ref="C129:C131"/>
    <mergeCell ref="D129:D131"/>
    <mergeCell ref="AS11:AU11"/>
    <mergeCell ref="AH11:AJ11"/>
    <mergeCell ref="AK11:AL11"/>
    <mergeCell ref="AM11:AN11"/>
    <mergeCell ref="AO11:AP11"/>
    <mergeCell ref="AQ11:AR11"/>
    <mergeCell ref="V11:Y11"/>
    <mergeCell ref="R11:U11"/>
    <mergeCell ref="Z11:AB11"/>
    <mergeCell ref="AC11:AG11"/>
    <mergeCell ref="X38:Y38"/>
    <mergeCell ref="V37:Y37"/>
    <mergeCell ref="V12:X12"/>
    <mergeCell ref="C139:F139"/>
    <mergeCell ref="G139:H139"/>
    <mergeCell ref="E129:E131"/>
    <mergeCell ref="F129:F131"/>
    <mergeCell ref="G129:H131"/>
    <mergeCell ref="G132:H132"/>
    <mergeCell ref="G133:H133"/>
    <mergeCell ref="G134:H134"/>
    <mergeCell ref="G135:H135"/>
    <mergeCell ref="G136:H136"/>
    <mergeCell ref="G137:H137"/>
    <mergeCell ref="C138:F138"/>
    <mergeCell ref="G138:H138"/>
  </mergeCells>
  <phoneticPr fontId="0" type="noConversion"/>
  <printOptions horizontalCentered="1"/>
  <pageMargins left="0.70866141732283472" right="0.70866141732283472" top="0.74803149606299213" bottom="0.74803149606299213" header="0.31496062992125984" footer="0.31496062992125984"/>
  <pageSetup paperSize="9" scale="82"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O148"/>
  <sheetViews>
    <sheetView workbookViewId="0">
      <selection activeCell="A5" sqref="A5:F5"/>
    </sheetView>
  </sheetViews>
  <sheetFormatPr defaultRowHeight="15"/>
  <cols>
    <col min="1" max="1" width="7.08984375" customWidth="1"/>
    <col min="2" max="2" width="50.08984375" customWidth="1"/>
    <col min="3" max="3" width="10" customWidth="1"/>
    <col min="4" max="4" width="9.08984375" customWidth="1"/>
    <col min="5" max="5" width="11.6328125" customWidth="1"/>
    <col min="6" max="6" width="9.6328125" customWidth="1"/>
    <col min="7" max="7" width="17.08984375" customWidth="1"/>
    <col min="8" max="8" width="20.81640625" customWidth="1"/>
    <col min="9" max="9" width="14.90625" customWidth="1"/>
    <col min="10" max="10" width="13.81640625" customWidth="1"/>
    <col min="11" max="11" width="17.08984375" customWidth="1"/>
    <col min="12" max="12" width="9" bestFit="1" customWidth="1"/>
  </cols>
  <sheetData>
    <row r="1" spans="1:6" ht="15.6">
      <c r="E1" s="203"/>
    </row>
    <row r="2" spans="1:6" ht="15.6">
      <c r="E2" s="203" t="s">
        <v>681</v>
      </c>
    </row>
    <row r="3" spans="1:6">
      <c r="A3" s="2360" t="s">
        <v>731</v>
      </c>
      <c r="B3" s="2360"/>
      <c r="C3" s="2360"/>
      <c r="D3" s="2360"/>
      <c r="E3" s="2360"/>
      <c r="F3" s="2360"/>
    </row>
    <row r="4" spans="1:6" ht="15" customHeight="1">
      <c r="A4" s="2347" t="s">
        <v>732</v>
      </c>
      <c r="B4" s="2347"/>
      <c r="C4" s="2347"/>
      <c r="D4" s="2347"/>
      <c r="E4" s="2347"/>
      <c r="F4" s="2347"/>
    </row>
    <row r="5" spans="1:6" ht="15" customHeight="1">
      <c r="A5" s="2347" t="s">
        <v>682</v>
      </c>
      <c r="B5" s="2347"/>
      <c r="C5" s="2347"/>
      <c r="D5" s="2347"/>
      <c r="E5" s="2347"/>
      <c r="F5" s="2347"/>
    </row>
    <row r="6" spans="1:6" ht="15.6">
      <c r="A6" s="3" t="s">
        <v>93</v>
      </c>
      <c r="B6" s="2" t="s">
        <v>683</v>
      </c>
    </row>
    <row r="7" spans="1:6" ht="15.6">
      <c r="A7" s="710" t="s">
        <v>92</v>
      </c>
      <c r="B7" s="710" t="s">
        <v>294</v>
      </c>
      <c r="C7" s="710" t="s">
        <v>198</v>
      </c>
      <c r="D7" s="710" t="s">
        <v>319</v>
      </c>
    </row>
    <row r="8" spans="1:6" ht="21.9" customHeight="1">
      <c r="A8" s="711">
        <v>1</v>
      </c>
      <c r="B8" s="708" t="s">
        <v>672</v>
      </c>
      <c r="C8" s="707" t="s">
        <v>673</v>
      </c>
      <c r="D8" s="712">
        <f>D129</f>
        <v>1758</v>
      </c>
    </row>
    <row r="9" spans="1:6" ht="21.9" customHeight="1">
      <c r="A9" s="713">
        <f>1+A8</f>
        <v>2</v>
      </c>
      <c r="B9" s="708" t="s">
        <v>725</v>
      </c>
      <c r="C9" s="707" t="s">
        <v>576</v>
      </c>
      <c r="D9" s="712">
        <f>F79</f>
        <v>2760.06</v>
      </c>
    </row>
    <row r="10" spans="1:6" ht="21.9" customHeight="1">
      <c r="A10" s="713">
        <f t="shared" ref="A10:A24" si="0">1+A9</f>
        <v>3</v>
      </c>
      <c r="B10" s="708" t="s">
        <v>674</v>
      </c>
      <c r="C10" s="707" t="s">
        <v>684</v>
      </c>
      <c r="D10" s="712">
        <f>D130</f>
        <v>350</v>
      </c>
    </row>
    <row r="11" spans="1:6" ht="21.9" customHeight="1">
      <c r="A11" s="713">
        <f t="shared" si="0"/>
        <v>4</v>
      </c>
      <c r="B11" s="708" t="s">
        <v>726</v>
      </c>
      <c r="C11" s="707" t="s">
        <v>676</v>
      </c>
      <c r="D11" s="712">
        <f>F78</f>
        <v>912</v>
      </c>
    </row>
    <row r="12" spans="1:6" ht="21.9" customHeight="1">
      <c r="A12" s="713">
        <f t="shared" si="0"/>
        <v>5</v>
      </c>
      <c r="B12" s="708" t="s">
        <v>677</v>
      </c>
      <c r="C12" s="707" t="s">
        <v>676</v>
      </c>
      <c r="D12" s="712">
        <f>E94</f>
        <v>1200</v>
      </c>
    </row>
    <row r="13" spans="1:6" ht="21.9" customHeight="1">
      <c r="A13" s="713">
        <f t="shared" si="0"/>
        <v>6</v>
      </c>
      <c r="B13" s="709" t="s">
        <v>727</v>
      </c>
      <c r="C13" s="707" t="s">
        <v>685</v>
      </c>
      <c r="D13" s="714">
        <f>D97</f>
        <v>0.86</v>
      </c>
    </row>
    <row r="14" spans="1:6" ht="21.9" customHeight="1">
      <c r="A14" s="713">
        <f t="shared" si="0"/>
        <v>7</v>
      </c>
      <c r="B14" s="709" t="s">
        <v>686</v>
      </c>
      <c r="C14" s="707" t="s">
        <v>685</v>
      </c>
      <c r="D14" s="714">
        <f>D98</f>
        <v>1</v>
      </c>
    </row>
    <row r="15" spans="1:6" ht="21.9" customHeight="1">
      <c r="A15" s="713">
        <f t="shared" si="0"/>
        <v>8</v>
      </c>
      <c r="B15" s="709" t="s">
        <v>678</v>
      </c>
      <c r="C15" s="707" t="s">
        <v>576</v>
      </c>
      <c r="D15" s="712">
        <f>SUM(G52:G54)+F92*0</f>
        <v>118.95858600000001</v>
      </c>
    </row>
    <row r="16" spans="1:6" ht="21.9" customHeight="1">
      <c r="A16" s="713">
        <f t="shared" si="0"/>
        <v>9</v>
      </c>
      <c r="B16" s="709" t="s">
        <v>687</v>
      </c>
      <c r="C16" s="707" t="s">
        <v>576</v>
      </c>
      <c r="D16" s="715">
        <f>(D14-D13)*0.11*D9</f>
        <v>42.504924000000003</v>
      </c>
    </row>
    <row r="17" spans="1:15" ht="21.9" customHeight="1">
      <c r="A17" s="713">
        <f t="shared" si="0"/>
        <v>10</v>
      </c>
      <c r="B17" s="708" t="s">
        <v>688</v>
      </c>
      <c r="C17" s="707" t="s">
        <v>576</v>
      </c>
      <c r="D17" s="712">
        <f>D9+D15+D16</f>
        <v>2921.52351</v>
      </c>
      <c r="F17" s="716"/>
      <c r="G17" s="22"/>
      <c r="H17" s="717"/>
    </row>
    <row r="18" spans="1:15" ht="21.9" customHeight="1">
      <c r="A18" s="713">
        <f t="shared" si="0"/>
        <v>11</v>
      </c>
      <c r="B18" s="708" t="s">
        <v>689</v>
      </c>
      <c r="C18" s="718" t="s">
        <v>690</v>
      </c>
      <c r="D18" s="712">
        <f>+D10*(D17-D9)</f>
        <v>56512.228500000012</v>
      </c>
    </row>
    <row r="19" spans="1:15" ht="21.9" customHeight="1">
      <c r="A19" s="713">
        <f t="shared" si="0"/>
        <v>12</v>
      </c>
      <c r="B19" s="708" t="s">
        <v>679</v>
      </c>
      <c r="C19" s="718" t="s">
        <v>690</v>
      </c>
      <c r="D19" s="712">
        <f>+D18*D123</f>
        <v>52556.372505000014</v>
      </c>
      <c r="I19" s="719"/>
    </row>
    <row r="20" spans="1:15" ht="21.9" customHeight="1">
      <c r="A20" s="713">
        <f t="shared" si="0"/>
        <v>13</v>
      </c>
      <c r="B20" s="708" t="s">
        <v>728</v>
      </c>
      <c r="C20" s="707" t="s">
        <v>579</v>
      </c>
      <c r="D20" s="712">
        <f>F80</f>
        <v>453</v>
      </c>
    </row>
    <row r="21" spans="1:15" ht="21.9" customHeight="1">
      <c r="A21" s="713">
        <f t="shared" si="0"/>
        <v>14</v>
      </c>
      <c r="B21" s="709" t="s">
        <v>680</v>
      </c>
      <c r="C21" s="707" t="s">
        <v>579</v>
      </c>
      <c r="D21" s="712">
        <f>SUM(F52:F54)-F93*0</f>
        <v>18.618299999999998</v>
      </c>
    </row>
    <row r="22" spans="1:15" ht="21.9" customHeight="1">
      <c r="A22" s="713">
        <f t="shared" si="0"/>
        <v>15</v>
      </c>
      <c r="B22" s="709" t="s">
        <v>691</v>
      </c>
      <c r="C22" s="707" t="s">
        <v>579</v>
      </c>
      <c r="D22" s="712">
        <f>(D14-D13)*0.05*D20</f>
        <v>3.1710000000000003</v>
      </c>
    </row>
    <row r="23" spans="1:15" ht="21.9" customHeight="1">
      <c r="A23" s="713">
        <f t="shared" si="0"/>
        <v>16</v>
      </c>
      <c r="B23" s="708" t="s">
        <v>692</v>
      </c>
      <c r="C23" s="707" t="s">
        <v>579</v>
      </c>
      <c r="D23" s="712">
        <f>D20-D21-D22</f>
        <v>431.21070000000003</v>
      </c>
    </row>
    <row r="24" spans="1:15" ht="21.9" customHeight="1">
      <c r="A24" s="720">
        <f t="shared" si="0"/>
        <v>17</v>
      </c>
      <c r="B24" s="721" t="s">
        <v>693</v>
      </c>
      <c r="C24" s="722" t="s">
        <v>579</v>
      </c>
      <c r="D24" s="723">
        <f>D20-D23</f>
        <v>21.789299999999969</v>
      </c>
    </row>
    <row r="26" spans="1:15" ht="15.6">
      <c r="A26" s="724" t="s">
        <v>94</v>
      </c>
      <c r="B26" s="725" t="s">
        <v>694</v>
      </c>
      <c r="C26" s="15"/>
      <c r="D26" s="22"/>
      <c r="E26" s="22"/>
      <c r="F26" s="22"/>
    </row>
    <row r="27" spans="1:15" ht="30">
      <c r="A27" s="726" t="s">
        <v>92</v>
      </c>
      <c r="B27" s="726" t="s">
        <v>294</v>
      </c>
      <c r="C27" s="726" t="s">
        <v>198</v>
      </c>
      <c r="D27" s="727" t="s">
        <v>695</v>
      </c>
      <c r="E27" s="727" t="s">
        <v>696</v>
      </c>
      <c r="F27" s="727" t="s">
        <v>697</v>
      </c>
      <c r="G27" s="728"/>
      <c r="H27" s="203"/>
      <c r="I27" s="3"/>
    </row>
    <row r="28" spans="1:15" ht="30">
      <c r="A28" s="729">
        <v>1</v>
      </c>
      <c r="B28" s="812" t="s">
        <v>729</v>
      </c>
      <c r="C28" s="718" t="s">
        <v>690</v>
      </c>
      <c r="D28" s="730">
        <f>+D19</f>
        <v>52556.372505000014</v>
      </c>
      <c r="E28" s="730">
        <f>D114</f>
        <v>5487.3333333333321</v>
      </c>
      <c r="F28" s="731">
        <f>E28*D28/10^7</f>
        <v>28.839433472576999</v>
      </c>
      <c r="H28" s="732"/>
    </row>
    <row r="29" spans="1:15" ht="26.25" customHeight="1">
      <c r="A29" s="733">
        <v>2</v>
      </c>
      <c r="B29" s="734" t="s">
        <v>730</v>
      </c>
      <c r="C29" s="735" t="s">
        <v>690</v>
      </c>
      <c r="D29" s="736">
        <f>+D24*D17*D10/1000</f>
        <v>22280.283275755017</v>
      </c>
      <c r="E29" s="736">
        <f>D115</f>
        <v>23586.55</v>
      </c>
      <c r="F29" s="737">
        <f>E29*D29/10^7</f>
        <v>52.551501549775949</v>
      </c>
      <c r="H29" s="732"/>
    </row>
    <row r="30" spans="1:15" ht="15.6">
      <c r="A30" s="345"/>
      <c r="B30" s="738" t="s">
        <v>698</v>
      </c>
      <c r="C30" s="345"/>
      <c r="D30" s="739"/>
      <c r="E30" s="740"/>
      <c r="F30" s="741">
        <f>+F29+F28</f>
        <v>81.390935022352949</v>
      </c>
      <c r="H30" s="732"/>
      <c r="I30" t="s">
        <v>717</v>
      </c>
      <c r="J30" t="s">
        <v>718</v>
      </c>
      <c r="K30">
        <v>4200</v>
      </c>
      <c r="L30" t="s">
        <v>719</v>
      </c>
      <c r="M30" t="s">
        <v>720</v>
      </c>
      <c r="N30" t="s">
        <v>721</v>
      </c>
      <c r="O30" t="s">
        <v>722</v>
      </c>
    </row>
    <row r="31" spans="1:15" ht="15.6">
      <c r="A31" s="742" t="s">
        <v>95</v>
      </c>
      <c r="B31" s="743" t="s">
        <v>699</v>
      </c>
      <c r="C31" s="744"/>
      <c r="D31" s="745"/>
      <c r="E31" s="746"/>
      <c r="F31" s="746"/>
      <c r="I31" t="s">
        <v>723</v>
      </c>
      <c r="J31" t="s">
        <v>718</v>
      </c>
      <c r="K31">
        <v>780</v>
      </c>
      <c r="L31" t="s">
        <v>719</v>
      </c>
    </row>
    <row r="32" spans="1:15">
      <c r="A32" s="729">
        <v>1</v>
      </c>
      <c r="B32" s="24" t="s">
        <v>715</v>
      </c>
      <c r="C32" s="747" t="s">
        <v>690</v>
      </c>
      <c r="D32" s="748">
        <f>(D106-F82)*24*350</f>
        <v>50400</v>
      </c>
      <c r="E32" s="749">
        <f>D124</f>
        <v>1176.3599999999999</v>
      </c>
      <c r="F32" s="750">
        <f>D32*E32/10^7</f>
        <v>5.9288543999999996</v>
      </c>
    </row>
    <row r="33" spans="1:10">
      <c r="A33" s="729">
        <v>2</v>
      </c>
      <c r="B33" s="24" t="s">
        <v>716</v>
      </c>
      <c r="C33" s="752" t="s">
        <v>724</v>
      </c>
      <c r="D33" s="748">
        <f>(D107-F83)*24*350*780/10^6</f>
        <v>131040</v>
      </c>
      <c r="E33" s="749">
        <f>D116</f>
        <v>1080.19</v>
      </c>
      <c r="F33" s="750">
        <f>D33*E33/10^7</f>
        <v>14.154809759999999</v>
      </c>
    </row>
    <row r="34" spans="1:10" ht="17.399999999999999">
      <c r="A34" s="751">
        <v>2</v>
      </c>
      <c r="B34" s="815" t="s">
        <v>739</v>
      </c>
      <c r="C34" s="816" t="s">
        <v>740</v>
      </c>
      <c r="D34" s="810">
        <f>(0)*24*350/10^3</f>
        <v>0</v>
      </c>
      <c r="E34" s="749">
        <f>D120+1000</f>
        <v>1935.5</v>
      </c>
      <c r="F34" s="753">
        <f t="shared" ref="F34:F37" si="1">D34*E34/10^7</f>
        <v>0</v>
      </c>
      <c r="H34" s="754"/>
      <c r="I34" s="754"/>
    </row>
    <row r="35" spans="1:10">
      <c r="A35" s="751">
        <v>3</v>
      </c>
      <c r="B35" s="815" t="s">
        <v>700</v>
      </c>
      <c r="C35" s="816" t="s">
        <v>663</v>
      </c>
      <c r="D35" s="810">
        <f>0*24*350/10^3</f>
        <v>0</v>
      </c>
      <c r="E35" s="749">
        <f>D119</f>
        <v>5072.7</v>
      </c>
      <c r="F35" s="750">
        <f t="shared" si="1"/>
        <v>0</v>
      </c>
      <c r="H35" s="754"/>
      <c r="I35" s="754"/>
    </row>
    <row r="36" spans="1:10" ht="17.399999999999999">
      <c r="A36" s="751">
        <v>4</v>
      </c>
      <c r="B36" s="815" t="s">
        <v>741</v>
      </c>
      <c r="C36" s="816" t="s">
        <v>740</v>
      </c>
      <c r="D36" s="810">
        <f>(0)*24*350/10^3</f>
        <v>0</v>
      </c>
      <c r="E36" s="749">
        <f>D121</f>
        <v>786.44</v>
      </c>
      <c r="F36" s="753">
        <f t="shared" si="1"/>
        <v>0</v>
      </c>
      <c r="H36" s="754"/>
      <c r="I36" s="754"/>
    </row>
    <row r="37" spans="1:10" ht="17.399999999999999">
      <c r="A37" s="751">
        <v>5</v>
      </c>
      <c r="B37" s="815" t="s">
        <v>742</v>
      </c>
      <c r="C37" s="816" t="s">
        <v>743</v>
      </c>
      <c r="D37" s="811">
        <f>(0)*24*350/10^5</f>
        <v>0</v>
      </c>
      <c r="E37" s="749">
        <f>D122</f>
        <v>2216.2600000000002</v>
      </c>
      <c r="F37" s="753">
        <f t="shared" si="1"/>
        <v>0</v>
      </c>
      <c r="H37" s="754"/>
      <c r="I37" s="754"/>
    </row>
    <row r="38" spans="1:10">
      <c r="A38" s="755">
        <v>6</v>
      </c>
      <c r="B38" s="756" t="s">
        <v>748</v>
      </c>
      <c r="C38" s="757"/>
      <c r="D38" s="758"/>
      <c r="E38" s="759"/>
      <c r="F38" s="760">
        <f>CC!E173*0.025</f>
        <v>1.3505954223268137</v>
      </c>
      <c r="H38" s="754"/>
      <c r="I38" s="754"/>
    </row>
    <row r="39" spans="1:10" ht="15.6">
      <c r="A39" s="761"/>
      <c r="B39" s="762" t="s">
        <v>701</v>
      </c>
      <c r="C39" s="91"/>
      <c r="D39" s="763"/>
      <c r="E39" s="763"/>
      <c r="F39" s="762">
        <f>SUM(F32:F38)</f>
        <v>21.43425958232681</v>
      </c>
      <c r="H39" s="251"/>
      <c r="I39" s="251"/>
    </row>
    <row r="40" spans="1:10" ht="15.6">
      <c r="A40" s="764"/>
      <c r="B40" s="765" t="s">
        <v>702</v>
      </c>
      <c r="C40" s="91" t="s">
        <v>335</v>
      </c>
      <c r="D40" s="766"/>
      <c r="E40" s="767"/>
      <c r="F40" s="762">
        <f>F30-F39</f>
        <v>59.956675440026139</v>
      </c>
      <c r="G40">
        <v>49.816194747660603</v>
      </c>
      <c r="H40" s="251">
        <v>133.94723662613373</v>
      </c>
      <c r="I40" s="251"/>
    </row>
    <row r="41" spans="1:10">
      <c r="G41">
        <v>108.39368225358277</v>
      </c>
      <c r="H41">
        <v>71.419693767441785</v>
      </c>
    </row>
    <row r="43" spans="1:10">
      <c r="F43" s="769"/>
    </row>
    <row r="45" spans="1:10" ht="15.6">
      <c r="B45" s="770" t="s">
        <v>703</v>
      </c>
      <c r="C45" s="771"/>
      <c r="D45" s="617"/>
      <c r="E45" s="617"/>
      <c r="F45" s="772"/>
    </row>
    <row r="46" spans="1:10">
      <c r="B46" s="773"/>
      <c r="C46" s="773"/>
      <c r="D46" s="35" t="s">
        <v>593</v>
      </c>
      <c r="E46" s="218" t="s">
        <v>580</v>
      </c>
      <c r="F46" s="218" t="s">
        <v>594</v>
      </c>
      <c r="G46" s="226"/>
    </row>
    <row r="47" spans="1:10" ht="15.6">
      <c r="B47" s="35" t="s">
        <v>595</v>
      </c>
      <c r="C47" s="218" t="s">
        <v>576</v>
      </c>
      <c r="D47" s="774">
        <f>F79</f>
        <v>2760.06</v>
      </c>
      <c r="E47" s="775">
        <f>(+D47+D47*(E49-D49)/100*C55)*0+G56</f>
        <v>2921.52351</v>
      </c>
      <c r="F47" s="776">
        <f>ROUND(+E47-D47,0)</f>
        <v>161</v>
      </c>
      <c r="G47" s="611"/>
      <c r="H47">
        <f>D47+H53</f>
        <v>2879.0185860000001</v>
      </c>
      <c r="J47" s="4"/>
    </row>
    <row r="48" spans="1:10" ht="15.6">
      <c r="B48" s="35" t="s">
        <v>629</v>
      </c>
      <c r="C48" s="218" t="s">
        <v>579</v>
      </c>
      <c r="D48" s="774">
        <f>F80</f>
        <v>453</v>
      </c>
      <c r="E48" s="775">
        <f>(+D48-D48*(E49-D49)/100*D55)*0+F56</f>
        <v>431.21069999999997</v>
      </c>
      <c r="F48" s="776">
        <f>ROUND(+E48-D48,0)</f>
        <v>-22</v>
      </c>
      <c r="G48" s="611"/>
    </row>
    <row r="49" spans="1:9">
      <c r="B49" s="35" t="s">
        <v>631</v>
      </c>
      <c r="C49" s="218" t="s">
        <v>632</v>
      </c>
      <c r="D49" s="774">
        <f>F78</f>
        <v>912</v>
      </c>
      <c r="E49" s="776">
        <f>1200</f>
        <v>1200</v>
      </c>
      <c r="F49" s="776">
        <f>+E49-D49</f>
        <v>288</v>
      </c>
      <c r="G49" s="777"/>
    </row>
    <row r="50" spans="1:9">
      <c r="B50" s="778"/>
      <c r="D50" s="22"/>
      <c r="F50" s="779"/>
    </row>
    <row r="51" spans="1:9" ht="90">
      <c r="B51" s="780" t="s">
        <v>704</v>
      </c>
      <c r="C51" s="182" t="s">
        <v>705</v>
      </c>
      <c r="D51" s="182" t="s">
        <v>706</v>
      </c>
      <c r="E51" s="781" t="s">
        <v>707</v>
      </c>
      <c r="F51" t="s">
        <v>629</v>
      </c>
      <c r="G51" t="s">
        <v>595</v>
      </c>
    </row>
    <row r="52" spans="1:9">
      <c r="B52" s="780" t="s">
        <v>708</v>
      </c>
      <c r="C52" s="782">
        <v>0.02</v>
      </c>
      <c r="D52" s="782">
        <v>0.02</v>
      </c>
      <c r="E52">
        <f>1000-D49</f>
        <v>88</v>
      </c>
      <c r="F52" s="783">
        <f>D48*E52*D52/100</f>
        <v>7.9727999999999994</v>
      </c>
      <c r="G52" s="783">
        <f>D47*C52*E52/100</f>
        <v>48.577055999999999</v>
      </c>
      <c r="H52">
        <f>D47*0.02*F49/100</f>
        <v>158.979456</v>
      </c>
      <c r="I52" s="618" t="s">
        <v>628</v>
      </c>
    </row>
    <row r="53" spans="1:9">
      <c r="B53" s="780" t="s">
        <v>709</v>
      </c>
      <c r="C53" s="782">
        <v>1.4999999999999999E-2</v>
      </c>
      <c r="D53" s="782">
        <v>1.4999999999999999E-2</v>
      </c>
      <c r="E53">
        <v>100</v>
      </c>
      <c r="F53" s="783">
        <f>D48*E53*D53/100</f>
        <v>6.7949999999999999</v>
      </c>
      <c r="G53" s="783">
        <f>D47*E53*C53/100</f>
        <v>41.4009</v>
      </c>
      <c r="H53">
        <f>SUM(G52:G54)</f>
        <v>118.95858600000001</v>
      </c>
      <c r="I53" t="s">
        <v>710</v>
      </c>
    </row>
    <row r="54" spans="1:9">
      <c r="B54" s="780" t="s">
        <v>711</v>
      </c>
      <c r="C54" s="782">
        <v>1.0500000000000001E-2</v>
      </c>
      <c r="D54" s="782">
        <v>8.5000000000000006E-3</v>
      </c>
      <c r="E54">
        <v>100</v>
      </c>
      <c r="F54" s="783">
        <f>D48*E54*D54/100</f>
        <v>3.8505000000000003</v>
      </c>
      <c r="G54" s="783">
        <f>D47*E54*C54/100</f>
        <v>28.980630000000001</v>
      </c>
      <c r="H54">
        <f>D48*0.033*F49/100</f>
        <v>43.05312</v>
      </c>
      <c r="I54" s="618" t="s">
        <v>630</v>
      </c>
    </row>
    <row r="55" spans="1:9" ht="46.8">
      <c r="B55" s="780" t="s">
        <v>583</v>
      </c>
      <c r="C55" s="782">
        <f>AVERAGE(C52:C54)</f>
        <v>1.5166666666666669E-2</v>
      </c>
      <c r="D55" s="782">
        <f>AVERAGE(D52:D54)</f>
        <v>1.4500000000000001E-2</v>
      </c>
      <c r="E55" s="784" t="s">
        <v>712</v>
      </c>
      <c r="F55" s="783">
        <f>D61*D20</f>
        <v>3.1710000000000003</v>
      </c>
      <c r="G55" s="783">
        <f>D60*D9</f>
        <v>42.504924000000003</v>
      </c>
      <c r="H55">
        <f>SUM(F52:F54)</f>
        <v>18.618299999999998</v>
      </c>
      <c r="I55" t="s">
        <v>710</v>
      </c>
    </row>
    <row r="56" spans="1:9" ht="31.2">
      <c r="B56" s="253"/>
      <c r="C56" s="785"/>
      <c r="D56" s="785"/>
      <c r="E56" s="784" t="s">
        <v>713</v>
      </c>
      <c r="F56" s="783">
        <f>D48-SUM(F52:F55)</f>
        <v>431.21069999999997</v>
      </c>
      <c r="G56" s="783">
        <f>D47+SUM(G52:G55)</f>
        <v>2921.52351</v>
      </c>
    </row>
    <row r="57" spans="1:9" ht="15.6">
      <c r="B57" s="786" t="s">
        <v>634</v>
      </c>
      <c r="G57" s="786"/>
      <c r="H57" s="783"/>
      <c r="I57" s="783"/>
    </row>
    <row r="58" spans="1:9" ht="15.6">
      <c r="A58" s="787">
        <v>1</v>
      </c>
      <c r="B58" s="788" t="s">
        <v>635</v>
      </c>
      <c r="C58" s="789" t="s">
        <v>636</v>
      </c>
      <c r="D58" s="790">
        <f>F81</f>
        <v>0.86</v>
      </c>
      <c r="G58" s="786"/>
      <c r="H58" s="783"/>
      <c r="I58" s="783"/>
    </row>
    <row r="59" spans="1:9" ht="15.6">
      <c r="A59" s="787">
        <v>2</v>
      </c>
      <c r="B59" s="788" t="s">
        <v>637</v>
      </c>
      <c r="C59" s="789" t="s">
        <v>638</v>
      </c>
      <c r="D59" s="790">
        <f>D98</f>
        <v>1</v>
      </c>
      <c r="G59" s="786"/>
      <c r="H59" s="783"/>
      <c r="I59" s="783"/>
    </row>
    <row r="60" spans="1:9" ht="15.6">
      <c r="A60" s="787">
        <v>3</v>
      </c>
      <c r="B60" s="788" t="s">
        <v>639</v>
      </c>
      <c r="C60" s="789"/>
      <c r="D60" s="791">
        <f>0.011*(D59-D58)/0.1</f>
        <v>1.54E-2</v>
      </c>
      <c r="E60" s="618" t="s">
        <v>640</v>
      </c>
      <c r="G60" s="786"/>
      <c r="H60" s="783"/>
      <c r="I60" s="783"/>
    </row>
    <row r="61" spans="1:9" ht="15.6">
      <c r="A61" s="787">
        <v>4</v>
      </c>
      <c r="B61" s="788" t="s">
        <v>641</v>
      </c>
      <c r="C61" s="789" t="s">
        <v>579</v>
      </c>
      <c r="D61" s="792">
        <f>(D59-D58)*(0.05)*0+0.005*(D59-D58)/0.1</f>
        <v>7.000000000000001E-3</v>
      </c>
      <c r="E61" s="618" t="s">
        <v>642</v>
      </c>
      <c r="G61" s="786"/>
      <c r="H61" s="783"/>
      <c r="I61" s="783"/>
    </row>
    <row r="62" spans="1:9">
      <c r="B62" s="768"/>
      <c r="C62" s="768"/>
      <c r="D62" s="768"/>
      <c r="E62" s="768"/>
      <c r="F62" s="768"/>
    </row>
    <row r="63" spans="1:9">
      <c r="A63" s="793"/>
      <c r="B63" s="793"/>
      <c r="C63" s="793"/>
      <c r="D63" s="793"/>
      <c r="E63" s="793"/>
      <c r="F63" s="793"/>
    </row>
    <row r="64" spans="1:9" ht="15.6">
      <c r="A64" s="794" t="s">
        <v>585</v>
      </c>
      <c r="B64" s="795"/>
      <c r="C64" s="796"/>
      <c r="D64" s="795"/>
      <c r="E64" s="795"/>
    </row>
    <row r="65" spans="1:9">
      <c r="A65" s="797">
        <v>1</v>
      </c>
      <c r="B65" s="798" t="s">
        <v>586</v>
      </c>
      <c r="C65" s="799" t="s">
        <v>41</v>
      </c>
      <c r="D65" s="796">
        <f>D9*D10</f>
        <v>966021</v>
      </c>
      <c r="E65" s="795"/>
    </row>
    <row r="66" spans="1:9">
      <c r="A66" s="797">
        <f t="shared" ref="A66:A71" si="2">+A65+1</f>
        <v>2</v>
      </c>
      <c r="B66" s="798" t="s">
        <v>587</v>
      </c>
      <c r="C66" s="800" t="s">
        <v>575</v>
      </c>
      <c r="D66" s="801">
        <f>D126</f>
        <v>180</v>
      </c>
      <c r="E66" s="795"/>
    </row>
    <row r="67" spans="1:9">
      <c r="A67" s="797">
        <v>3</v>
      </c>
      <c r="B67" s="798" t="s">
        <v>671</v>
      </c>
      <c r="C67" s="800" t="s">
        <v>575</v>
      </c>
      <c r="D67" s="801">
        <f>D127</f>
        <v>180</v>
      </c>
      <c r="E67" s="795"/>
    </row>
    <row r="68" spans="1:9">
      <c r="A68" s="797">
        <f t="shared" si="2"/>
        <v>4</v>
      </c>
      <c r="B68" s="798" t="s">
        <v>588</v>
      </c>
      <c r="C68" s="800" t="s">
        <v>575</v>
      </c>
      <c r="D68" s="802">
        <f>+D66-D67</f>
        <v>0</v>
      </c>
      <c r="E68" s="795"/>
    </row>
    <row r="69" spans="1:9">
      <c r="A69" s="797">
        <f t="shared" si="2"/>
        <v>5</v>
      </c>
      <c r="B69" s="803" t="s">
        <v>589</v>
      </c>
      <c r="C69" s="804" t="s">
        <v>590</v>
      </c>
      <c r="D69" s="796">
        <f>+D68*D65/350</f>
        <v>0</v>
      </c>
      <c r="E69" s="795"/>
    </row>
    <row r="70" spans="1:9">
      <c r="A70" s="797">
        <f t="shared" si="2"/>
        <v>6</v>
      </c>
      <c r="B70" s="805" t="s">
        <v>578</v>
      </c>
      <c r="C70" s="800" t="s">
        <v>577</v>
      </c>
      <c r="D70" s="796">
        <f>D69*D123</f>
        <v>0</v>
      </c>
      <c r="E70" s="795"/>
    </row>
    <row r="71" spans="1:9" ht="15.6">
      <c r="A71" s="797">
        <f t="shared" si="2"/>
        <v>7</v>
      </c>
      <c r="B71" s="806" t="s">
        <v>591</v>
      </c>
      <c r="C71" s="807" t="s">
        <v>592</v>
      </c>
      <c r="D71" s="808">
        <f>D70*E28/10^7</f>
        <v>0</v>
      </c>
      <c r="E71" s="795"/>
    </row>
    <row r="72" spans="1:9">
      <c r="A72" s="797"/>
      <c r="B72" s="806"/>
      <c r="C72" s="807"/>
      <c r="D72" s="806"/>
      <c r="E72" s="795"/>
    </row>
    <row r="74" spans="1:9" ht="17.399999999999999">
      <c r="A74" s="618"/>
      <c r="B74" s="2361" t="s">
        <v>613</v>
      </c>
      <c r="C74" s="2361"/>
      <c r="D74" s="2361"/>
      <c r="E74" s="2361"/>
      <c r="F74" s="2361"/>
      <c r="G74" s="2361"/>
      <c r="H74" s="2361"/>
      <c r="I74" s="618"/>
    </row>
    <row r="75" spans="1:9">
      <c r="A75" s="618"/>
      <c r="B75" s="618"/>
      <c r="C75" s="618"/>
      <c r="D75" s="618"/>
      <c r="E75" s="618"/>
      <c r="F75" s="618"/>
      <c r="G75" s="618"/>
      <c r="H75" s="618"/>
      <c r="I75" s="618"/>
    </row>
    <row r="76" spans="1:9" ht="15.6" thickBot="1">
      <c r="A76" s="618"/>
      <c r="B76" s="619" t="s">
        <v>596</v>
      </c>
      <c r="C76" s="620"/>
      <c r="D76" s="620"/>
      <c r="E76" s="620"/>
      <c r="F76" s="620"/>
      <c r="G76" s="618"/>
      <c r="H76" s="618"/>
      <c r="I76" s="618"/>
    </row>
    <row r="77" spans="1:9" ht="15.6" thickBot="1">
      <c r="A77" s="618"/>
      <c r="B77" s="621" t="s">
        <v>8</v>
      </c>
      <c r="C77" s="622" t="s">
        <v>198</v>
      </c>
      <c r="D77" s="622" t="s">
        <v>582</v>
      </c>
      <c r="E77" s="622" t="s">
        <v>581</v>
      </c>
      <c r="F77" s="644" t="s">
        <v>597</v>
      </c>
      <c r="G77" s="643" t="s">
        <v>598</v>
      </c>
      <c r="H77" s="645"/>
      <c r="I77" s="618"/>
    </row>
    <row r="78" spans="1:9">
      <c r="A78" s="618"/>
      <c r="B78" s="646" t="s">
        <v>614</v>
      </c>
      <c r="C78" s="647" t="s">
        <v>615</v>
      </c>
      <c r="D78" s="648">
        <v>901</v>
      </c>
      <c r="E78" s="648">
        <v>869</v>
      </c>
      <c r="F78" s="649">
        <v>912</v>
      </c>
      <c r="G78" s="650">
        <f>AVERAGE(D78:F78)</f>
        <v>894</v>
      </c>
      <c r="H78" s="651"/>
      <c r="I78" s="618"/>
    </row>
    <row r="79" spans="1:9">
      <c r="A79" s="618"/>
      <c r="B79" s="624" t="s">
        <v>599</v>
      </c>
      <c r="C79" s="625" t="s">
        <v>576</v>
      </c>
      <c r="D79" s="652">
        <v>2681</v>
      </c>
      <c r="E79" s="652">
        <v>2827</v>
      </c>
      <c r="F79" s="653">
        <f>F88*1758</f>
        <v>2760.06</v>
      </c>
      <c r="G79" s="650">
        <f>AVERAGE(D79:F79)</f>
        <v>2756.02</v>
      </c>
      <c r="H79" s="651"/>
      <c r="I79" s="618"/>
    </row>
    <row r="80" spans="1:9">
      <c r="A80" s="618"/>
      <c r="B80" s="624" t="s">
        <v>600</v>
      </c>
      <c r="C80" s="625" t="s">
        <v>601</v>
      </c>
      <c r="D80" s="652">
        <f>433833*1000/930981</f>
        <v>465.9955466330677</v>
      </c>
      <c r="E80" s="652">
        <f>483248*1000/981175</f>
        <v>492.51968303309809</v>
      </c>
      <c r="F80" s="653">
        <v>453</v>
      </c>
      <c r="G80" s="650">
        <f>(D79*D80+E79*E80+F79*F80)/(D79+E79+F79)</f>
        <v>470.72643213254656</v>
      </c>
      <c r="H80" s="651"/>
      <c r="I80" s="618"/>
    </row>
    <row r="81" spans="1:12">
      <c r="A81" s="618"/>
      <c r="B81" s="624" t="s">
        <v>616</v>
      </c>
      <c r="C81" s="625" t="s">
        <v>617</v>
      </c>
      <c r="D81" s="654">
        <v>0.89</v>
      </c>
      <c r="E81" s="654">
        <v>0.86</v>
      </c>
      <c r="F81" s="655">
        <v>0.86</v>
      </c>
      <c r="G81" s="656">
        <f>AVERAGE(D81:F81)</f>
        <v>0.87</v>
      </c>
      <c r="H81" s="657"/>
      <c r="I81" s="618"/>
    </row>
    <row r="82" spans="1:12">
      <c r="A82" s="618"/>
      <c r="B82" s="624" t="s">
        <v>618</v>
      </c>
      <c r="C82" s="625" t="s">
        <v>619</v>
      </c>
      <c r="D82" s="654">
        <v>1.96</v>
      </c>
      <c r="E82" s="654">
        <v>4</v>
      </c>
      <c r="F82" s="655">
        <v>4</v>
      </c>
      <c r="G82" s="656">
        <f>AVERAGE(D82:F82)</f>
        <v>3.3200000000000003</v>
      </c>
      <c r="H82" s="658"/>
      <c r="I82" s="618"/>
    </row>
    <row r="83" spans="1:12">
      <c r="A83" s="618"/>
      <c r="B83" s="624" t="s">
        <v>620</v>
      </c>
      <c r="C83" s="625" t="s">
        <v>609</v>
      </c>
      <c r="D83" s="659">
        <v>90000</v>
      </c>
      <c r="E83" s="659">
        <v>90000</v>
      </c>
      <c r="F83" s="660">
        <v>90000</v>
      </c>
      <c r="G83" s="661">
        <v>90000</v>
      </c>
      <c r="H83" s="662"/>
      <c r="I83" s="618"/>
    </row>
    <row r="84" spans="1:12">
      <c r="A84" s="618"/>
      <c r="B84" s="624" t="s">
        <v>621</v>
      </c>
      <c r="C84" s="625" t="s">
        <v>609</v>
      </c>
      <c r="D84" s="663" t="s">
        <v>622</v>
      </c>
      <c r="E84" s="663" t="s">
        <v>622</v>
      </c>
      <c r="F84" s="664" t="s">
        <v>622</v>
      </c>
      <c r="G84" s="663" t="s">
        <v>622</v>
      </c>
      <c r="H84" s="665"/>
      <c r="I84" s="618"/>
    </row>
    <row r="85" spans="1:12" ht="30">
      <c r="A85" s="618"/>
      <c r="B85" s="642" t="s">
        <v>623</v>
      </c>
      <c r="C85" s="625" t="s">
        <v>610</v>
      </c>
      <c r="D85" s="663" t="s">
        <v>622</v>
      </c>
      <c r="E85" s="663" t="s">
        <v>622</v>
      </c>
      <c r="F85" s="664" t="s">
        <v>622</v>
      </c>
      <c r="G85" s="663" t="s">
        <v>622</v>
      </c>
      <c r="H85" s="665"/>
      <c r="I85" s="618" t="s">
        <v>735</v>
      </c>
    </row>
    <row r="86" spans="1:12" ht="28.2">
      <c r="A86" s="618"/>
      <c r="B86" s="616" t="s">
        <v>602</v>
      </c>
      <c r="C86" s="625" t="s">
        <v>603</v>
      </c>
      <c r="D86" s="666">
        <v>27172</v>
      </c>
      <c r="E86" s="666">
        <v>24776</v>
      </c>
      <c r="F86" s="667">
        <v>21829</v>
      </c>
      <c r="G86" s="668">
        <f>AVERAGE(D86:F86)</f>
        <v>24592.333333333332</v>
      </c>
      <c r="H86" s="651" t="s">
        <v>624</v>
      </c>
      <c r="I86" s="813" t="s">
        <v>733</v>
      </c>
      <c r="L86">
        <f>36956</f>
        <v>36956</v>
      </c>
    </row>
    <row r="87" spans="1:12" ht="15.6">
      <c r="A87" s="618"/>
      <c r="B87" s="616" t="s">
        <v>625</v>
      </c>
      <c r="C87" s="625"/>
      <c r="D87" s="666">
        <v>19215</v>
      </c>
      <c r="E87" s="666">
        <v>17775.04</v>
      </c>
      <c r="F87" s="666">
        <v>15018.09</v>
      </c>
      <c r="G87" s="668">
        <f>AVERAGE(D87:F87)</f>
        <v>17336.043333333335</v>
      </c>
      <c r="H87" s="651" t="s">
        <v>626</v>
      </c>
      <c r="I87" s="813" t="s">
        <v>734</v>
      </c>
      <c r="L87">
        <v>19105</v>
      </c>
    </row>
    <row r="88" spans="1:12">
      <c r="A88" s="618"/>
      <c r="B88" s="626" t="s">
        <v>584</v>
      </c>
      <c r="C88" s="616" t="s">
        <v>604</v>
      </c>
      <c r="D88" s="669">
        <v>1.5249999999999999</v>
      </c>
      <c r="E88" s="669">
        <v>1.6080000000000001</v>
      </c>
      <c r="F88" s="670">
        <v>1.57</v>
      </c>
      <c r="G88" s="671">
        <f>AVERAGE(D88:F88)</f>
        <v>1.5676666666666668</v>
      </c>
      <c r="H88" s="623"/>
      <c r="I88" s="618"/>
    </row>
    <row r="89" spans="1:12">
      <c r="A89" s="618"/>
      <c r="B89" s="618"/>
      <c r="C89" s="618"/>
      <c r="D89" s="618"/>
      <c r="E89" s="618"/>
      <c r="F89" s="618"/>
      <c r="G89" s="618"/>
      <c r="H89" s="618"/>
      <c r="I89" s="618"/>
    </row>
    <row r="90" spans="1:12">
      <c r="A90" s="618"/>
      <c r="B90" s="627" t="s">
        <v>627</v>
      </c>
      <c r="C90" s="628"/>
      <c r="D90" s="629"/>
      <c r="E90" s="629"/>
      <c r="F90" s="630"/>
      <c r="G90" s="618"/>
      <c r="H90" s="618"/>
      <c r="I90" s="618"/>
    </row>
    <row r="91" spans="1:12">
      <c r="A91" s="618"/>
      <c r="B91" s="616"/>
      <c r="C91" s="616"/>
      <c r="D91" s="616" t="s">
        <v>593</v>
      </c>
      <c r="E91" s="631" t="s">
        <v>580</v>
      </c>
      <c r="F91" s="631" t="s">
        <v>594</v>
      </c>
      <c r="G91" s="618"/>
      <c r="H91" s="618"/>
      <c r="I91" s="618"/>
    </row>
    <row r="92" spans="1:12">
      <c r="A92" s="618"/>
      <c r="B92" s="616" t="s">
        <v>595</v>
      </c>
      <c r="C92" s="631" t="s">
        <v>576</v>
      </c>
      <c r="D92" s="672">
        <f>F79</f>
        <v>2760.06</v>
      </c>
      <c r="E92" s="673">
        <f>D92+D92*0.02*F94/100</f>
        <v>2919.039456</v>
      </c>
      <c r="F92" s="616">
        <f>E92-D92</f>
        <v>158.97945600000003</v>
      </c>
      <c r="G92" s="618" t="s">
        <v>628</v>
      </c>
      <c r="H92" s="618"/>
      <c r="I92" s="618"/>
    </row>
    <row r="93" spans="1:12">
      <c r="A93" s="618"/>
      <c r="B93" s="616" t="s">
        <v>629</v>
      </c>
      <c r="C93" s="631" t="s">
        <v>579</v>
      </c>
      <c r="D93" s="672">
        <f>F80</f>
        <v>453</v>
      </c>
      <c r="E93" s="673">
        <f>D93-D93*0.033*F94/100</f>
        <v>409.94688000000002</v>
      </c>
      <c r="F93" s="632">
        <f>E93-D93</f>
        <v>-43.053119999999979</v>
      </c>
      <c r="G93" s="618" t="s">
        <v>630</v>
      </c>
      <c r="H93" s="618"/>
      <c r="I93" s="618"/>
    </row>
    <row r="94" spans="1:12">
      <c r="A94" s="618"/>
      <c r="B94" s="616" t="s">
        <v>631</v>
      </c>
      <c r="C94" s="631" t="s">
        <v>632</v>
      </c>
      <c r="D94" s="672">
        <f>F78</f>
        <v>912</v>
      </c>
      <c r="E94" s="674">
        <v>1200</v>
      </c>
      <c r="F94" s="632">
        <f>+E94-D94</f>
        <v>288</v>
      </c>
      <c r="G94" s="618" t="s">
        <v>633</v>
      </c>
      <c r="H94" s="618"/>
      <c r="I94" s="618"/>
    </row>
    <row r="95" spans="1:12">
      <c r="A95" s="618"/>
      <c r="B95" s="618"/>
      <c r="C95" s="618"/>
      <c r="D95" s="618"/>
      <c r="E95" s="618"/>
      <c r="F95" s="618"/>
      <c r="G95" s="618"/>
      <c r="H95" s="618"/>
      <c r="I95" s="618"/>
    </row>
    <row r="96" spans="1:12">
      <c r="A96" s="618"/>
      <c r="B96" s="633" t="s">
        <v>634</v>
      </c>
      <c r="C96" s="618"/>
      <c r="D96" s="618"/>
      <c r="E96" s="618"/>
      <c r="F96" s="618"/>
      <c r="G96" s="618"/>
      <c r="H96" s="618"/>
      <c r="I96" s="618"/>
    </row>
    <row r="97" spans="1:9">
      <c r="A97" s="675">
        <v>1</v>
      </c>
      <c r="B97" s="676" t="s">
        <v>635</v>
      </c>
      <c r="C97" s="631" t="s">
        <v>636</v>
      </c>
      <c r="D97" s="677">
        <f>F81</f>
        <v>0.86</v>
      </c>
      <c r="E97" s="618"/>
      <c r="F97" s="618"/>
      <c r="G97" s="618"/>
      <c r="H97" s="618"/>
      <c r="I97" s="618"/>
    </row>
    <row r="98" spans="1:9">
      <c r="A98" s="675">
        <v>2</v>
      </c>
      <c r="B98" s="676" t="s">
        <v>637</v>
      </c>
      <c r="C98" s="631" t="s">
        <v>638</v>
      </c>
      <c r="D98" s="678">
        <v>1</v>
      </c>
      <c r="E98" s="618"/>
      <c r="F98" s="618"/>
      <c r="G98" s="618"/>
      <c r="H98" s="618"/>
      <c r="I98" s="618"/>
    </row>
    <row r="99" spans="1:9">
      <c r="A99" s="675">
        <v>3</v>
      </c>
      <c r="B99" s="676" t="s">
        <v>639</v>
      </c>
      <c r="C99" s="631" t="s">
        <v>163</v>
      </c>
      <c r="D99" s="679">
        <f>0.011*(D98-D97)/0.1</f>
        <v>1.54E-2</v>
      </c>
      <c r="E99" s="618" t="s">
        <v>640</v>
      </c>
      <c r="F99" s="618"/>
      <c r="G99" s="618"/>
      <c r="H99" s="618"/>
      <c r="I99" s="618"/>
    </row>
    <row r="100" spans="1:9">
      <c r="A100" s="675">
        <v>4</v>
      </c>
      <c r="B100" s="676" t="s">
        <v>641</v>
      </c>
      <c r="C100" s="631" t="s">
        <v>163</v>
      </c>
      <c r="D100" s="680">
        <f>0.005*(D98-D97)/0.1</f>
        <v>7.000000000000001E-3</v>
      </c>
      <c r="E100" s="618" t="s">
        <v>642</v>
      </c>
      <c r="F100" s="618"/>
      <c r="G100" s="618"/>
      <c r="H100" s="618"/>
      <c r="I100" s="618"/>
    </row>
    <row r="101" spans="1:9">
      <c r="A101" s="618"/>
      <c r="B101" s="618"/>
      <c r="C101" s="618"/>
      <c r="D101" s="618"/>
      <c r="E101" s="618"/>
      <c r="F101" s="618"/>
      <c r="G101" s="618"/>
      <c r="H101" s="618"/>
      <c r="I101" s="618"/>
    </row>
    <row r="102" spans="1:9">
      <c r="A102" s="620"/>
      <c r="B102" s="634" t="s">
        <v>605</v>
      </c>
      <c r="C102" s="620"/>
      <c r="D102" s="620"/>
      <c r="E102" s="620" t="s">
        <v>714</v>
      </c>
      <c r="F102" s="620"/>
      <c r="G102" s="618"/>
      <c r="H102" s="618"/>
      <c r="I102" s="618"/>
    </row>
    <row r="103" spans="1:9">
      <c r="A103" s="612">
        <v>1</v>
      </c>
      <c r="B103" s="635" t="s">
        <v>606</v>
      </c>
      <c r="C103" s="616" t="s">
        <v>607</v>
      </c>
      <c r="D103" s="678">
        <v>0</v>
      </c>
      <c r="E103" s="636"/>
      <c r="F103" s="620"/>
      <c r="G103" s="618"/>
      <c r="H103" s="618" t="s">
        <v>0</v>
      </c>
      <c r="I103" s="618"/>
    </row>
    <row r="104" spans="1:9">
      <c r="A104" s="612">
        <v>2</v>
      </c>
      <c r="B104" s="635" t="s">
        <v>643</v>
      </c>
      <c r="C104" s="616" t="s">
        <v>610</v>
      </c>
      <c r="D104" s="678">
        <v>0</v>
      </c>
      <c r="E104" s="620"/>
      <c r="F104" s="620"/>
      <c r="G104" s="618"/>
      <c r="H104" s="618"/>
      <c r="I104" s="618"/>
    </row>
    <row r="105" spans="1:9">
      <c r="A105" s="612">
        <v>3</v>
      </c>
      <c r="B105" s="612" t="s">
        <v>608</v>
      </c>
      <c r="C105" s="616" t="s">
        <v>609</v>
      </c>
      <c r="D105" s="681">
        <v>0</v>
      </c>
      <c r="E105" s="620"/>
      <c r="F105" s="620"/>
      <c r="G105" s="618"/>
      <c r="H105" s="618"/>
      <c r="I105" s="618"/>
    </row>
    <row r="106" spans="1:9">
      <c r="A106" s="612">
        <v>4</v>
      </c>
      <c r="B106" s="682" t="s">
        <v>644</v>
      </c>
      <c r="C106" s="616" t="s">
        <v>619</v>
      </c>
      <c r="D106" s="683">
        <v>10</v>
      </c>
      <c r="E106" s="620">
        <f>4</f>
        <v>4</v>
      </c>
      <c r="F106" s="620">
        <f>D106-E106</f>
        <v>6</v>
      </c>
      <c r="G106" s="618"/>
      <c r="H106" s="618"/>
      <c r="I106" s="618"/>
    </row>
    <row r="107" spans="1:9">
      <c r="A107" s="612">
        <v>5</v>
      </c>
      <c r="B107" s="642" t="s">
        <v>645</v>
      </c>
      <c r="C107" s="616" t="s">
        <v>609</v>
      </c>
      <c r="D107" s="683">
        <v>110000</v>
      </c>
      <c r="E107" s="620">
        <v>90000</v>
      </c>
      <c r="F107" s="620">
        <f>D107-E107</f>
        <v>20000</v>
      </c>
      <c r="G107" s="618"/>
      <c r="H107" s="618"/>
      <c r="I107" s="618"/>
    </row>
    <row r="108" spans="1:9">
      <c r="A108" s="612">
        <v>6</v>
      </c>
      <c r="B108" s="642" t="s">
        <v>646</v>
      </c>
      <c r="C108" s="616" t="s">
        <v>609</v>
      </c>
      <c r="D108" s="684">
        <v>0</v>
      </c>
      <c r="E108" s="620"/>
      <c r="F108" s="620"/>
      <c r="G108" s="618"/>
      <c r="H108" s="618"/>
      <c r="I108" s="618"/>
    </row>
    <row r="109" spans="1:9" ht="27.6">
      <c r="A109" s="612">
        <v>7</v>
      </c>
      <c r="B109" s="642" t="s">
        <v>647</v>
      </c>
      <c r="C109" s="616" t="s">
        <v>609</v>
      </c>
      <c r="D109" s="685">
        <v>0</v>
      </c>
      <c r="E109" s="620"/>
      <c r="F109" s="620"/>
      <c r="G109" s="618"/>
      <c r="H109" s="618"/>
      <c r="I109" s="618"/>
    </row>
    <row r="110" spans="1:9">
      <c r="A110" s="618"/>
      <c r="B110" s="618"/>
      <c r="C110" s="618"/>
      <c r="D110" s="618"/>
      <c r="E110" s="618"/>
      <c r="F110" s="618"/>
      <c r="G110" s="618"/>
      <c r="H110" s="618"/>
      <c r="I110" s="618"/>
    </row>
    <row r="111" spans="1:9">
      <c r="A111" s="612" t="s">
        <v>92</v>
      </c>
      <c r="B111" s="641" t="s">
        <v>8</v>
      </c>
      <c r="C111" s="641" t="s">
        <v>648</v>
      </c>
      <c r="D111" s="641" t="s">
        <v>649</v>
      </c>
      <c r="E111" s="686"/>
      <c r="F111" s="618"/>
      <c r="G111" s="618"/>
      <c r="H111" s="618"/>
      <c r="I111" s="618"/>
    </row>
    <row r="112" spans="1:9" ht="69">
      <c r="A112" s="687">
        <v>1</v>
      </c>
      <c r="B112" s="612" t="s">
        <v>650</v>
      </c>
      <c r="C112" s="688"/>
      <c r="D112" s="689">
        <f>G86</f>
        <v>24592.333333333332</v>
      </c>
      <c r="E112" s="651" t="s">
        <v>651</v>
      </c>
      <c r="F112" s="618"/>
      <c r="G112" s="618"/>
      <c r="H112" s="618"/>
      <c r="I112" s="618"/>
    </row>
    <row r="113" spans="1:9" ht="69">
      <c r="A113" s="687">
        <v>2</v>
      </c>
      <c r="B113" s="612" t="s">
        <v>652</v>
      </c>
      <c r="C113" s="641" t="s">
        <v>653</v>
      </c>
      <c r="D113" s="814">
        <f>17336*0+L87</f>
        <v>19105</v>
      </c>
      <c r="E113" s="690" t="s">
        <v>736</v>
      </c>
      <c r="F113" s="618"/>
      <c r="G113" s="623"/>
      <c r="H113" s="618"/>
      <c r="I113" s="618"/>
    </row>
    <row r="114" spans="1:9">
      <c r="A114" s="687">
        <v>3</v>
      </c>
      <c r="B114" s="612" t="s">
        <v>654</v>
      </c>
      <c r="C114" s="641" t="s">
        <v>653</v>
      </c>
      <c r="D114" s="691">
        <f>+D112-D113</f>
        <v>5487.3333333333321</v>
      </c>
      <c r="E114" s="692"/>
      <c r="F114" s="618"/>
      <c r="G114" s="623"/>
      <c r="H114" s="618"/>
      <c r="I114" s="618"/>
    </row>
    <row r="115" spans="1:9" ht="41.4">
      <c r="A115" s="687">
        <v>4</v>
      </c>
      <c r="B115" s="612" t="s">
        <v>655</v>
      </c>
      <c r="C115" s="641" t="s">
        <v>653</v>
      </c>
      <c r="D115" s="693">
        <v>23586.55</v>
      </c>
      <c r="E115" s="690" t="s">
        <v>656</v>
      </c>
      <c r="F115" s="618"/>
      <c r="G115" s="623"/>
      <c r="H115" s="618"/>
      <c r="I115" s="809"/>
    </row>
    <row r="116" spans="1:9" ht="41.4">
      <c r="A116" s="687">
        <v>5</v>
      </c>
      <c r="B116" s="612" t="s">
        <v>657</v>
      </c>
      <c r="C116" s="641" t="s">
        <v>658</v>
      </c>
      <c r="D116" s="693">
        <v>1080.19</v>
      </c>
      <c r="E116" s="690" t="s">
        <v>656</v>
      </c>
      <c r="F116" s="694"/>
      <c r="G116" s="618"/>
      <c r="H116" s="618"/>
      <c r="I116" s="809"/>
    </row>
    <row r="117" spans="1:9" ht="41.4">
      <c r="A117" s="687">
        <v>6</v>
      </c>
      <c r="B117" s="612" t="s">
        <v>659</v>
      </c>
      <c r="C117" s="641" t="s">
        <v>658</v>
      </c>
      <c r="D117" s="693">
        <v>1074.07</v>
      </c>
      <c r="E117" s="690" t="s">
        <v>656</v>
      </c>
      <c r="F117" s="694"/>
      <c r="G117" s="618"/>
      <c r="H117" s="618"/>
      <c r="I117" s="809"/>
    </row>
    <row r="118" spans="1:9" ht="16.2">
      <c r="A118" s="687">
        <v>7</v>
      </c>
      <c r="B118" s="612" t="s">
        <v>660</v>
      </c>
      <c r="C118" s="641" t="s">
        <v>661</v>
      </c>
      <c r="D118" s="695" t="s">
        <v>622</v>
      </c>
      <c r="E118" s="696"/>
      <c r="F118" s="694"/>
      <c r="G118" s="618"/>
      <c r="H118" s="618"/>
      <c r="I118" s="809"/>
    </row>
    <row r="119" spans="1:9" ht="41.4">
      <c r="A119" s="687">
        <v>8</v>
      </c>
      <c r="B119" s="612" t="s">
        <v>662</v>
      </c>
      <c r="C119" s="641" t="s">
        <v>663</v>
      </c>
      <c r="D119" s="693">
        <v>5072.7</v>
      </c>
      <c r="E119" s="690" t="s">
        <v>656</v>
      </c>
      <c r="F119" s="694"/>
      <c r="G119" s="618"/>
      <c r="H119" s="618"/>
      <c r="I119" s="809"/>
    </row>
    <row r="120" spans="1:9" ht="41.4">
      <c r="A120" s="687">
        <v>9</v>
      </c>
      <c r="B120" s="612" t="s">
        <v>664</v>
      </c>
      <c r="C120" s="641" t="s">
        <v>665</v>
      </c>
      <c r="D120" s="697">
        <v>935.5</v>
      </c>
      <c r="E120" s="690" t="s">
        <v>656</v>
      </c>
      <c r="F120" s="694"/>
      <c r="G120" s="618"/>
      <c r="H120" s="618"/>
      <c r="I120" s="809"/>
    </row>
    <row r="121" spans="1:9" ht="41.4">
      <c r="A121" s="687">
        <v>10</v>
      </c>
      <c r="B121" s="612" t="s">
        <v>666</v>
      </c>
      <c r="C121" s="641" t="s">
        <v>665</v>
      </c>
      <c r="D121" s="693">
        <v>786.44</v>
      </c>
      <c r="E121" s="690" t="s">
        <v>656</v>
      </c>
      <c r="F121" s="694"/>
      <c r="G121" s="618"/>
      <c r="H121" s="618"/>
      <c r="I121" s="809"/>
    </row>
    <row r="122" spans="1:9" ht="41.4">
      <c r="A122" s="687">
        <v>10</v>
      </c>
      <c r="B122" s="612" t="s">
        <v>667</v>
      </c>
      <c r="C122" s="641" t="s">
        <v>665</v>
      </c>
      <c r="D122" s="693">
        <v>2216.2600000000002</v>
      </c>
      <c r="E122" s="690" t="s">
        <v>656</v>
      </c>
      <c r="F122" s="694"/>
      <c r="G122" s="618"/>
      <c r="H122" s="618"/>
      <c r="I122" s="809"/>
    </row>
    <row r="123" spans="1:9" ht="55.2">
      <c r="A123" s="687">
        <v>11</v>
      </c>
      <c r="B123" s="686" t="s">
        <v>668</v>
      </c>
      <c r="C123" s="698" t="s">
        <v>163</v>
      </c>
      <c r="D123" s="699">
        <v>0.93</v>
      </c>
      <c r="E123" s="690" t="s">
        <v>669</v>
      </c>
      <c r="F123" s="694"/>
      <c r="G123" s="618"/>
      <c r="H123" s="618"/>
      <c r="I123" s="809"/>
    </row>
    <row r="124" spans="1:9" ht="41.4">
      <c r="A124" s="687">
        <v>12</v>
      </c>
      <c r="B124" s="686" t="s">
        <v>670</v>
      </c>
      <c r="C124" s="641" t="s">
        <v>653</v>
      </c>
      <c r="D124" s="693">
        <v>1176.3599999999999</v>
      </c>
      <c r="E124" s="690" t="s">
        <v>656</v>
      </c>
      <c r="F124" s="618"/>
      <c r="G124" s="618"/>
      <c r="H124" s="618"/>
      <c r="I124" s="618"/>
    </row>
    <row r="125" spans="1:9" ht="16.8">
      <c r="A125" s="618"/>
      <c r="B125" s="618"/>
      <c r="C125" s="618"/>
      <c r="D125" s="700"/>
      <c r="E125" s="701"/>
      <c r="F125" s="618"/>
      <c r="G125" s="618"/>
      <c r="H125" s="618"/>
      <c r="I125" s="618"/>
    </row>
    <row r="126" spans="1:9">
      <c r="A126" s="618"/>
      <c r="B126" s="702" t="s">
        <v>587</v>
      </c>
      <c r="C126" s="703" t="s">
        <v>575</v>
      </c>
      <c r="D126" s="704">
        <v>180</v>
      </c>
      <c r="E126" s="618"/>
      <c r="F126" s="618"/>
      <c r="G126" s="618"/>
      <c r="H126" s="618"/>
      <c r="I126" s="618"/>
    </row>
    <row r="127" spans="1:9">
      <c r="A127" s="618"/>
      <c r="B127" s="702" t="s">
        <v>671</v>
      </c>
      <c r="C127" s="703" t="s">
        <v>575</v>
      </c>
      <c r="D127" s="704">
        <v>180</v>
      </c>
      <c r="E127" s="618"/>
      <c r="F127" s="618"/>
      <c r="G127" s="618"/>
      <c r="H127" s="618"/>
      <c r="I127" s="618"/>
    </row>
    <row r="128" spans="1:9">
      <c r="A128" s="618"/>
      <c r="B128" s="702" t="s">
        <v>588</v>
      </c>
      <c r="C128" s="703" t="s">
        <v>575</v>
      </c>
      <c r="D128" s="704">
        <v>0</v>
      </c>
      <c r="E128" s="618"/>
      <c r="F128" s="618"/>
      <c r="G128" s="618"/>
      <c r="H128" s="618"/>
      <c r="I128" s="618"/>
    </row>
    <row r="129" spans="1:9">
      <c r="A129" s="618"/>
      <c r="B129" s="612" t="s">
        <v>672</v>
      </c>
      <c r="C129" s="641" t="s">
        <v>673</v>
      </c>
      <c r="D129" s="674">
        <v>1758</v>
      </c>
      <c r="E129" s="618"/>
      <c r="F129" s="618"/>
      <c r="G129" s="618"/>
      <c r="H129" s="618"/>
      <c r="I129" s="618"/>
    </row>
    <row r="130" spans="1:9">
      <c r="A130" s="618"/>
      <c r="B130" s="612" t="s">
        <v>674</v>
      </c>
      <c r="C130" s="703" t="s">
        <v>575</v>
      </c>
      <c r="D130" s="705">
        <v>350</v>
      </c>
      <c r="E130" s="706"/>
      <c r="F130" s="618"/>
      <c r="G130" s="618"/>
      <c r="H130" s="618"/>
      <c r="I130" s="618"/>
    </row>
    <row r="131" spans="1:9">
      <c r="A131" s="618"/>
      <c r="B131" s="618"/>
      <c r="C131" s="618"/>
      <c r="D131" s="618"/>
      <c r="E131" s="618"/>
      <c r="F131" s="618"/>
      <c r="G131" s="618"/>
      <c r="H131" s="618"/>
      <c r="I131" s="618"/>
    </row>
    <row r="132" spans="1:9">
      <c r="A132" s="618"/>
      <c r="B132" s="633" t="s">
        <v>675</v>
      </c>
      <c r="C132" s="618"/>
      <c r="D132" s="618"/>
      <c r="E132" s="618"/>
      <c r="F132" s="618"/>
      <c r="G132" s="618"/>
      <c r="H132" s="618"/>
      <c r="I132" s="618"/>
    </row>
    <row r="133" spans="1:9">
      <c r="A133" s="618"/>
      <c r="B133" s="618"/>
      <c r="C133" s="618"/>
      <c r="D133" s="618"/>
      <c r="E133" s="618"/>
      <c r="F133" s="618"/>
      <c r="G133" s="618"/>
      <c r="H133" s="618"/>
      <c r="I133" s="618"/>
    </row>
    <row r="134" spans="1:9">
      <c r="A134" s="618"/>
      <c r="B134" s="618"/>
      <c r="C134" s="618"/>
      <c r="D134" s="618"/>
      <c r="E134" s="618"/>
      <c r="F134" s="618"/>
      <c r="G134" s="618"/>
      <c r="H134" s="618"/>
      <c r="I134" s="618"/>
    </row>
    <row r="135" spans="1:9">
      <c r="A135" s="618"/>
      <c r="B135" s="618"/>
      <c r="C135" s="618"/>
      <c r="D135" s="618"/>
      <c r="E135" s="618"/>
      <c r="F135" s="618"/>
      <c r="G135" s="618"/>
      <c r="H135" s="618"/>
      <c r="I135" s="618"/>
    </row>
    <row r="136" spans="1:9">
      <c r="A136" s="618"/>
      <c r="B136" s="618"/>
      <c r="C136" s="618"/>
      <c r="D136" s="618"/>
      <c r="E136" s="618"/>
      <c r="F136" s="618"/>
      <c r="G136" s="618"/>
      <c r="H136" s="618"/>
      <c r="I136" s="618"/>
    </row>
    <row r="137" spans="1:9">
      <c r="A137" s="618"/>
      <c r="B137" s="618"/>
      <c r="C137" s="618"/>
      <c r="D137" s="618"/>
      <c r="E137" s="618"/>
      <c r="F137" s="618"/>
      <c r="G137" s="618"/>
      <c r="H137" s="618"/>
      <c r="I137" s="618"/>
    </row>
    <row r="138" spans="1:9">
      <c r="A138" s="618"/>
      <c r="B138" s="618"/>
      <c r="C138" s="618"/>
      <c r="D138" s="618"/>
      <c r="E138" s="618"/>
      <c r="F138" s="618"/>
      <c r="G138" s="618"/>
      <c r="H138" s="618"/>
      <c r="I138" s="618"/>
    </row>
    <row r="139" spans="1:9">
      <c r="A139" s="618"/>
      <c r="B139" s="618"/>
      <c r="C139" s="618"/>
      <c r="D139" s="618"/>
      <c r="E139" s="618"/>
      <c r="F139" s="618"/>
      <c r="G139" s="618"/>
      <c r="H139" s="618"/>
      <c r="I139" s="618"/>
    </row>
    <row r="140" spans="1:9">
      <c r="A140" s="618"/>
      <c r="B140" s="618"/>
      <c r="C140" s="618"/>
      <c r="D140" s="618"/>
      <c r="E140" s="618"/>
      <c r="F140" s="618"/>
      <c r="G140" s="618"/>
      <c r="H140" s="618"/>
      <c r="I140" s="618"/>
    </row>
    <row r="141" spans="1:9">
      <c r="A141" s="618"/>
      <c r="B141" s="618"/>
      <c r="C141" s="618"/>
      <c r="D141" s="618"/>
      <c r="E141" s="618"/>
      <c r="F141" s="618"/>
      <c r="G141" s="618"/>
      <c r="H141" s="618"/>
      <c r="I141" s="618"/>
    </row>
    <row r="142" spans="1:9">
      <c r="A142" s="618"/>
      <c r="B142" s="618"/>
      <c r="C142" s="618"/>
      <c r="D142" s="618"/>
      <c r="E142" s="618"/>
      <c r="F142" s="618"/>
      <c r="G142" s="618"/>
      <c r="H142" s="618"/>
      <c r="I142" s="618"/>
    </row>
    <row r="143" spans="1:9">
      <c r="A143" s="618"/>
      <c r="B143" s="618"/>
      <c r="C143" s="618"/>
      <c r="D143" s="618"/>
      <c r="E143" s="618"/>
      <c r="F143" s="618"/>
      <c r="G143" s="618"/>
      <c r="H143" s="618"/>
      <c r="I143" s="618"/>
    </row>
    <row r="144" spans="1:9">
      <c r="A144" s="618"/>
      <c r="B144" s="618"/>
      <c r="C144" s="618"/>
      <c r="D144" s="618"/>
      <c r="E144" s="618"/>
      <c r="F144" s="618"/>
      <c r="G144" s="618"/>
      <c r="H144" s="618"/>
      <c r="I144" s="618"/>
    </row>
    <row r="145" spans="1:9">
      <c r="A145" s="618"/>
      <c r="B145" s="618"/>
      <c r="C145" s="618"/>
      <c r="D145" s="618"/>
      <c r="E145" s="618"/>
      <c r="F145" s="618"/>
      <c r="G145" s="618"/>
      <c r="H145" s="618"/>
      <c r="I145" s="618"/>
    </row>
    <row r="146" spans="1:9">
      <c r="A146" s="618"/>
      <c r="B146" s="618"/>
      <c r="C146" s="618"/>
      <c r="D146" s="618"/>
      <c r="E146" s="618"/>
      <c r="F146" s="618"/>
      <c r="G146" s="618"/>
      <c r="H146" s="618"/>
      <c r="I146" s="618"/>
    </row>
    <row r="147" spans="1:9">
      <c r="A147" s="618"/>
      <c r="B147" s="618"/>
      <c r="C147" s="618"/>
      <c r="D147" s="618"/>
      <c r="E147" s="618"/>
      <c r="F147" s="618"/>
      <c r="G147" s="618"/>
      <c r="H147" s="618"/>
      <c r="I147" s="618"/>
    </row>
    <row r="148" spans="1:9">
      <c r="A148" s="618"/>
      <c r="B148" s="618"/>
      <c r="C148" s="618"/>
      <c r="D148" s="618"/>
      <c r="E148" s="618"/>
      <c r="F148" s="618"/>
      <c r="G148" s="618"/>
      <c r="H148" s="618"/>
      <c r="I148" s="618"/>
    </row>
  </sheetData>
  <mergeCells count="4">
    <mergeCell ref="A3:F3"/>
    <mergeCell ref="A4:F4"/>
    <mergeCell ref="A5:F5"/>
    <mergeCell ref="B74:H74"/>
  </mergeCells>
  <pageMargins left="0.70866141732283472" right="0.70866141732283472" top="0.74803149606299213" bottom="0.74803149606299213" header="0.31496062992125984" footer="0.31496062992125984"/>
  <pageSetup paperSize="9" scale="2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A1:BS86"/>
  <sheetViews>
    <sheetView showZeros="0" topLeftCell="E1" workbookViewId="0">
      <selection activeCell="X58" sqref="X58"/>
    </sheetView>
  </sheetViews>
  <sheetFormatPr defaultRowHeight="15"/>
  <cols>
    <col min="2" max="2" width="24.453125" customWidth="1"/>
    <col min="4" max="4" width="13.1796875" bestFit="1" customWidth="1"/>
    <col min="5" max="5" width="11.90625" customWidth="1"/>
    <col min="6" max="6" width="8.36328125" bestFit="1" customWidth="1"/>
    <col min="7" max="7" width="16.90625" customWidth="1"/>
    <col min="8" max="8" width="10" customWidth="1"/>
    <col min="9" max="9" width="10.1796875" customWidth="1"/>
    <col min="10" max="10" width="8.36328125" bestFit="1" customWidth="1"/>
    <col min="11" max="11" width="7.54296875" bestFit="1" customWidth="1"/>
    <col min="21" max="21" width="8.36328125" bestFit="1" customWidth="1"/>
    <col min="22" max="22" width="11.08984375" customWidth="1"/>
    <col min="23" max="23" width="41.90625" customWidth="1"/>
    <col min="24" max="24" width="11.54296875" customWidth="1"/>
    <col min="25" max="25" width="9.90625" customWidth="1"/>
    <col min="26" max="26" width="12.81640625" customWidth="1"/>
    <col min="27" max="27" width="9" bestFit="1" customWidth="1"/>
    <col min="28" max="28" width="10.36328125" customWidth="1"/>
    <col min="29" max="29" width="11.36328125" customWidth="1"/>
    <col min="30" max="30" width="11.1796875" customWidth="1"/>
    <col min="31" max="31" width="10.54296875" customWidth="1"/>
    <col min="32" max="32" width="10.81640625" customWidth="1"/>
    <col min="33" max="33" width="10.1796875" customWidth="1"/>
    <col min="34" max="34" width="10" customWidth="1"/>
    <col min="35" max="35" width="10.08984375" customWidth="1"/>
    <col min="36" max="36" width="8.81640625" customWidth="1"/>
    <col min="37" max="37" width="9.453125" customWidth="1"/>
    <col min="38" max="38" width="10.6328125" customWidth="1"/>
    <col min="39" max="39" width="11.453125" customWidth="1"/>
    <col min="40" max="40" width="9.54296875" customWidth="1"/>
    <col min="41" max="41" width="10.90625" customWidth="1"/>
    <col min="42" max="42" width="8.81640625" customWidth="1"/>
    <col min="43" max="43" width="9" customWidth="1"/>
    <col min="44" max="44" width="10.1796875" customWidth="1"/>
    <col min="45" max="45" width="11.453125" customWidth="1"/>
    <col min="46" max="46" width="10.36328125" customWidth="1"/>
    <col min="47" max="47" width="13.08984375" customWidth="1"/>
    <col min="48" max="48" width="12.36328125" customWidth="1"/>
    <col min="49" max="49" width="11.453125" customWidth="1"/>
    <col min="50" max="50" width="9.08984375" customWidth="1"/>
    <col min="51" max="51" width="14.36328125" customWidth="1"/>
    <col min="52" max="52" width="11.54296875" customWidth="1"/>
  </cols>
  <sheetData>
    <row r="1" spans="1:71" ht="20.100000000000001" customHeight="1">
      <c r="V1" s="21"/>
      <c r="W1" s="21" t="s">
        <v>1</v>
      </c>
      <c r="X1" s="21"/>
      <c r="Y1" s="21"/>
      <c r="Z1" s="21"/>
      <c r="AA1" s="21"/>
      <c r="AB1" s="21"/>
      <c r="AC1" s="21"/>
      <c r="AD1" s="21"/>
      <c r="AE1" s="21"/>
      <c r="AF1" s="21"/>
      <c r="AG1" s="21"/>
      <c r="AH1" s="21"/>
      <c r="AI1" s="21"/>
      <c r="AJ1" s="21"/>
      <c r="AK1" s="21"/>
      <c r="AL1" s="21"/>
      <c r="AM1" s="21"/>
      <c r="AN1" s="21"/>
      <c r="AO1" s="21"/>
      <c r="AP1" s="21"/>
      <c r="AQ1" s="21"/>
      <c r="AR1" s="119" t="s">
        <v>315</v>
      </c>
      <c r="AT1" s="21"/>
      <c r="AU1" s="21"/>
    </row>
    <row r="2" spans="1:71" ht="20.100000000000001" customHeight="1">
      <c r="B2" s="14" t="s">
        <v>321</v>
      </c>
      <c r="V2" s="21"/>
      <c r="W2" s="13" t="str">
        <f>CC!E2</f>
        <v>BHILAI STEEL PLANT</v>
      </c>
      <c r="X2" s="21"/>
      <c r="Y2" s="21"/>
      <c r="Z2" s="21"/>
      <c r="AA2" s="21"/>
      <c r="AB2" s="168"/>
      <c r="AC2" s="225"/>
      <c r="AD2" s="21"/>
      <c r="AE2" s="21"/>
      <c r="AF2" s="21"/>
      <c r="AG2" s="21"/>
      <c r="AH2" s="21"/>
      <c r="AI2" s="21"/>
      <c r="AJ2" s="21"/>
      <c r="AK2" s="21"/>
      <c r="AL2" s="21"/>
      <c r="AM2" s="21"/>
      <c r="AN2" s="21"/>
      <c r="AO2" s="21"/>
      <c r="AP2" s="21"/>
      <c r="AQ2" s="21"/>
      <c r="AR2" s="21"/>
      <c r="AS2" s="21"/>
      <c r="AT2" s="21"/>
      <c r="AU2" s="21"/>
      <c r="AX2" s="121"/>
      <c r="AY2" s="122"/>
      <c r="AZ2" s="4"/>
      <c r="BA2" s="4"/>
      <c r="BB2" s="4"/>
      <c r="BC2" s="4"/>
      <c r="BD2" s="4"/>
      <c r="BE2" s="4"/>
      <c r="BF2" s="4"/>
      <c r="BG2" s="4"/>
    </row>
    <row r="3" spans="1:71" ht="20.100000000000001" customHeight="1">
      <c r="B3" s="15" t="s">
        <v>24</v>
      </c>
      <c r="C3" s="15" t="s">
        <v>25</v>
      </c>
      <c r="D3" t="s">
        <v>211</v>
      </c>
      <c r="E3" t="s">
        <v>212</v>
      </c>
      <c r="F3" s="15" t="s">
        <v>18</v>
      </c>
      <c r="G3" t="s">
        <v>26</v>
      </c>
      <c r="H3" s="2360" t="s">
        <v>213</v>
      </c>
      <c r="I3" s="2360"/>
      <c r="V3" s="21"/>
      <c r="W3" s="120" t="str">
        <f>+CC!C3</f>
        <v>Extension of mixer bay and replacement of 02 nos mixer cranes 125+30t, span 28 m in SMS-2</v>
      </c>
      <c r="X3" s="125"/>
      <c r="Y3" s="125"/>
      <c r="Z3" s="126" t="s">
        <v>218</v>
      </c>
      <c r="AA3" s="127"/>
      <c r="AB3" s="125"/>
      <c r="AC3" s="125"/>
      <c r="AD3" s="125"/>
      <c r="AE3" s="125"/>
      <c r="AF3" s="125"/>
      <c r="AG3" s="125"/>
      <c r="AH3" s="125"/>
      <c r="AI3" s="125"/>
      <c r="AJ3" s="125"/>
      <c r="AK3" s="125"/>
      <c r="AL3" s="125"/>
      <c r="AM3" s="21"/>
      <c r="AN3" s="21"/>
      <c r="AO3" s="21"/>
      <c r="AP3" s="21"/>
      <c r="AQ3" s="21"/>
      <c r="AR3" s="21"/>
      <c r="AS3" s="21"/>
      <c r="AT3" s="21"/>
      <c r="AU3" s="21"/>
      <c r="AX3" s="4"/>
      <c r="AY3" s="4"/>
      <c r="AZ3" s="4"/>
      <c r="BA3" s="4"/>
      <c r="BB3" s="4"/>
      <c r="BC3" s="4"/>
      <c r="BD3" s="4"/>
      <c r="BE3" s="4"/>
      <c r="BF3" s="4"/>
      <c r="BG3" s="4"/>
    </row>
    <row r="4" spans="1:71" ht="20.100000000000001" customHeight="1">
      <c r="B4" s="123"/>
      <c r="C4" s="124" t="s">
        <v>28</v>
      </c>
      <c r="D4" s="123" t="s">
        <v>214</v>
      </c>
      <c r="E4" s="123" t="s">
        <v>215</v>
      </c>
      <c r="F4" s="239" t="s">
        <v>382</v>
      </c>
      <c r="G4" s="123" t="s">
        <v>30</v>
      </c>
      <c r="H4" s="124" t="s">
        <v>199</v>
      </c>
      <c r="I4" s="124" t="s">
        <v>29</v>
      </c>
      <c r="J4" s="123" t="s">
        <v>216</v>
      </c>
      <c r="K4" s="123" t="s">
        <v>217</v>
      </c>
      <c r="V4" s="21"/>
      <c r="W4" s="129" t="s">
        <v>219</v>
      </c>
      <c r="X4" s="125"/>
      <c r="Y4" s="125"/>
      <c r="Z4" s="125"/>
      <c r="AA4" s="130"/>
      <c r="AB4" s="125"/>
      <c r="AC4" s="125"/>
      <c r="AD4" s="125"/>
      <c r="AE4" s="125"/>
      <c r="AF4" s="125"/>
      <c r="AG4" s="125"/>
      <c r="AH4" s="125"/>
      <c r="AI4" s="21"/>
      <c r="AJ4" s="125"/>
      <c r="AK4" s="125"/>
      <c r="AL4" s="125"/>
      <c r="AO4" s="21"/>
      <c r="AP4" s="21"/>
      <c r="AQ4" s="131" t="s">
        <v>305</v>
      </c>
      <c r="AS4" s="21"/>
      <c r="AT4" s="21"/>
      <c r="AU4" s="21"/>
      <c r="AX4" s="4"/>
      <c r="AY4" s="132"/>
      <c r="AZ4" s="132"/>
      <c r="BA4" s="132"/>
      <c r="BB4" s="132"/>
      <c r="BC4" s="132"/>
      <c r="BD4" s="132"/>
      <c r="BE4" s="132"/>
      <c r="BF4" s="132"/>
      <c r="BG4" s="132"/>
    </row>
    <row r="5" spans="1:71" ht="20.100000000000001" customHeight="1">
      <c r="B5" s="128"/>
      <c r="C5" s="128"/>
      <c r="D5" s="128"/>
      <c r="E5" s="128"/>
      <c r="F5" s="128"/>
      <c r="G5" s="128"/>
      <c r="H5" s="128"/>
      <c r="I5" s="128"/>
      <c r="V5" s="21"/>
      <c r="W5" s="133" t="s">
        <v>220</v>
      </c>
      <c r="X5" s="134" t="s">
        <v>221</v>
      </c>
      <c r="Y5" s="134" t="s">
        <v>222</v>
      </c>
      <c r="Z5" s="134" t="s">
        <v>223</v>
      </c>
      <c r="AA5" s="134" t="s">
        <v>224</v>
      </c>
      <c r="AB5" s="134" t="s">
        <v>225</v>
      </c>
      <c r="AC5" s="134" t="s">
        <v>226</v>
      </c>
      <c r="AD5" s="134" t="s">
        <v>227</v>
      </c>
      <c r="AE5" s="134" t="s">
        <v>228</v>
      </c>
      <c r="AF5" s="134" t="s">
        <v>229</v>
      </c>
      <c r="AG5" s="134" t="s">
        <v>230</v>
      </c>
      <c r="AH5" s="134" t="s">
        <v>231</v>
      </c>
      <c r="AI5" s="134" t="s">
        <v>232</v>
      </c>
      <c r="AJ5" s="134" t="s">
        <v>233</v>
      </c>
      <c r="AK5" s="134" t="s">
        <v>234</v>
      </c>
      <c r="AL5" s="134" t="s">
        <v>235</v>
      </c>
      <c r="AM5" s="134" t="s">
        <v>236</v>
      </c>
      <c r="AN5" s="134" t="s">
        <v>237</v>
      </c>
      <c r="AO5" s="134" t="s">
        <v>238</v>
      </c>
      <c r="AP5" s="134" t="s">
        <v>239</v>
      </c>
      <c r="AQ5" s="134" t="s">
        <v>240</v>
      </c>
      <c r="AR5" s="134" t="s">
        <v>241</v>
      </c>
      <c r="AS5" s="134" t="s">
        <v>242</v>
      </c>
      <c r="AT5" s="134" t="s">
        <v>337</v>
      </c>
      <c r="AU5" s="135"/>
      <c r="AX5" s="4"/>
      <c r="AY5" s="185" t="s">
        <v>243</v>
      </c>
      <c r="AZ5" s="186"/>
      <c r="BA5" s="122"/>
      <c r="BB5" s="187"/>
      <c r="BC5" s="187"/>
      <c r="BD5" s="187"/>
      <c r="BE5" s="187"/>
      <c r="BF5" s="187"/>
      <c r="BG5" s="187"/>
      <c r="BH5" s="187"/>
      <c r="BI5" s="187"/>
      <c r="BJ5" s="185"/>
      <c r="BK5" s="185"/>
      <c r="BL5" s="185"/>
      <c r="BM5" s="185"/>
      <c r="BN5" s="185"/>
      <c r="BO5" s="185"/>
      <c r="BP5" s="185"/>
      <c r="BQ5" s="185"/>
      <c r="BR5" s="185"/>
      <c r="BS5" s="185"/>
    </row>
    <row r="6" spans="1:71" ht="20.100000000000001" customHeight="1">
      <c r="A6" s="136"/>
      <c r="C6">
        <f>CC!BI1</f>
        <v>57.971955491816004</v>
      </c>
      <c r="D6">
        <f>C6*0</f>
        <v>0</v>
      </c>
      <c r="E6">
        <f>C6*1</f>
        <v>57.971955491816004</v>
      </c>
      <c r="V6" s="21"/>
      <c r="W6" s="137" t="s">
        <v>244</v>
      </c>
      <c r="X6" s="138">
        <v>0</v>
      </c>
      <c r="Y6" s="138">
        <v>0.7</v>
      </c>
      <c r="Z6" s="138">
        <v>0.8</v>
      </c>
      <c r="AA6" s="138">
        <v>0.9</v>
      </c>
      <c r="AB6" s="138">
        <v>0.9</v>
      </c>
      <c r="AC6" s="138">
        <v>0.9</v>
      </c>
      <c r="AD6" s="138">
        <v>0.9</v>
      </c>
      <c r="AE6" s="138">
        <v>0.9</v>
      </c>
      <c r="AF6" s="138">
        <v>0.9</v>
      </c>
      <c r="AG6" s="138">
        <v>0.9</v>
      </c>
      <c r="AH6" s="138">
        <v>0.9</v>
      </c>
      <c r="AI6" s="138">
        <v>0.9</v>
      </c>
      <c r="AJ6" s="138">
        <v>0.9</v>
      </c>
      <c r="AK6" s="138">
        <v>0.9</v>
      </c>
      <c r="AL6" s="138">
        <v>0.9</v>
      </c>
      <c r="AM6" s="138">
        <v>0.9</v>
      </c>
      <c r="AN6" s="138">
        <v>0.9</v>
      </c>
      <c r="AO6" s="138">
        <v>0.9</v>
      </c>
      <c r="AP6" s="138">
        <v>0.9</v>
      </c>
      <c r="AQ6" s="138">
        <v>0.9</v>
      </c>
      <c r="AR6" s="138">
        <v>0.9</v>
      </c>
      <c r="AS6" s="138">
        <v>0.9</v>
      </c>
      <c r="AT6" s="138">
        <f>$AC$6*0</f>
        <v>0</v>
      </c>
      <c r="AU6" s="139"/>
      <c r="AX6" s="4"/>
      <c r="AY6" s="185" t="s">
        <v>245</v>
      </c>
      <c r="AZ6" s="140">
        <v>0.15</v>
      </c>
      <c r="BA6" s="187"/>
      <c r="BB6" s="187"/>
      <c r="BC6" s="187"/>
      <c r="BD6" s="187"/>
      <c r="BE6" s="187"/>
      <c r="BF6" s="187"/>
      <c r="BG6" s="187"/>
      <c r="BH6" s="187"/>
      <c r="BI6" s="187"/>
      <c r="BJ6" s="185"/>
      <c r="BK6" s="185"/>
      <c r="BL6" s="185"/>
      <c r="BM6" s="185"/>
      <c r="BN6" s="185"/>
      <c r="BO6" s="185"/>
      <c r="BP6" s="185"/>
      <c r="BQ6" s="185"/>
      <c r="BR6" s="185"/>
      <c r="BS6" s="185"/>
    </row>
    <row r="7" spans="1:71" ht="20.100000000000001" customHeight="1">
      <c r="A7" s="136"/>
      <c r="B7" s="15" t="s">
        <v>34</v>
      </c>
      <c r="C7" s="233">
        <f>CC!BI9</f>
        <v>26.087379971317201</v>
      </c>
      <c r="D7">
        <f>CC!BJ9</f>
        <v>0</v>
      </c>
      <c r="E7">
        <f>CC!BK9</f>
        <v>26.087379971317201</v>
      </c>
      <c r="F7">
        <f>CC!BL9</f>
        <v>1.3043689985658602</v>
      </c>
      <c r="G7">
        <f>D7+E7+F7</f>
        <v>27.391748969883061</v>
      </c>
      <c r="H7">
        <f>+G7*0</f>
        <v>0</v>
      </c>
      <c r="I7">
        <f>+G7*1</f>
        <v>27.391748969883061</v>
      </c>
      <c r="K7">
        <f>+J7+I7</f>
        <v>27.391748969883061</v>
      </c>
      <c r="V7" s="21"/>
      <c r="W7" s="141" t="s">
        <v>246</v>
      </c>
      <c r="X7" s="142">
        <f>$D$14*X6*0</f>
        <v>0</v>
      </c>
      <c r="Y7" s="142">
        <f>$D$14*Y6*8/12</f>
        <v>27.979781872012197</v>
      </c>
      <c r="Z7" s="142">
        <f>$D$14*Z6</f>
        <v>47.965340352020917</v>
      </c>
      <c r="AA7" s="142">
        <f t="shared" ref="AA7:AQ7" si="0">$D$14*AA6</f>
        <v>53.961007896023524</v>
      </c>
      <c r="AB7" s="142">
        <f t="shared" si="0"/>
        <v>53.961007896023524</v>
      </c>
      <c r="AC7" s="142">
        <f t="shared" si="0"/>
        <v>53.961007896023524</v>
      </c>
      <c r="AD7" s="142">
        <f t="shared" si="0"/>
        <v>53.961007896023524</v>
      </c>
      <c r="AE7" s="142">
        <f t="shared" si="0"/>
        <v>53.961007896023524</v>
      </c>
      <c r="AF7" s="142">
        <f t="shared" si="0"/>
        <v>53.961007896023524</v>
      </c>
      <c r="AG7" s="142">
        <f t="shared" si="0"/>
        <v>53.961007896023524</v>
      </c>
      <c r="AH7" s="142">
        <f t="shared" si="0"/>
        <v>53.961007896023524</v>
      </c>
      <c r="AI7" s="142">
        <f t="shared" si="0"/>
        <v>53.961007896023524</v>
      </c>
      <c r="AJ7" s="142">
        <f t="shared" si="0"/>
        <v>53.961007896023524</v>
      </c>
      <c r="AK7" s="142">
        <f t="shared" si="0"/>
        <v>53.961007896023524</v>
      </c>
      <c r="AL7" s="142">
        <f t="shared" si="0"/>
        <v>53.961007896023524</v>
      </c>
      <c r="AM7" s="142">
        <f t="shared" si="0"/>
        <v>53.961007896023524</v>
      </c>
      <c r="AN7" s="142">
        <f t="shared" si="0"/>
        <v>53.961007896023524</v>
      </c>
      <c r="AO7" s="142">
        <f t="shared" si="0"/>
        <v>53.961007896023524</v>
      </c>
      <c r="AP7" s="142">
        <f t="shared" si="0"/>
        <v>53.961007896023524</v>
      </c>
      <c r="AQ7" s="142">
        <f t="shared" si="0"/>
        <v>53.961007896023524</v>
      </c>
      <c r="AR7" s="142">
        <f>$D$14*AR6</f>
        <v>53.961007896023524</v>
      </c>
      <c r="AS7" s="142">
        <f>$D$14*AS6*4/12</f>
        <v>17.98700263200784</v>
      </c>
      <c r="AT7" s="142">
        <f>$D$14*AT6*5/12</f>
        <v>0</v>
      </c>
      <c r="AU7" s="125"/>
      <c r="AX7" s="4"/>
      <c r="AY7" s="188" t="s">
        <v>247</v>
      </c>
      <c r="AZ7" s="188">
        <v>1</v>
      </c>
      <c r="BA7" s="188">
        <v>2</v>
      </c>
      <c r="BB7" s="188">
        <v>3</v>
      </c>
      <c r="BC7" s="188">
        <v>4</v>
      </c>
      <c r="BD7" s="188">
        <v>5</v>
      </c>
      <c r="BE7" s="188">
        <v>6</v>
      </c>
      <c r="BF7" s="188">
        <v>7</v>
      </c>
      <c r="BG7" s="188">
        <v>8</v>
      </c>
      <c r="BH7" s="188">
        <v>9</v>
      </c>
      <c r="BI7" s="188">
        <v>10</v>
      </c>
      <c r="BJ7" s="188">
        <v>11</v>
      </c>
      <c r="BK7" s="188">
        <v>12</v>
      </c>
      <c r="BL7" s="188">
        <v>13</v>
      </c>
      <c r="BM7" s="188">
        <v>14</v>
      </c>
      <c r="BN7" s="188">
        <v>15</v>
      </c>
      <c r="BO7" s="188">
        <v>16</v>
      </c>
      <c r="BP7" s="188">
        <v>17</v>
      </c>
      <c r="BQ7" s="188">
        <v>18</v>
      </c>
      <c r="BR7" s="188">
        <v>19</v>
      </c>
      <c r="BS7" s="188">
        <v>20</v>
      </c>
    </row>
    <row r="8" spans="1:71" ht="20.100000000000001" customHeight="1">
      <c r="B8" s="15" t="s">
        <v>304</v>
      </c>
      <c r="C8" s="233">
        <f>CC!BI10</f>
        <v>26.087379971317201</v>
      </c>
      <c r="D8">
        <f>CC!BJ10</f>
        <v>0</v>
      </c>
      <c r="E8">
        <f>CC!BK10</f>
        <v>26.087379971317201</v>
      </c>
      <c r="F8">
        <f>CC!BL10</f>
        <v>2.2826457474902551</v>
      </c>
      <c r="G8">
        <f>D8+E8+F8</f>
        <v>28.370025718807454</v>
      </c>
      <c r="H8">
        <f>+G8*0</f>
        <v>0</v>
      </c>
      <c r="I8">
        <f>+G8*1</f>
        <v>28.370025718807454</v>
      </c>
      <c r="J8">
        <v>0</v>
      </c>
      <c r="K8">
        <f>+J8+I8</f>
        <v>28.370025718807454</v>
      </c>
      <c r="V8" s="21"/>
      <c r="W8" s="141" t="s">
        <v>332</v>
      </c>
      <c r="X8" s="142">
        <f>+X30+X31</f>
        <v>0</v>
      </c>
      <c r="Y8" s="142">
        <f>+Y30+Y31</f>
        <v>1.0259828372978685</v>
      </c>
      <c r="Z8" s="142">
        <f t="shared" ref="Z8:AS8" si="1">+Z30+Z31</f>
        <v>6.1558970237872117</v>
      </c>
      <c r="AA8" s="142">
        <f t="shared" si="1"/>
        <v>6.1558970237872117</v>
      </c>
      <c r="AB8" s="142">
        <f t="shared" si="1"/>
        <v>5.5403073214084912</v>
      </c>
      <c r="AC8" s="142">
        <f t="shared" si="1"/>
        <v>4.9247176190297699</v>
      </c>
      <c r="AD8" s="142">
        <f t="shared" si="1"/>
        <v>4.3091279166510486</v>
      </c>
      <c r="AE8" s="142">
        <f t="shared" si="1"/>
        <v>3.6935382142723272</v>
      </c>
      <c r="AF8" s="142">
        <f t="shared" si="1"/>
        <v>3.0779485118936059</v>
      </c>
      <c r="AG8" s="142">
        <f t="shared" si="1"/>
        <v>2.4623588095148849</v>
      </c>
      <c r="AH8" s="142">
        <f t="shared" si="1"/>
        <v>1.8467691071361636</v>
      </c>
      <c r="AI8" s="142">
        <f t="shared" si="1"/>
        <v>1.2311794047574425</v>
      </c>
      <c r="AJ8" s="142">
        <f t="shared" si="1"/>
        <v>0.61558970237872124</v>
      </c>
      <c r="AK8" s="142">
        <f t="shared" si="1"/>
        <v>0</v>
      </c>
      <c r="AL8" s="142">
        <f t="shared" si="1"/>
        <v>0</v>
      </c>
      <c r="AM8" s="142">
        <f t="shared" si="1"/>
        <v>0</v>
      </c>
      <c r="AN8" s="142">
        <f t="shared" si="1"/>
        <v>0</v>
      </c>
      <c r="AO8" s="142">
        <f t="shared" si="1"/>
        <v>0</v>
      </c>
      <c r="AP8" s="142">
        <f t="shared" si="1"/>
        <v>0</v>
      </c>
      <c r="AQ8" s="142">
        <f t="shared" si="1"/>
        <v>0</v>
      </c>
      <c r="AR8" s="142">
        <f t="shared" si="1"/>
        <v>0</v>
      </c>
      <c r="AS8" s="142">
        <f t="shared" si="1"/>
        <v>0</v>
      </c>
      <c r="AT8" s="142">
        <f t="shared" ref="AT8" si="2">+AT30+AT31</f>
        <v>0</v>
      </c>
      <c r="AU8" s="125"/>
      <c r="AV8" s="125" t="s">
        <v>249</v>
      </c>
      <c r="AX8" s="4"/>
      <c r="AY8" s="185" t="s">
        <v>300</v>
      </c>
      <c r="AZ8" s="132">
        <f>D17</f>
        <v>54.023816893072535</v>
      </c>
      <c r="BA8" s="132">
        <f t="shared" ref="BA8:BS8" si="3">+AZ10</f>
        <v>52.673221470745723</v>
      </c>
      <c r="BB8" s="132">
        <f t="shared" si="3"/>
        <v>44.772238250133867</v>
      </c>
      <c r="BC8" s="132">
        <f t="shared" si="3"/>
        <v>38.056402512613786</v>
      </c>
      <c r="BD8" s="132">
        <f t="shared" si="3"/>
        <v>32.347942135721716</v>
      </c>
      <c r="BE8" s="132">
        <f t="shared" si="3"/>
        <v>27.495750815363458</v>
      </c>
      <c r="BF8" s="132">
        <f t="shared" si="3"/>
        <v>23.371388193058941</v>
      </c>
      <c r="BG8" s="132">
        <f t="shared" si="3"/>
        <v>19.865679964100099</v>
      </c>
      <c r="BH8" s="132">
        <f t="shared" si="3"/>
        <v>16.885827969485085</v>
      </c>
      <c r="BI8" s="132">
        <f t="shared" si="3"/>
        <v>14.352953774062323</v>
      </c>
      <c r="BJ8" s="132">
        <f t="shared" si="3"/>
        <v>12.200010707952975</v>
      </c>
      <c r="BK8" s="132">
        <f t="shared" si="3"/>
        <v>10.370009101760029</v>
      </c>
      <c r="BL8" s="132">
        <f t="shared" si="3"/>
        <v>8.8145077364960258</v>
      </c>
      <c r="BM8" s="132">
        <f t="shared" si="3"/>
        <v>7.4923315760216216</v>
      </c>
      <c r="BN8" s="132">
        <f t="shared" si="3"/>
        <v>6.3684818396183784</v>
      </c>
      <c r="BO8" s="132">
        <f t="shared" si="3"/>
        <v>5.4132095636756219</v>
      </c>
      <c r="BP8" s="132">
        <f t="shared" si="3"/>
        <v>4.6012281291242783</v>
      </c>
      <c r="BQ8" s="132">
        <f t="shared" si="3"/>
        <v>3.9110439097556364</v>
      </c>
      <c r="BR8" s="132">
        <f t="shared" si="3"/>
        <v>3.3243873232922909</v>
      </c>
      <c r="BS8" s="132">
        <f t="shared" si="3"/>
        <v>2.7011908446536368</v>
      </c>
    </row>
    <row r="9" spans="1:71" ht="20.100000000000001" customHeight="1">
      <c r="B9" s="15" t="s">
        <v>336</v>
      </c>
      <c r="C9" s="233">
        <f>CC!BI11</f>
        <v>0</v>
      </c>
      <c r="D9">
        <f>CC!BJ11</f>
        <v>0</v>
      </c>
      <c r="E9">
        <f>CC!BK11</f>
        <v>0</v>
      </c>
      <c r="F9">
        <f>CC!BL11</f>
        <v>0</v>
      </c>
      <c r="G9">
        <f>D9+E9+F9</f>
        <v>0</v>
      </c>
      <c r="H9">
        <f>+G9*0</f>
        <v>0</v>
      </c>
      <c r="I9">
        <f>+G9*1</f>
        <v>0</v>
      </c>
      <c r="J9">
        <v>0</v>
      </c>
      <c r="K9">
        <f>+J9+I9</f>
        <v>0</v>
      </c>
      <c r="V9" s="21"/>
      <c r="W9" s="141" t="s">
        <v>293</v>
      </c>
      <c r="X9" s="141"/>
      <c r="Y9" s="141">
        <f>AZ9</f>
        <v>1.3505954223268135</v>
      </c>
      <c r="Z9" s="141">
        <f t="shared" ref="Z9:AT9" si="4">BA9</f>
        <v>7.9009832206118578</v>
      </c>
      <c r="AA9" s="141">
        <f t="shared" si="4"/>
        <v>6.7158357375200799</v>
      </c>
      <c r="AB9" s="141">
        <f t="shared" si="4"/>
        <v>5.7084603768920674</v>
      </c>
      <c r="AC9" s="141">
        <f t="shared" si="4"/>
        <v>4.8521913203582576</v>
      </c>
      <c r="AD9" s="141">
        <f t="shared" si="4"/>
        <v>4.1243626223045187</v>
      </c>
      <c r="AE9" s="141">
        <f t="shared" si="4"/>
        <v>3.505708228958841</v>
      </c>
      <c r="AF9" s="141">
        <f t="shared" si="4"/>
        <v>2.9798519946150148</v>
      </c>
      <c r="AG9" s="141">
        <f t="shared" si="4"/>
        <v>2.5328741954227625</v>
      </c>
      <c r="AH9" s="141">
        <f t="shared" si="4"/>
        <v>2.1529430661093483</v>
      </c>
      <c r="AI9" s="141">
        <f t="shared" si="4"/>
        <v>1.8300016061929463</v>
      </c>
      <c r="AJ9" s="141">
        <f t="shared" si="4"/>
        <v>1.5555013652640044</v>
      </c>
      <c r="AK9" s="141">
        <f t="shared" si="4"/>
        <v>1.3221761604744038</v>
      </c>
      <c r="AL9" s="141">
        <f t="shared" si="4"/>
        <v>1.1238497364032431</v>
      </c>
      <c r="AM9" s="141">
        <f t="shared" si="4"/>
        <v>0.95527227594275677</v>
      </c>
      <c r="AN9" s="141">
        <f t="shared" si="4"/>
        <v>0.81198143455134331</v>
      </c>
      <c r="AO9" s="141">
        <f t="shared" si="4"/>
        <v>0.69018421936864172</v>
      </c>
      <c r="AP9" s="141">
        <f t="shared" si="4"/>
        <v>0.5866565864633454</v>
      </c>
      <c r="AQ9" s="141">
        <f t="shared" si="4"/>
        <v>0.62319647863865413</v>
      </c>
      <c r="AR9" s="141">
        <f t="shared" si="4"/>
        <v>0</v>
      </c>
      <c r="AS9" s="141">
        <f t="shared" si="4"/>
        <v>0</v>
      </c>
      <c r="AT9" s="141">
        <f t="shared" si="4"/>
        <v>0</v>
      </c>
      <c r="AU9" s="125">
        <f>SUM(Y9:AS9)</f>
        <v>51.322626048418904</v>
      </c>
      <c r="AV9" s="125">
        <f>+D17*0.95</f>
        <v>51.322626048418904</v>
      </c>
      <c r="AX9" s="4"/>
      <c r="AY9" s="185" t="s">
        <v>301</v>
      </c>
      <c r="AZ9" s="132">
        <f>+AZ8*$AZ$6*2/12</f>
        <v>1.3505954223268135</v>
      </c>
      <c r="BA9" s="132">
        <f t="shared" ref="BA9:BQ9" si="5">+BA8*$AZ$6</f>
        <v>7.9009832206118578</v>
      </c>
      <c r="BB9" s="132">
        <f t="shared" si="5"/>
        <v>6.7158357375200799</v>
      </c>
      <c r="BC9" s="132">
        <f t="shared" si="5"/>
        <v>5.7084603768920674</v>
      </c>
      <c r="BD9" s="132">
        <f t="shared" si="5"/>
        <v>4.8521913203582576</v>
      </c>
      <c r="BE9" s="132">
        <f t="shared" si="5"/>
        <v>4.1243626223045187</v>
      </c>
      <c r="BF9" s="132">
        <f t="shared" si="5"/>
        <v>3.505708228958841</v>
      </c>
      <c r="BG9" s="132">
        <f t="shared" si="5"/>
        <v>2.9798519946150148</v>
      </c>
      <c r="BH9" s="132">
        <f t="shared" si="5"/>
        <v>2.5328741954227625</v>
      </c>
      <c r="BI9" s="132">
        <f t="shared" si="5"/>
        <v>2.1529430661093483</v>
      </c>
      <c r="BJ9" s="132">
        <f t="shared" si="5"/>
        <v>1.8300016061929463</v>
      </c>
      <c r="BK9" s="132">
        <f t="shared" si="5"/>
        <v>1.5555013652640044</v>
      </c>
      <c r="BL9" s="132">
        <f t="shared" si="5"/>
        <v>1.3221761604744038</v>
      </c>
      <c r="BM9" s="132">
        <f t="shared" si="5"/>
        <v>1.1238497364032431</v>
      </c>
      <c r="BN9" s="132">
        <f t="shared" si="5"/>
        <v>0.95527227594275677</v>
      </c>
      <c r="BO9" s="132">
        <f t="shared" si="5"/>
        <v>0.81198143455134331</v>
      </c>
      <c r="BP9" s="132">
        <f t="shared" si="5"/>
        <v>0.69018421936864172</v>
      </c>
      <c r="BQ9" s="132">
        <f t="shared" si="5"/>
        <v>0.5866565864633454</v>
      </c>
      <c r="BR9" s="132">
        <f>AZ12-SUM(AZ9:BQ9)</f>
        <v>0.62319647863865413</v>
      </c>
      <c r="BS9" s="132"/>
    </row>
    <row r="10" spans="1:71" ht="20.100000000000001" customHeight="1">
      <c r="B10" s="15" t="s">
        <v>248</v>
      </c>
      <c r="C10" s="233">
        <f>CC!BI13</f>
        <v>5.797195549181601</v>
      </c>
      <c r="D10">
        <f>CC!BJ13</f>
        <v>0</v>
      </c>
      <c r="E10">
        <f>CC!BK13</f>
        <v>5.797195549181601</v>
      </c>
      <c r="F10">
        <f>CC!BL13</f>
        <v>0</v>
      </c>
      <c r="G10">
        <f>D10+E10+F10</f>
        <v>5.797195549181601</v>
      </c>
      <c r="H10">
        <f>+G10*0</f>
        <v>0</v>
      </c>
      <c r="I10">
        <f>G10*1</f>
        <v>5.797195549181601</v>
      </c>
      <c r="K10">
        <f>+J10+I10</f>
        <v>5.797195549181601</v>
      </c>
      <c r="N10" s="128"/>
      <c r="O10" s="128"/>
      <c r="P10" s="128"/>
      <c r="Q10" s="128"/>
      <c r="R10" s="128"/>
      <c r="S10" s="128"/>
      <c r="T10" s="128"/>
      <c r="V10" s="21"/>
      <c r="W10" s="141" t="s">
        <v>250</v>
      </c>
      <c r="X10" s="141">
        <f t="shared" ref="X10:AS10" si="6">+X7-X8-X9</f>
        <v>0</v>
      </c>
      <c r="Y10" s="141">
        <f t="shared" si="6"/>
        <v>25.603203612387517</v>
      </c>
      <c r="Z10" s="141">
        <f t="shared" si="6"/>
        <v>33.908460107621849</v>
      </c>
      <c r="AA10" s="141">
        <f t="shared" si="6"/>
        <v>41.089275134716232</v>
      </c>
      <c r="AB10" s="141">
        <f t="shared" si="6"/>
        <v>42.712240197722963</v>
      </c>
      <c r="AC10" s="141">
        <f t="shared" si="6"/>
        <v>44.184098956635495</v>
      </c>
      <c r="AD10" s="141">
        <f t="shared" si="6"/>
        <v>45.527517357067957</v>
      </c>
      <c r="AE10" s="141">
        <f t="shared" si="6"/>
        <v>46.761761452792356</v>
      </c>
      <c r="AF10" s="141">
        <f t="shared" si="6"/>
        <v>47.903207389514904</v>
      </c>
      <c r="AG10" s="141">
        <f t="shared" si="6"/>
        <v>48.965774891085879</v>
      </c>
      <c r="AH10" s="141">
        <f t="shared" si="6"/>
        <v>49.961295722778011</v>
      </c>
      <c r="AI10" s="141">
        <f t="shared" si="6"/>
        <v>50.899826885073139</v>
      </c>
      <c r="AJ10" s="141">
        <f t="shared" si="6"/>
        <v>51.789916828380797</v>
      </c>
      <c r="AK10" s="141">
        <f t="shared" si="6"/>
        <v>52.638831735549118</v>
      </c>
      <c r="AL10" s="141">
        <f t="shared" si="6"/>
        <v>52.83715815962028</v>
      </c>
      <c r="AM10" s="141">
        <f t="shared" si="6"/>
        <v>53.00573562008077</v>
      </c>
      <c r="AN10" s="141">
        <f t="shared" si="6"/>
        <v>53.149026461472182</v>
      </c>
      <c r="AO10" s="141">
        <f t="shared" si="6"/>
        <v>53.270823676654885</v>
      </c>
      <c r="AP10" s="141">
        <f t="shared" si="6"/>
        <v>53.374351309560176</v>
      </c>
      <c r="AQ10" s="141">
        <f t="shared" si="6"/>
        <v>53.33781141738487</v>
      </c>
      <c r="AR10" s="141">
        <f t="shared" si="6"/>
        <v>53.961007896023524</v>
      </c>
      <c r="AS10" s="141">
        <f t="shared" si="6"/>
        <v>17.98700263200784</v>
      </c>
      <c r="AT10" s="141">
        <f t="shared" ref="AT10" si="7">+AT7-AT8-AT9</f>
        <v>0</v>
      </c>
      <c r="AU10" s="125"/>
      <c r="AV10" s="125"/>
      <c r="AX10" s="4"/>
      <c r="AY10" s="185" t="s">
        <v>302</v>
      </c>
      <c r="AZ10" s="132">
        <f>+AZ8-AZ9</f>
        <v>52.673221470745723</v>
      </c>
      <c r="BA10" s="132">
        <f t="shared" ref="BA10:BS10" si="8">+BA8-BA9</f>
        <v>44.772238250133867</v>
      </c>
      <c r="BB10" s="132">
        <f t="shared" si="8"/>
        <v>38.056402512613786</v>
      </c>
      <c r="BC10" s="132">
        <f t="shared" si="8"/>
        <v>32.347942135721716</v>
      </c>
      <c r="BD10" s="132">
        <f t="shared" si="8"/>
        <v>27.495750815363458</v>
      </c>
      <c r="BE10" s="132">
        <f t="shared" si="8"/>
        <v>23.371388193058941</v>
      </c>
      <c r="BF10" s="132">
        <f t="shared" si="8"/>
        <v>19.865679964100099</v>
      </c>
      <c r="BG10" s="132">
        <f t="shared" si="8"/>
        <v>16.885827969485085</v>
      </c>
      <c r="BH10" s="132">
        <f t="shared" si="8"/>
        <v>14.352953774062323</v>
      </c>
      <c r="BI10" s="132">
        <f t="shared" si="8"/>
        <v>12.200010707952975</v>
      </c>
      <c r="BJ10" s="132">
        <f t="shared" si="8"/>
        <v>10.370009101760029</v>
      </c>
      <c r="BK10" s="132">
        <f t="shared" si="8"/>
        <v>8.8145077364960258</v>
      </c>
      <c r="BL10" s="132">
        <f t="shared" si="8"/>
        <v>7.4923315760216216</v>
      </c>
      <c r="BM10" s="132">
        <f t="shared" si="8"/>
        <v>6.3684818396183784</v>
      </c>
      <c r="BN10" s="132">
        <f t="shared" si="8"/>
        <v>5.4132095636756219</v>
      </c>
      <c r="BO10" s="132">
        <f t="shared" si="8"/>
        <v>4.6012281291242783</v>
      </c>
      <c r="BP10" s="132">
        <f t="shared" si="8"/>
        <v>3.9110439097556364</v>
      </c>
      <c r="BQ10" s="132">
        <f t="shared" si="8"/>
        <v>3.3243873232922909</v>
      </c>
      <c r="BR10" s="132">
        <f t="shared" si="8"/>
        <v>2.7011908446536368</v>
      </c>
      <c r="BS10" s="132">
        <f t="shared" si="8"/>
        <v>2.7011908446536368</v>
      </c>
    </row>
    <row r="11" spans="1:71" ht="20.100000000000001" customHeight="1">
      <c r="B11" s="143" t="s">
        <v>9</v>
      </c>
      <c r="C11" s="234">
        <f t="shared" ref="C11:K11" si="9">SUM(C7:C10)</f>
        <v>57.971955491816004</v>
      </c>
      <c r="D11" s="143">
        <f t="shared" si="9"/>
        <v>0</v>
      </c>
      <c r="E11" s="143">
        <f t="shared" si="9"/>
        <v>57.971955491816004</v>
      </c>
      <c r="F11" s="143">
        <f t="shared" si="9"/>
        <v>3.5870147460561155</v>
      </c>
      <c r="G11" s="143">
        <f t="shared" si="9"/>
        <v>61.558970237872117</v>
      </c>
      <c r="H11" s="143">
        <f t="shared" si="9"/>
        <v>0</v>
      </c>
      <c r="I11" s="143">
        <f t="shared" si="9"/>
        <v>61.558970237872117</v>
      </c>
      <c r="J11" s="143">
        <f t="shared" si="9"/>
        <v>0</v>
      </c>
      <c r="K11" s="143">
        <f t="shared" si="9"/>
        <v>61.558970237872117</v>
      </c>
      <c r="M11">
        <f>+K11+H11</f>
        <v>61.558970237872117</v>
      </c>
      <c r="V11" s="145">
        <f>30*1.12*1.04%</f>
        <v>0.34943999999999997</v>
      </c>
      <c r="W11" s="141" t="s">
        <v>331</v>
      </c>
      <c r="X11" s="141">
        <f t="shared" ref="X11:AS11" si="10">IF(X10&gt;0,X10*$V$11,0)*$V$12</f>
        <v>0</v>
      </c>
      <c r="Y11" s="141">
        <f t="shared" si="10"/>
        <v>8.9467834703126936</v>
      </c>
      <c r="Z11" s="141">
        <f t="shared" si="10"/>
        <v>11.848972300007379</v>
      </c>
      <c r="AA11" s="141">
        <f>IF(AA10&gt;0,AA10*$V$11,0)*$V$12</f>
        <v>14.358236303075239</v>
      </c>
      <c r="AB11" s="141">
        <f t="shared" si="10"/>
        <v>14.925365214692311</v>
      </c>
      <c r="AC11" s="141">
        <f t="shared" si="10"/>
        <v>15.439691539406706</v>
      </c>
      <c r="AD11" s="141">
        <f t="shared" si="10"/>
        <v>15.909135665253826</v>
      </c>
      <c r="AE11" s="141">
        <f t="shared" si="10"/>
        <v>16.340429922063759</v>
      </c>
      <c r="AF11" s="141">
        <f t="shared" si="10"/>
        <v>16.739296790192085</v>
      </c>
      <c r="AG11" s="141">
        <f t="shared" si="10"/>
        <v>17.110600377941047</v>
      </c>
      <c r="AH11" s="141">
        <f t="shared" si="10"/>
        <v>17.458475177367546</v>
      </c>
      <c r="AI11" s="141">
        <f t="shared" si="10"/>
        <v>17.786435506719958</v>
      </c>
      <c r="AJ11" s="141">
        <f t="shared" si="10"/>
        <v>18.097468536509385</v>
      </c>
      <c r="AK11" s="141">
        <f t="shared" si="10"/>
        <v>18.394113361670282</v>
      </c>
      <c r="AL11" s="141">
        <f t="shared" si="10"/>
        <v>18.463416547297708</v>
      </c>
      <c r="AM11" s="141">
        <f t="shared" si="10"/>
        <v>18.522324255081024</v>
      </c>
      <c r="AN11" s="141">
        <f t="shared" si="10"/>
        <v>18.572395806696839</v>
      </c>
      <c r="AO11" s="141">
        <f t="shared" si="10"/>
        <v>18.614956625570283</v>
      </c>
      <c r="AP11" s="141">
        <f t="shared" si="10"/>
        <v>18.651133321612708</v>
      </c>
      <c r="AQ11" s="141">
        <f t="shared" si="10"/>
        <v>18.638364821690967</v>
      </c>
      <c r="AR11" s="141">
        <f t="shared" si="10"/>
        <v>18.856134599186458</v>
      </c>
      <c r="AS11" s="141">
        <f t="shared" si="10"/>
        <v>6.2853781997288189</v>
      </c>
      <c r="AT11" s="141">
        <f t="shared" ref="AT11" si="11">IF(AT10&gt;0,AT10*$V$11,0)*$V$12</f>
        <v>0</v>
      </c>
      <c r="AU11" s="125"/>
      <c r="AX11" s="4"/>
      <c r="AY11" s="185"/>
      <c r="AZ11" s="132"/>
      <c r="BA11" s="132"/>
      <c r="BB11" s="132"/>
      <c r="BC11" s="132"/>
      <c r="BD11" s="132"/>
      <c r="BE11" s="132"/>
      <c r="BF11" s="132"/>
      <c r="BG11" s="132"/>
      <c r="BH11" s="132"/>
      <c r="BI11" s="132"/>
      <c r="BJ11" s="189"/>
      <c r="BK11" s="189"/>
      <c r="BL11" s="189"/>
      <c r="BM11" s="189"/>
      <c r="BN11" s="189"/>
      <c r="BO11" s="185"/>
      <c r="BP11" s="185"/>
      <c r="BQ11" s="185"/>
      <c r="BR11" s="185"/>
      <c r="BS11" s="185"/>
    </row>
    <row r="12" spans="1:71" ht="20.100000000000001" customHeight="1">
      <c r="B12" s="244" t="s">
        <v>435</v>
      </c>
      <c r="C12">
        <f>CC!AT24</f>
        <v>7.5351533447995847</v>
      </c>
      <c r="V12" s="21">
        <v>1</v>
      </c>
      <c r="W12" s="4"/>
      <c r="X12" s="141"/>
      <c r="Y12" s="141"/>
      <c r="Z12" s="141"/>
      <c r="AA12" s="141"/>
      <c r="AB12" s="141"/>
      <c r="AC12" s="141"/>
      <c r="AD12" s="141"/>
      <c r="AE12" s="141"/>
      <c r="AF12" s="141"/>
      <c r="AG12" s="141"/>
      <c r="AH12" s="141"/>
      <c r="AI12" s="141"/>
      <c r="AJ12" s="141"/>
      <c r="AK12" s="141"/>
      <c r="AL12" s="141"/>
      <c r="AM12" s="141"/>
      <c r="AN12" s="141"/>
      <c r="AO12" s="141"/>
      <c r="AP12" s="141"/>
      <c r="AQ12" s="141"/>
      <c r="AR12" s="141"/>
      <c r="AS12" s="141"/>
      <c r="AT12" s="141"/>
      <c r="AU12" s="125"/>
      <c r="AX12" s="4"/>
      <c r="AY12" s="185" t="s">
        <v>303</v>
      </c>
      <c r="AZ12" s="132">
        <f>D17*0.95</f>
        <v>51.322626048418904</v>
      </c>
      <c r="BA12" s="132"/>
      <c r="BB12" s="132"/>
      <c r="BC12" s="187"/>
      <c r="BD12" s="187"/>
      <c r="BE12" s="187"/>
      <c r="BF12" s="132">
        <f>SUM(AZ9:BS9)</f>
        <v>51.322626048418904</v>
      </c>
      <c r="BG12" s="187"/>
      <c r="BH12" s="187"/>
      <c r="BI12" s="187"/>
      <c r="BJ12" s="185"/>
      <c r="BK12" s="185"/>
      <c r="BL12" s="185"/>
      <c r="BM12" s="185"/>
      <c r="BN12" s="185"/>
      <c r="BO12" s="185"/>
      <c r="BP12" s="185"/>
      <c r="BQ12" s="185"/>
      <c r="BR12" s="185"/>
      <c r="BS12" s="185"/>
    </row>
    <row r="13" spans="1:71" ht="20.100000000000001" customHeight="1">
      <c r="B13" s="128"/>
      <c r="C13" s="146"/>
      <c r="D13" s="146"/>
      <c r="E13" s="146"/>
      <c r="F13" s="146"/>
      <c r="G13" s="146"/>
      <c r="H13" s="146"/>
      <c r="I13" s="128"/>
      <c r="J13" s="22"/>
      <c r="K13" s="22"/>
      <c r="M13">
        <f>M11-C12</f>
        <v>54.023816893072535</v>
      </c>
      <c r="V13" s="21"/>
      <c r="W13" s="141" t="s">
        <v>251</v>
      </c>
      <c r="X13" s="141">
        <f>+X10-X11</f>
        <v>0</v>
      </c>
      <c r="Y13" s="141">
        <f>+Y10-Y11</f>
        <v>16.656420142074822</v>
      </c>
      <c r="Z13" s="141">
        <f t="shared" ref="Z13:AS13" si="12">+Z10-Z11</f>
        <v>22.05948780761447</v>
      </c>
      <c r="AA13" s="141">
        <f t="shared" si="12"/>
        <v>26.731038831640994</v>
      </c>
      <c r="AB13" s="141">
        <f t="shared" si="12"/>
        <v>27.78687498303065</v>
      </c>
      <c r="AC13" s="141">
        <f t="shared" si="12"/>
        <v>28.744407417228789</v>
      </c>
      <c r="AD13" s="141">
        <f t="shared" si="12"/>
        <v>29.618381691814129</v>
      </c>
      <c r="AE13" s="141">
        <f t="shared" si="12"/>
        <v>30.421331530728597</v>
      </c>
      <c r="AF13" s="141">
        <f t="shared" si="12"/>
        <v>31.163910599322818</v>
      </c>
      <c r="AG13" s="141">
        <f t="shared" si="12"/>
        <v>31.855174513144831</v>
      </c>
      <c r="AH13" s="141">
        <f t="shared" si="12"/>
        <v>32.502820545410465</v>
      </c>
      <c r="AI13" s="141">
        <f t="shared" si="12"/>
        <v>33.113391378353185</v>
      </c>
      <c r="AJ13" s="141">
        <f t="shared" si="12"/>
        <v>33.692448291871415</v>
      </c>
      <c r="AK13" s="141">
        <f t="shared" si="12"/>
        <v>34.24471837387884</v>
      </c>
      <c r="AL13" s="141">
        <f t="shared" si="12"/>
        <v>34.373741612322576</v>
      </c>
      <c r="AM13" s="141">
        <f t="shared" si="12"/>
        <v>34.483411364999746</v>
      </c>
      <c r="AN13" s="141">
        <f t="shared" si="12"/>
        <v>34.576630654775343</v>
      </c>
      <c r="AO13" s="141">
        <f t="shared" si="12"/>
        <v>34.655867051084599</v>
      </c>
      <c r="AP13" s="141">
        <f t="shared" si="12"/>
        <v>34.723217987947464</v>
      </c>
      <c r="AQ13" s="141">
        <f t="shared" si="12"/>
        <v>34.6994465956939</v>
      </c>
      <c r="AR13" s="141">
        <f t="shared" si="12"/>
        <v>35.10487329683707</v>
      </c>
      <c r="AS13" s="141">
        <f t="shared" si="12"/>
        <v>11.701624432279022</v>
      </c>
      <c r="AT13" s="141">
        <f t="shared" ref="AT13" si="13">+AT10-AT11</f>
        <v>0</v>
      </c>
      <c r="AU13" s="125"/>
      <c r="AX13" s="4"/>
      <c r="AY13" s="132"/>
      <c r="AZ13" s="132"/>
      <c r="BA13" s="132"/>
      <c r="BB13" s="132"/>
      <c r="BC13" s="132"/>
      <c r="BD13" s="132"/>
      <c r="BE13" s="132"/>
      <c r="BF13" s="132"/>
      <c r="BG13" s="132"/>
      <c r="BH13" s="185"/>
      <c r="BI13" s="185"/>
      <c r="BJ13" s="185"/>
      <c r="BK13" s="185"/>
      <c r="BL13" s="185"/>
      <c r="BM13" s="185"/>
      <c r="BN13" s="185"/>
      <c r="BO13" s="185"/>
      <c r="BP13" s="185"/>
      <c r="BQ13" s="185"/>
      <c r="BR13" s="185"/>
      <c r="BS13" s="185"/>
    </row>
    <row r="14" spans="1:71" ht="20.100000000000001" customHeight="1">
      <c r="B14" t="s">
        <v>295</v>
      </c>
      <c r="C14" t="s">
        <v>296</v>
      </c>
      <c r="D14">
        <f>GM!F40</f>
        <v>59.956675440026139</v>
      </c>
      <c r="V14" s="21"/>
      <c r="W14" s="147" t="s">
        <v>252</v>
      </c>
      <c r="X14" s="147"/>
      <c r="Y14" s="147">
        <f>+Y13+X14</f>
        <v>16.656420142074822</v>
      </c>
      <c r="Z14" s="147">
        <f>+Z13+Y14</f>
        <v>38.715907949689296</v>
      </c>
      <c r="AA14" s="147">
        <f t="shared" ref="AA14:AR14" si="14">+AA13+Z14</f>
        <v>65.446946781330297</v>
      </c>
      <c r="AB14" s="147">
        <f t="shared" si="14"/>
        <v>93.233821764360954</v>
      </c>
      <c r="AC14" s="147">
        <f t="shared" si="14"/>
        <v>121.97822918158974</v>
      </c>
      <c r="AD14" s="147">
        <f t="shared" si="14"/>
        <v>151.59661087340388</v>
      </c>
      <c r="AE14" s="147">
        <f t="shared" si="14"/>
        <v>182.01794240413247</v>
      </c>
      <c r="AF14" s="147">
        <f t="shared" si="14"/>
        <v>213.18185300345527</v>
      </c>
      <c r="AG14" s="147">
        <f t="shared" si="14"/>
        <v>245.03702751660012</v>
      </c>
      <c r="AH14" s="147">
        <f t="shared" si="14"/>
        <v>277.53984806201061</v>
      </c>
      <c r="AI14" s="147">
        <f t="shared" si="14"/>
        <v>310.65323944036379</v>
      </c>
      <c r="AJ14" s="147">
        <f t="shared" si="14"/>
        <v>344.34568773223521</v>
      </c>
      <c r="AK14" s="147">
        <f t="shared" si="14"/>
        <v>378.59040610611407</v>
      </c>
      <c r="AL14" s="147">
        <f t="shared" si="14"/>
        <v>412.96414771843666</v>
      </c>
      <c r="AM14" s="147">
        <f t="shared" si="14"/>
        <v>447.44755908343643</v>
      </c>
      <c r="AN14" s="147">
        <f t="shared" si="14"/>
        <v>482.02418973821176</v>
      </c>
      <c r="AO14" s="147">
        <f t="shared" si="14"/>
        <v>516.68005678929637</v>
      </c>
      <c r="AP14" s="147">
        <f t="shared" si="14"/>
        <v>551.40327477724384</v>
      </c>
      <c r="AQ14" s="147">
        <f t="shared" si="14"/>
        <v>586.10272137293771</v>
      </c>
      <c r="AR14" s="147">
        <f t="shared" si="14"/>
        <v>621.20759466977483</v>
      </c>
      <c r="AS14" s="147">
        <f>+AS13+AR14</f>
        <v>632.90921910205384</v>
      </c>
      <c r="AT14" s="147">
        <f>+AT13+AS14</f>
        <v>632.90921910205384</v>
      </c>
      <c r="AU14" s="125"/>
      <c r="AX14" s="4"/>
      <c r="AY14" s="132"/>
      <c r="AZ14" s="132"/>
      <c r="BA14" s="132"/>
      <c r="BB14" s="132"/>
      <c r="BC14" s="132"/>
      <c r="BD14" s="132"/>
      <c r="BE14" s="132"/>
      <c r="BF14" s="132"/>
      <c r="BG14" s="132"/>
    </row>
    <row r="15" spans="1:71" ht="20.100000000000001" customHeight="1">
      <c r="B15" t="s">
        <v>284</v>
      </c>
      <c r="C15" t="s">
        <v>296</v>
      </c>
      <c r="D15">
        <f>G11</f>
        <v>61.558970237872117</v>
      </c>
      <c r="F15" s="15"/>
      <c r="H15" s="2360"/>
      <c r="I15" s="2360"/>
      <c r="V15" s="21"/>
      <c r="W15" s="141"/>
      <c r="X15" s="141"/>
      <c r="Y15" s="141"/>
      <c r="Z15" s="141"/>
      <c r="AA15" s="141"/>
      <c r="AB15" s="141"/>
      <c r="AC15" s="141"/>
      <c r="AD15" s="141"/>
      <c r="AE15" s="141"/>
      <c r="AF15" s="141"/>
      <c r="AG15" s="141"/>
      <c r="AH15" s="141"/>
      <c r="AI15" s="141"/>
      <c r="AJ15" s="141"/>
      <c r="AK15" s="141"/>
      <c r="AL15" s="141"/>
      <c r="AM15" s="141"/>
      <c r="AN15" s="141"/>
      <c r="AO15" s="141"/>
      <c r="AP15" s="141"/>
      <c r="AQ15" s="141"/>
      <c r="AR15" s="141"/>
      <c r="AS15" s="141"/>
      <c r="AT15" s="141"/>
      <c r="AU15" s="125"/>
      <c r="AX15" s="4"/>
      <c r="AY15" s="132"/>
      <c r="AZ15" s="132"/>
      <c r="BA15" s="132"/>
      <c r="BB15" s="132"/>
      <c r="BC15" s="132"/>
      <c r="BD15" s="132"/>
      <c r="BE15" s="132"/>
      <c r="BF15" s="132"/>
      <c r="BG15" s="132"/>
    </row>
    <row r="16" spans="1:71" ht="20.100000000000001" customHeight="1">
      <c r="B16" s="244" t="s">
        <v>435</v>
      </c>
      <c r="C16" s="13" t="s">
        <v>296</v>
      </c>
      <c r="D16" s="181">
        <f>C12</f>
        <v>7.5351533447995847</v>
      </c>
      <c r="F16" s="169"/>
      <c r="H16" s="15"/>
      <c r="I16" s="15"/>
      <c r="V16" s="21"/>
      <c r="W16" s="141"/>
      <c r="X16" s="141"/>
      <c r="Y16" s="141"/>
      <c r="Z16" s="141"/>
      <c r="AA16" s="141"/>
      <c r="AB16" s="141"/>
      <c r="AC16" s="141"/>
      <c r="AD16" s="141"/>
      <c r="AE16" s="141"/>
      <c r="AF16" s="141"/>
      <c r="AG16" s="141"/>
      <c r="AH16" s="141"/>
      <c r="AI16" s="141"/>
      <c r="AJ16" s="141"/>
      <c r="AK16" s="141"/>
      <c r="AL16" s="141"/>
      <c r="AM16" s="141"/>
      <c r="AN16" s="141"/>
      <c r="AO16" s="141"/>
      <c r="AP16" s="141"/>
      <c r="AQ16" s="141"/>
      <c r="AR16" s="141"/>
      <c r="AS16" s="141"/>
      <c r="AT16" s="141"/>
      <c r="AU16" s="125"/>
      <c r="AX16" s="4"/>
      <c r="AY16" s="132"/>
      <c r="AZ16" s="132"/>
      <c r="BA16" s="132"/>
      <c r="BB16" s="132"/>
      <c r="BC16" s="132"/>
      <c r="BD16" s="132"/>
      <c r="BE16" s="132"/>
      <c r="BF16" s="132"/>
      <c r="BG16" s="132"/>
    </row>
    <row r="17" spans="1:59" ht="20.100000000000001" customHeight="1">
      <c r="B17" t="s">
        <v>437</v>
      </c>
      <c r="D17">
        <f>+D15-D16</f>
        <v>54.023816893072535</v>
      </c>
      <c r="E17" s="128"/>
      <c r="F17" s="128"/>
      <c r="G17" s="128"/>
      <c r="H17" s="128"/>
      <c r="I17" s="128"/>
      <c r="V17" s="21"/>
      <c r="W17" s="4"/>
      <c r="X17" s="4"/>
      <c r="Y17" s="141"/>
      <c r="Z17" s="144" t="s">
        <v>254</v>
      </c>
      <c r="AA17" s="148"/>
      <c r="AB17" s="4"/>
      <c r="AC17" s="4"/>
      <c r="AD17" s="4"/>
      <c r="AE17" s="4"/>
      <c r="AF17" s="4"/>
      <c r="AG17" s="4"/>
      <c r="AH17" s="4"/>
      <c r="AI17" s="4"/>
      <c r="AJ17" s="4"/>
      <c r="AK17" s="4"/>
      <c r="AL17" s="4"/>
      <c r="AM17" s="4"/>
      <c r="AN17" s="4"/>
      <c r="AO17" s="4"/>
      <c r="AP17" s="4"/>
      <c r="AQ17" s="4"/>
      <c r="AR17" s="4"/>
      <c r="AS17" s="5"/>
      <c r="AT17" s="5"/>
      <c r="AU17" s="21"/>
      <c r="AX17" s="4"/>
      <c r="AY17" s="132"/>
      <c r="AZ17" s="132"/>
      <c r="BA17" s="132"/>
      <c r="BB17" s="132"/>
      <c r="BC17" s="132"/>
      <c r="BD17" s="132"/>
      <c r="BE17" s="4"/>
      <c r="BF17" s="4"/>
      <c r="BG17" s="4"/>
    </row>
    <row r="18" spans="1:59" ht="20.100000000000001" customHeight="1">
      <c r="V18" s="21"/>
      <c r="W18" s="149" t="s">
        <v>255</v>
      </c>
      <c r="X18" s="141"/>
      <c r="Y18" s="141"/>
      <c r="Z18" s="141"/>
      <c r="AA18" s="150"/>
      <c r="AB18" s="141"/>
      <c r="AC18" s="141"/>
      <c r="AD18" s="141"/>
      <c r="AE18" s="141"/>
      <c r="AF18" s="141"/>
      <c r="AG18" s="141"/>
      <c r="AH18" s="141"/>
      <c r="AI18" s="141"/>
      <c r="AJ18" s="141"/>
      <c r="AK18" s="141"/>
      <c r="AL18" s="141"/>
      <c r="AM18" s="4"/>
      <c r="AN18" s="4"/>
      <c r="AO18" s="4"/>
      <c r="AP18" s="4"/>
      <c r="AQ18" s="4"/>
      <c r="AR18" s="4"/>
      <c r="AS18" s="4"/>
      <c r="AT18" s="4"/>
      <c r="AU18" s="21"/>
      <c r="AX18" s="4"/>
      <c r="AY18" s="132"/>
      <c r="AZ18" s="132"/>
      <c r="BA18" s="132"/>
      <c r="BB18" s="132"/>
      <c r="BC18" s="132"/>
      <c r="BD18" s="132"/>
      <c r="BE18" s="132"/>
      <c r="BF18" s="132"/>
      <c r="BG18" s="132"/>
    </row>
    <row r="19" spans="1:59" ht="20.100000000000001" customHeight="1">
      <c r="B19" s="15"/>
      <c r="V19" s="21"/>
      <c r="W19" s="151" t="s">
        <v>256</v>
      </c>
      <c r="X19" s="152" t="str">
        <f t="shared" ref="X19:AS19" si="15">+X5</f>
        <v>Yr 1</v>
      </c>
      <c r="Y19" s="152" t="str">
        <f t="shared" si="15"/>
        <v>Yr 2</v>
      </c>
      <c r="Z19" s="152" t="str">
        <f t="shared" si="15"/>
        <v>Yr 3</v>
      </c>
      <c r="AA19" s="152" t="str">
        <f t="shared" si="15"/>
        <v>Yr 4</v>
      </c>
      <c r="AB19" s="152" t="str">
        <f t="shared" si="15"/>
        <v>Yr 5</v>
      </c>
      <c r="AC19" s="152" t="str">
        <f t="shared" si="15"/>
        <v>Yr 6</v>
      </c>
      <c r="AD19" s="152" t="str">
        <f t="shared" si="15"/>
        <v>Yr 7</v>
      </c>
      <c r="AE19" s="152" t="str">
        <f t="shared" si="15"/>
        <v>Yr 8</v>
      </c>
      <c r="AF19" s="152" t="str">
        <f t="shared" si="15"/>
        <v>Yr 9</v>
      </c>
      <c r="AG19" s="152" t="str">
        <f t="shared" si="15"/>
        <v>Yr 10</v>
      </c>
      <c r="AH19" s="152" t="str">
        <f t="shared" si="15"/>
        <v>Yr 11</v>
      </c>
      <c r="AI19" s="152" t="str">
        <f t="shared" si="15"/>
        <v>Yr 12</v>
      </c>
      <c r="AJ19" s="152" t="str">
        <f t="shared" si="15"/>
        <v>Yr 13</v>
      </c>
      <c r="AK19" s="152" t="str">
        <f t="shared" si="15"/>
        <v>Yr 14</v>
      </c>
      <c r="AL19" s="152" t="str">
        <f t="shared" si="15"/>
        <v>Yr 15</v>
      </c>
      <c r="AM19" s="152" t="str">
        <f t="shared" si="15"/>
        <v>Yr 16</v>
      </c>
      <c r="AN19" s="152" t="str">
        <f t="shared" si="15"/>
        <v>Yr 17</v>
      </c>
      <c r="AO19" s="152" t="str">
        <f t="shared" si="15"/>
        <v>Yr 18</v>
      </c>
      <c r="AP19" s="152" t="str">
        <f t="shared" si="15"/>
        <v>Yr 19</v>
      </c>
      <c r="AQ19" s="152" t="str">
        <f t="shared" si="15"/>
        <v>Yr 20</v>
      </c>
      <c r="AR19" s="152" t="str">
        <f t="shared" si="15"/>
        <v>Yr 21</v>
      </c>
      <c r="AS19" s="153" t="str">
        <f t="shared" si="15"/>
        <v>Yr 22</v>
      </c>
      <c r="AT19" s="153" t="str">
        <f t="shared" ref="AT19" si="16">+AT5</f>
        <v>Yr 23</v>
      </c>
      <c r="AU19" s="154"/>
    </row>
    <row r="20" spans="1:59" ht="20.100000000000001" customHeight="1">
      <c r="B20" s="15"/>
      <c r="V20" s="21"/>
      <c r="W20" s="141" t="s">
        <v>257</v>
      </c>
      <c r="X20" s="141">
        <f t="shared" ref="X20:AS20" si="17">+X7</f>
        <v>0</v>
      </c>
      <c r="Y20" s="141">
        <f t="shared" si="17"/>
        <v>27.979781872012197</v>
      </c>
      <c r="Z20" s="141">
        <f t="shared" si="17"/>
        <v>47.965340352020917</v>
      </c>
      <c r="AA20" s="141">
        <f t="shared" si="17"/>
        <v>53.961007896023524</v>
      </c>
      <c r="AB20" s="141">
        <f t="shared" si="17"/>
        <v>53.961007896023524</v>
      </c>
      <c r="AC20" s="141">
        <f t="shared" si="17"/>
        <v>53.961007896023524</v>
      </c>
      <c r="AD20" s="141">
        <f t="shared" si="17"/>
        <v>53.961007896023524</v>
      </c>
      <c r="AE20" s="141">
        <f t="shared" si="17"/>
        <v>53.961007896023524</v>
      </c>
      <c r="AF20" s="141">
        <f t="shared" si="17"/>
        <v>53.961007896023524</v>
      </c>
      <c r="AG20" s="141">
        <f t="shared" si="17"/>
        <v>53.961007896023524</v>
      </c>
      <c r="AH20" s="141">
        <f t="shared" si="17"/>
        <v>53.961007896023524</v>
      </c>
      <c r="AI20" s="141">
        <f t="shared" si="17"/>
        <v>53.961007896023524</v>
      </c>
      <c r="AJ20" s="141">
        <f t="shared" si="17"/>
        <v>53.961007896023524</v>
      </c>
      <c r="AK20" s="141">
        <f t="shared" si="17"/>
        <v>53.961007896023524</v>
      </c>
      <c r="AL20" s="141">
        <f t="shared" si="17"/>
        <v>53.961007896023524</v>
      </c>
      <c r="AM20" s="141">
        <f t="shared" si="17"/>
        <v>53.961007896023524</v>
      </c>
      <c r="AN20" s="141">
        <f t="shared" si="17"/>
        <v>53.961007896023524</v>
      </c>
      <c r="AO20" s="141">
        <f t="shared" si="17"/>
        <v>53.961007896023524</v>
      </c>
      <c r="AP20" s="141">
        <f t="shared" si="17"/>
        <v>53.961007896023524</v>
      </c>
      <c r="AQ20" s="141">
        <f t="shared" si="17"/>
        <v>53.961007896023524</v>
      </c>
      <c r="AR20" s="141">
        <f t="shared" si="17"/>
        <v>53.961007896023524</v>
      </c>
      <c r="AS20" s="141">
        <f t="shared" si="17"/>
        <v>17.98700263200784</v>
      </c>
      <c r="AT20" s="141">
        <f t="shared" ref="AT20" si="18">+AT7</f>
        <v>0</v>
      </c>
      <c r="AU20" s="125"/>
    </row>
    <row r="21" spans="1:59" ht="20.100000000000001" customHeight="1">
      <c r="B21" s="15"/>
      <c r="V21" s="21">
        <f>SUM(X21:AA21)</f>
        <v>0</v>
      </c>
      <c r="W21" s="141" t="s">
        <v>258</v>
      </c>
      <c r="X21" s="141">
        <f>H7</f>
        <v>0</v>
      </c>
      <c r="Y21" s="141">
        <f>H8</f>
        <v>0</v>
      </c>
      <c r="Z21" s="141">
        <f>H9+H10</f>
        <v>0</v>
      </c>
      <c r="AA21" s="141"/>
      <c r="AB21" s="141">
        <v>0</v>
      </c>
      <c r="AC21" s="141">
        <v>0</v>
      </c>
      <c r="AD21" s="141">
        <v>0</v>
      </c>
      <c r="AE21" s="141">
        <v>0</v>
      </c>
      <c r="AF21" s="141">
        <v>0</v>
      </c>
      <c r="AG21" s="141">
        <v>0</v>
      </c>
      <c r="AH21" s="141">
        <v>0</v>
      </c>
      <c r="AI21" s="141">
        <v>0</v>
      </c>
      <c r="AJ21" s="141">
        <v>0</v>
      </c>
      <c r="AK21" s="141">
        <v>0</v>
      </c>
      <c r="AL21" s="141">
        <v>0</v>
      </c>
      <c r="AM21" s="141">
        <v>0</v>
      </c>
      <c r="AN21" s="141">
        <v>0</v>
      </c>
      <c r="AO21" s="141">
        <v>0</v>
      </c>
      <c r="AP21" s="141">
        <v>0</v>
      </c>
      <c r="AQ21" s="141">
        <v>0</v>
      </c>
      <c r="AR21" s="141">
        <v>0</v>
      </c>
      <c r="AS21" s="141">
        <v>0</v>
      </c>
      <c r="AT21" s="141">
        <v>0</v>
      </c>
      <c r="AU21" s="125"/>
    </row>
    <row r="22" spans="1:59" ht="20.100000000000001" customHeight="1">
      <c r="V22" s="21">
        <f>SUM(X22:AA22)</f>
        <v>61.558970237872117</v>
      </c>
      <c r="W22" s="141" t="s">
        <v>306</v>
      </c>
      <c r="X22" s="141">
        <f>I7</f>
        <v>27.391748969883061</v>
      </c>
      <c r="Y22" s="141">
        <f>I8+I10</f>
        <v>34.167221267989056</v>
      </c>
      <c r="Z22" s="141">
        <f>(I9+I10)*0</f>
        <v>0</v>
      </c>
      <c r="AA22" s="141"/>
      <c r="AB22" s="141">
        <v>0</v>
      </c>
      <c r="AC22" s="141">
        <v>0</v>
      </c>
      <c r="AD22" s="141">
        <v>0</v>
      </c>
      <c r="AE22" s="141">
        <v>0</v>
      </c>
      <c r="AF22" s="141">
        <v>0</v>
      </c>
      <c r="AG22" s="141">
        <v>0</v>
      </c>
      <c r="AH22" s="141">
        <v>0</v>
      </c>
      <c r="AI22" s="141">
        <v>0</v>
      </c>
      <c r="AJ22" s="141">
        <v>0</v>
      </c>
      <c r="AK22" s="141">
        <v>0</v>
      </c>
      <c r="AL22" s="141">
        <v>0</v>
      </c>
      <c r="AM22" s="141">
        <v>0</v>
      </c>
      <c r="AN22" s="141">
        <v>0</v>
      </c>
      <c r="AO22" s="141">
        <v>0</v>
      </c>
      <c r="AP22" s="141">
        <v>0</v>
      </c>
      <c r="AQ22" s="141">
        <v>0</v>
      </c>
      <c r="AR22" s="141">
        <v>0</v>
      </c>
      <c r="AS22" s="141">
        <v>0</v>
      </c>
      <c r="AT22" s="141">
        <v>0</v>
      </c>
      <c r="AU22" s="125"/>
    </row>
    <row r="23" spans="1:59" ht="20.100000000000001" customHeight="1">
      <c r="E23" s="128"/>
      <c r="F23" s="128"/>
      <c r="G23" s="128"/>
      <c r="H23" s="128"/>
      <c r="I23" s="128"/>
      <c r="V23" s="155">
        <f>+V22+V21</f>
        <v>61.558970237872117</v>
      </c>
      <c r="W23" s="137" t="s">
        <v>9</v>
      </c>
      <c r="X23" s="137">
        <f>SUM(X20:X22)</f>
        <v>27.391748969883061</v>
      </c>
      <c r="Y23" s="137">
        <f t="shared" ref="Y23:AS23" si="19">SUM(Y20:Y22)</f>
        <v>62.147003140001253</v>
      </c>
      <c r="Z23" s="137">
        <f t="shared" si="19"/>
        <v>47.965340352020917</v>
      </c>
      <c r="AA23" s="137">
        <f t="shared" si="19"/>
        <v>53.961007896023524</v>
      </c>
      <c r="AB23" s="137">
        <f t="shared" si="19"/>
        <v>53.961007896023524</v>
      </c>
      <c r="AC23" s="137">
        <f t="shared" si="19"/>
        <v>53.961007896023524</v>
      </c>
      <c r="AD23" s="137">
        <f t="shared" si="19"/>
        <v>53.961007896023524</v>
      </c>
      <c r="AE23" s="137">
        <f t="shared" si="19"/>
        <v>53.961007896023524</v>
      </c>
      <c r="AF23" s="137">
        <f t="shared" si="19"/>
        <v>53.961007896023524</v>
      </c>
      <c r="AG23" s="137">
        <f t="shared" si="19"/>
        <v>53.961007896023524</v>
      </c>
      <c r="AH23" s="137">
        <f t="shared" si="19"/>
        <v>53.961007896023524</v>
      </c>
      <c r="AI23" s="137">
        <f t="shared" si="19"/>
        <v>53.961007896023524</v>
      </c>
      <c r="AJ23" s="137">
        <f t="shared" si="19"/>
        <v>53.961007896023524</v>
      </c>
      <c r="AK23" s="137">
        <f t="shared" si="19"/>
        <v>53.961007896023524</v>
      </c>
      <c r="AL23" s="137">
        <f t="shared" si="19"/>
        <v>53.961007896023524</v>
      </c>
      <c r="AM23" s="137">
        <f t="shared" si="19"/>
        <v>53.961007896023524</v>
      </c>
      <c r="AN23" s="137">
        <f t="shared" si="19"/>
        <v>53.961007896023524</v>
      </c>
      <c r="AO23" s="137">
        <f t="shared" si="19"/>
        <v>53.961007896023524</v>
      </c>
      <c r="AP23" s="137">
        <f t="shared" si="19"/>
        <v>53.961007896023524</v>
      </c>
      <c r="AQ23" s="137">
        <f t="shared" si="19"/>
        <v>53.961007896023524</v>
      </c>
      <c r="AR23" s="137">
        <f t="shared" si="19"/>
        <v>53.961007896023524</v>
      </c>
      <c r="AS23" s="137">
        <f t="shared" si="19"/>
        <v>17.98700263200784</v>
      </c>
      <c r="AT23" s="137">
        <f t="shared" ref="AT23" si="20">SUM(AT20:AT22)</f>
        <v>0</v>
      </c>
      <c r="AU23" s="125"/>
    </row>
    <row r="24" spans="1:59" ht="20.100000000000001" customHeight="1">
      <c r="V24" s="21"/>
      <c r="W24" s="4"/>
      <c r="X24" s="4"/>
      <c r="Y24" s="4"/>
      <c r="Z24" s="4"/>
      <c r="AA24" s="4"/>
      <c r="AB24" s="4"/>
      <c r="AC24" s="4"/>
      <c r="AD24" s="4"/>
      <c r="AE24" s="4"/>
      <c r="AF24" s="4"/>
      <c r="AG24" s="4"/>
      <c r="AH24" s="4"/>
      <c r="AI24" s="4"/>
      <c r="AJ24" s="4"/>
      <c r="AK24" s="4"/>
      <c r="AL24" s="4"/>
      <c r="AM24" s="4"/>
      <c r="AN24" s="4"/>
      <c r="AO24" s="4"/>
      <c r="AP24" s="4"/>
      <c r="AQ24" s="4"/>
      <c r="AR24" s="4"/>
      <c r="AS24" s="4"/>
      <c r="AT24" s="4"/>
      <c r="AU24" s="21"/>
    </row>
    <row r="25" spans="1:59" ht="20.100000000000001" customHeight="1">
      <c r="D25" s="15" t="s">
        <v>318</v>
      </c>
      <c r="E25" s="15" t="s">
        <v>274</v>
      </c>
      <c r="F25" s="15" t="s">
        <v>276</v>
      </c>
      <c r="G25" s="15" t="s">
        <v>398</v>
      </c>
      <c r="H25" s="15" t="s">
        <v>399</v>
      </c>
      <c r="I25" s="15" t="s">
        <v>398</v>
      </c>
      <c r="V25" s="21"/>
      <c r="W25" s="141" t="s">
        <v>259</v>
      </c>
      <c r="X25" s="141"/>
      <c r="Y25" s="141"/>
      <c r="Z25" s="141"/>
      <c r="AA25" s="141"/>
      <c r="AB25" s="141"/>
      <c r="AC25" s="141"/>
      <c r="AD25" s="141"/>
      <c r="AE25" s="141"/>
      <c r="AF25" s="141"/>
      <c r="AG25" s="141"/>
      <c r="AH25" s="141"/>
      <c r="AI25" s="141"/>
      <c r="AJ25" s="141"/>
      <c r="AK25" s="141"/>
      <c r="AL25" s="141"/>
      <c r="AM25" s="141"/>
      <c r="AN25" s="141"/>
      <c r="AO25" s="141"/>
      <c r="AP25" s="141"/>
      <c r="AQ25" s="141"/>
      <c r="AR25" s="141"/>
      <c r="AS25" s="141"/>
      <c r="AT25" s="141"/>
      <c r="AU25" s="125"/>
    </row>
    <row r="26" spans="1:59" ht="20.100000000000001" customHeight="1">
      <c r="D26">
        <v>1</v>
      </c>
      <c r="E26">
        <f>C7</f>
        <v>26.087379971317201</v>
      </c>
      <c r="G26" s="256">
        <f>F26-E26</f>
        <v>-26.087379971317201</v>
      </c>
      <c r="H26">
        <f>$X$11</f>
        <v>0</v>
      </c>
      <c r="I26">
        <f>G26-H26</f>
        <v>-26.087379971317201</v>
      </c>
      <c r="V26" s="21"/>
      <c r="W26" s="141" t="s">
        <v>260</v>
      </c>
      <c r="X26" s="141"/>
      <c r="Y26" s="141"/>
      <c r="Z26" s="141"/>
      <c r="AA26" s="141"/>
      <c r="AB26" s="141"/>
      <c r="AC26" s="141"/>
      <c r="AD26" s="141"/>
      <c r="AE26" s="141"/>
      <c r="AF26" s="141"/>
      <c r="AG26" s="141"/>
      <c r="AH26" s="141"/>
      <c r="AI26" s="141"/>
      <c r="AJ26" s="141"/>
      <c r="AK26" s="141"/>
      <c r="AL26" s="141"/>
      <c r="AM26" s="141"/>
      <c r="AN26" s="141"/>
      <c r="AO26" s="141"/>
      <c r="AP26" s="141"/>
      <c r="AQ26" s="141"/>
      <c r="AR26" s="141"/>
      <c r="AS26" s="141"/>
      <c r="AT26" s="141"/>
      <c r="AU26" s="125"/>
    </row>
    <row r="27" spans="1:59" ht="20.100000000000001" customHeight="1">
      <c r="A27" s="136"/>
      <c r="D27">
        <f t="shared" ref="D27:D48" si="21">D26+1</f>
        <v>2</v>
      </c>
      <c r="E27">
        <f>C8+C10</f>
        <v>31.884575520498803</v>
      </c>
      <c r="F27">
        <f>D14*0.6*8/12+D16/2</f>
        <v>27.750246848410246</v>
      </c>
      <c r="G27" s="256">
        <f t="shared" ref="G27:G48" si="22">F27-E27</f>
        <v>-4.1343286720885573</v>
      </c>
      <c r="H27">
        <f>$Y$11</f>
        <v>8.9467834703126936</v>
      </c>
      <c r="I27">
        <f t="shared" ref="I27:I48" si="23">G27-H27</f>
        <v>-13.081112142401251</v>
      </c>
      <c r="V27" s="21"/>
      <c r="W27" s="141" t="s">
        <v>261</v>
      </c>
      <c r="X27" s="141">
        <f t="shared" ref="X27:AA28" si="24">+X21</f>
        <v>0</v>
      </c>
      <c r="Y27" s="141">
        <f t="shared" si="24"/>
        <v>0</v>
      </c>
      <c r="Z27" s="141">
        <f t="shared" si="24"/>
        <v>0</v>
      </c>
      <c r="AA27" s="141">
        <f t="shared" si="24"/>
        <v>0</v>
      </c>
      <c r="AB27" s="141">
        <v>0</v>
      </c>
      <c r="AC27" s="141">
        <v>0</v>
      </c>
      <c r="AD27" s="141">
        <v>0</v>
      </c>
      <c r="AE27" s="141">
        <v>0</v>
      </c>
      <c r="AF27" s="141">
        <v>0</v>
      </c>
      <c r="AG27" s="141">
        <v>0</v>
      </c>
      <c r="AH27" s="141">
        <v>0</v>
      </c>
      <c r="AI27" s="141">
        <v>0</v>
      </c>
      <c r="AJ27" s="141">
        <v>0</v>
      </c>
      <c r="AK27" s="141">
        <v>0</v>
      </c>
      <c r="AL27" s="141">
        <v>0</v>
      </c>
      <c r="AM27" s="141">
        <v>0</v>
      </c>
      <c r="AN27" s="141">
        <v>0</v>
      </c>
      <c r="AO27" s="141">
        <v>0</v>
      </c>
      <c r="AP27" s="141">
        <v>0</v>
      </c>
      <c r="AQ27" s="141">
        <v>0</v>
      </c>
      <c r="AR27" s="141">
        <v>0</v>
      </c>
      <c r="AS27" s="141">
        <v>0</v>
      </c>
      <c r="AT27" s="141">
        <v>0</v>
      </c>
      <c r="AU27" s="125"/>
    </row>
    <row r="28" spans="1:59" ht="20.100000000000001" customHeight="1">
      <c r="A28" s="136"/>
      <c r="B28" s="2"/>
      <c r="D28">
        <f t="shared" si="21"/>
        <v>3</v>
      </c>
      <c r="F28">
        <f>Z7+D16/2</f>
        <v>51.732917024420708</v>
      </c>
      <c r="G28" s="256">
        <f t="shared" si="22"/>
        <v>51.732917024420708</v>
      </c>
      <c r="H28">
        <f>$Z$11</f>
        <v>11.848972300007379</v>
      </c>
      <c r="I28">
        <f t="shared" si="23"/>
        <v>39.883944724413325</v>
      </c>
      <c r="V28" s="21"/>
      <c r="W28" s="141" t="s">
        <v>262</v>
      </c>
      <c r="X28" s="141">
        <f t="shared" si="24"/>
        <v>27.391748969883061</v>
      </c>
      <c r="Y28" s="141">
        <f t="shared" si="24"/>
        <v>34.167221267989056</v>
      </c>
      <c r="Z28" s="141">
        <f t="shared" si="24"/>
        <v>0</v>
      </c>
      <c r="AA28" s="141">
        <f t="shared" si="24"/>
        <v>0</v>
      </c>
      <c r="AB28" s="141">
        <v>0</v>
      </c>
      <c r="AC28" s="141">
        <v>0</v>
      </c>
      <c r="AD28" s="141">
        <v>0</v>
      </c>
      <c r="AE28" s="141">
        <v>0</v>
      </c>
      <c r="AF28" s="141">
        <v>0</v>
      </c>
      <c r="AG28" s="141">
        <v>0</v>
      </c>
      <c r="AH28" s="141">
        <v>0</v>
      </c>
      <c r="AI28" s="141">
        <v>0</v>
      </c>
      <c r="AJ28" s="141"/>
      <c r="AK28" s="141">
        <v>0</v>
      </c>
      <c r="AL28" s="141">
        <v>0</v>
      </c>
      <c r="AM28" s="141">
        <v>0</v>
      </c>
      <c r="AN28" s="141">
        <v>0</v>
      </c>
      <c r="AO28" s="141">
        <v>0</v>
      </c>
      <c r="AP28" s="141">
        <v>0</v>
      </c>
      <c r="AQ28" s="141">
        <v>0</v>
      </c>
      <c r="AR28" s="141">
        <v>0</v>
      </c>
      <c r="AS28" s="141">
        <v>0</v>
      </c>
      <c r="AT28" s="141">
        <v>0</v>
      </c>
      <c r="AU28" s="125"/>
    </row>
    <row r="29" spans="1:59" ht="20.100000000000001" customHeight="1">
      <c r="A29" s="136"/>
      <c r="B29" s="15"/>
      <c r="D29">
        <f t="shared" si="21"/>
        <v>4</v>
      </c>
      <c r="F29">
        <f>$AA$7</f>
        <v>53.961007896023524</v>
      </c>
      <c r="G29" s="256">
        <f t="shared" si="22"/>
        <v>53.961007896023524</v>
      </c>
      <c r="H29">
        <f>$AA$11</f>
        <v>14.358236303075239</v>
      </c>
      <c r="I29">
        <f t="shared" si="23"/>
        <v>39.602771592948287</v>
      </c>
      <c r="V29" s="21"/>
      <c r="W29" s="141" t="s">
        <v>263</v>
      </c>
      <c r="X29" s="141"/>
      <c r="Y29" s="141"/>
      <c r="Z29" s="141"/>
      <c r="AA29" s="141"/>
      <c r="AB29" s="141"/>
      <c r="AC29" s="141"/>
      <c r="AD29" s="141"/>
      <c r="AE29" s="141"/>
      <c r="AF29" s="141"/>
      <c r="AG29" s="141"/>
      <c r="AH29" s="141"/>
      <c r="AI29" s="141"/>
      <c r="AJ29" s="141"/>
      <c r="AK29" s="141"/>
      <c r="AL29" s="141"/>
      <c r="AM29" s="141"/>
      <c r="AN29" s="141"/>
      <c r="AO29" s="141"/>
      <c r="AP29" s="141"/>
      <c r="AQ29" s="141"/>
      <c r="AR29" s="141"/>
      <c r="AS29" s="141"/>
      <c r="AT29" s="141"/>
      <c r="AU29" s="125"/>
    </row>
    <row r="30" spans="1:59" ht="20.100000000000001" customHeight="1">
      <c r="A30" s="136"/>
      <c r="D30">
        <f t="shared" si="21"/>
        <v>5</v>
      </c>
      <c r="F30">
        <f t="shared" ref="F30:F46" si="25">$AA$7</f>
        <v>53.961007896023524</v>
      </c>
      <c r="G30" s="256">
        <f t="shared" si="22"/>
        <v>53.961007896023524</v>
      </c>
      <c r="H30">
        <f>$AB$11</f>
        <v>14.925365214692311</v>
      </c>
      <c r="I30">
        <f t="shared" si="23"/>
        <v>39.035642681331211</v>
      </c>
      <c r="T30" t="s">
        <v>264</v>
      </c>
      <c r="U30" s="156">
        <v>0.1</v>
      </c>
      <c r="W30" s="157" t="s">
        <v>307</v>
      </c>
      <c r="X30" s="141">
        <f>+($X$28+$Y$28+$Z$28-SUM(W$32:$X32))*$U$30*0</f>
        <v>0</v>
      </c>
      <c r="Y30" s="141">
        <f>+($X$28+$Y$28+$Z$28-SUM($X$32:X32))*$U$30*2/12</f>
        <v>1.0259828372978685</v>
      </c>
      <c r="Z30" s="141">
        <f>+($X$28+$Y$28+$Z$28-SUM($X$32:Y32))*$U$30</f>
        <v>6.1558970237872117</v>
      </c>
      <c r="AA30" s="141">
        <f>+($X$28+$Y$28+$Z$28-SUM($X$32:Z32))*$U$30</f>
        <v>6.1558970237872117</v>
      </c>
      <c r="AB30" s="141">
        <f>+($X$28+$Y$28+$Z$28-SUM($X$32:AA32))*$U$30</f>
        <v>5.5403073214084912</v>
      </c>
      <c r="AC30" s="141">
        <f>+($X$28+$Y$28+$Z$28-SUM($X$32:AB32))*$U$30</f>
        <v>4.9247176190297699</v>
      </c>
      <c r="AD30" s="141">
        <f>+($X$28+$Y$28+$Z$28-SUM($X$32:AC32))*$U$30</f>
        <v>4.3091279166510486</v>
      </c>
      <c r="AE30" s="141">
        <f>+($X$28+$Y$28+$Z$28-SUM($X$32:AD32))*$U$30</f>
        <v>3.6935382142723272</v>
      </c>
      <c r="AF30" s="141">
        <f>+($X$28+$Y$28+$Z$28-SUM($X$32:AE32))*$U$30</f>
        <v>3.0779485118936059</v>
      </c>
      <c r="AG30" s="141">
        <f>+($X$28+$Y$28+$Z$28-SUM($X$32:AF32))*$U$30</f>
        <v>2.4623588095148849</v>
      </c>
      <c r="AH30" s="141">
        <f>+($X$28+$Y$28+$Z$28-SUM($X$32:AG32))*$U$30</f>
        <v>1.8467691071361636</v>
      </c>
      <c r="AI30" s="141">
        <f>+($X$28+$Y$28+$Z$28-SUM($X$32:AH32))*$U$30</f>
        <v>1.2311794047574425</v>
      </c>
      <c r="AJ30" s="141">
        <f>+($X$28+$Y$28+$Z$28-SUM($X$32:AI32))*$U$30</f>
        <v>0.61558970237872124</v>
      </c>
      <c r="AK30" s="141">
        <f>+($X$28+$Y$28+$Z$28-SUM($X$32:AJ32))*$U$30</f>
        <v>0</v>
      </c>
      <c r="AL30" s="141">
        <f>+($X$28+$Y$28+$Z$28-SUM($X$32:AK32))*$U$30</f>
        <v>0</v>
      </c>
      <c r="AM30" s="141">
        <f>+($X$28+$Y$28+$Z$28-SUM($X$32:AL32))*$U$30</f>
        <v>0</v>
      </c>
      <c r="AN30" s="141">
        <f>+($X$28+$Y$28+$Z$28-SUM($X$32:AM32))*$U$30</f>
        <v>0</v>
      </c>
      <c r="AO30" s="141">
        <f>+($X$28+$Y$28+$Z$28-SUM($X$32:AN32))*$U$30</f>
        <v>0</v>
      </c>
      <c r="AP30" s="141">
        <f>+($X$28+$Y$28+$Z$28-SUM($X$32:AO32))*$U$30</f>
        <v>0</v>
      </c>
      <c r="AQ30" s="141">
        <f>+($X$28+$Y$28+$Z$28-SUM($X$32:AP32))*$U$30</f>
        <v>0</v>
      </c>
      <c r="AR30" s="141">
        <f>+($X$28+$Y$28+$Z$28-SUM($X$32:AQ32))*$U$30</f>
        <v>0</v>
      </c>
      <c r="AS30" s="141">
        <f>+($X$28+$Y$28+$Z$28-SUM($X$32:AR32))*$U$30</f>
        <v>0</v>
      </c>
      <c r="AT30" s="141">
        <f>+($X$28+$Y$28+$Z$28-SUM($X$32:AS32))*$U$30</f>
        <v>0</v>
      </c>
      <c r="AU30" s="125"/>
    </row>
    <row r="31" spans="1:59" ht="20.100000000000001" customHeight="1">
      <c r="A31" s="136"/>
      <c r="B31" s="128"/>
      <c r="D31">
        <f t="shared" si="21"/>
        <v>6</v>
      </c>
      <c r="E31" s="128"/>
      <c r="F31">
        <f t="shared" si="25"/>
        <v>53.961007896023524</v>
      </c>
      <c r="G31" s="256">
        <f t="shared" si="22"/>
        <v>53.961007896023524</v>
      </c>
      <c r="H31">
        <f>$AC$11</f>
        <v>15.439691539406706</v>
      </c>
      <c r="I31">
        <f t="shared" si="23"/>
        <v>38.521316356616822</v>
      </c>
      <c r="T31" t="s">
        <v>265</v>
      </c>
      <c r="U31" s="156">
        <v>0.1</v>
      </c>
      <c r="V31" s="156"/>
      <c r="W31" s="157" t="s">
        <v>253</v>
      </c>
      <c r="X31" s="141"/>
      <c r="Y31" s="141"/>
      <c r="Z31" s="141"/>
      <c r="AA31" s="141"/>
      <c r="AB31" s="141"/>
      <c r="AC31" s="141"/>
      <c r="AD31" s="141"/>
      <c r="AE31" s="141"/>
      <c r="AF31" s="141"/>
      <c r="AG31" s="141"/>
      <c r="AH31" s="141"/>
      <c r="AI31" s="141"/>
      <c r="AJ31" s="141"/>
      <c r="AK31" s="141"/>
      <c r="AL31" s="141"/>
      <c r="AM31" s="141"/>
      <c r="AN31" s="141"/>
      <c r="AO31" s="141"/>
      <c r="AP31" s="141"/>
      <c r="AQ31" s="141"/>
      <c r="AR31" s="141"/>
      <c r="AS31" s="141"/>
      <c r="AT31" s="141"/>
      <c r="AU31" s="125"/>
    </row>
    <row r="32" spans="1:59" ht="20.100000000000001" customHeight="1">
      <c r="A32" s="136"/>
      <c r="D32">
        <f t="shared" si="21"/>
        <v>7</v>
      </c>
      <c r="F32">
        <f t="shared" si="25"/>
        <v>53.961007896023524</v>
      </c>
      <c r="G32" s="256">
        <f t="shared" si="22"/>
        <v>53.961007896023524</v>
      </c>
      <c r="H32">
        <f>$AD$11</f>
        <v>15.909135665253826</v>
      </c>
      <c r="I32">
        <f t="shared" si="23"/>
        <v>38.051872230769696</v>
      </c>
      <c r="V32" s="21">
        <f>SUM(X32:AS32)</f>
        <v>61.558970237872117</v>
      </c>
      <c r="W32" s="141" t="s">
        <v>266</v>
      </c>
      <c r="X32" s="141">
        <f>+AY14</f>
        <v>0</v>
      </c>
      <c r="Y32" s="141"/>
      <c r="Z32" s="141"/>
      <c r="AA32" s="141">
        <f>+$V$22/10</f>
        <v>6.1558970237872117</v>
      </c>
      <c r="AB32" s="141">
        <f t="shared" ref="AB32:AJ32" si="26">+$V$22/10</f>
        <v>6.1558970237872117</v>
      </c>
      <c r="AC32" s="141">
        <f t="shared" si="26"/>
        <v>6.1558970237872117</v>
      </c>
      <c r="AD32" s="141">
        <f t="shared" si="26"/>
        <v>6.1558970237872117</v>
      </c>
      <c r="AE32" s="141">
        <f t="shared" si="26"/>
        <v>6.1558970237872117</v>
      </c>
      <c r="AF32" s="141">
        <f t="shared" si="26"/>
        <v>6.1558970237872117</v>
      </c>
      <c r="AG32" s="141">
        <f t="shared" si="26"/>
        <v>6.1558970237872117</v>
      </c>
      <c r="AH32" s="141">
        <f t="shared" si="26"/>
        <v>6.1558970237872117</v>
      </c>
      <c r="AI32" s="141">
        <f t="shared" si="26"/>
        <v>6.1558970237872117</v>
      </c>
      <c r="AJ32" s="141">
        <f t="shared" si="26"/>
        <v>6.1558970237872117</v>
      </c>
      <c r="AK32" s="141"/>
      <c r="AL32" s="141"/>
      <c r="AM32" s="141"/>
      <c r="AN32" s="141"/>
      <c r="AO32" s="141"/>
      <c r="AP32" s="141"/>
      <c r="AQ32" s="141"/>
      <c r="AR32" s="141"/>
      <c r="AS32" s="141"/>
      <c r="AT32" s="141"/>
      <c r="AU32" s="125"/>
    </row>
    <row r="33" spans="1:50" ht="20.100000000000001" customHeight="1">
      <c r="A33" s="136"/>
      <c r="B33" s="15"/>
      <c r="D33">
        <f t="shared" si="21"/>
        <v>8</v>
      </c>
      <c r="F33">
        <f t="shared" si="25"/>
        <v>53.961007896023524</v>
      </c>
      <c r="G33" s="256">
        <f t="shared" si="22"/>
        <v>53.961007896023524</v>
      </c>
      <c r="H33">
        <f>$AE$11</f>
        <v>16.340429922063759</v>
      </c>
      <c r="I33">
        <f t="shared" si="23"/>
        <v>37.620577973959769</v>
      </c>
      <c r="V33" s="21"/>
      <c r="W33" s="147" t="s">
        <v>267</v>
      </c>
      <c r="X33" s="147">
        <f>+X11</f>
        <v>0</v>
      </c>
      <c r="Y33" s="147">
        <f t="shared" ref="Y33:AS33" si="27">+Y11</f>
        <v>8.9467834703126936</v>
      </c>
      <c r="Z33" s="147">
        <f>+Z11</f>
        <v>11.848972300007379</v>
      </c>
      <c r="AA33" s="147">
        <f t="shared" si="27"/>
        <v>14.358236303075239</v>
      </c>
      <c r="AB33" s="147">
        <f t="shared" si="27"/>
        <v>14.925365214692311</v>
      </c>
      <c r="AC33" s="147">
        <f t="shared" si="27"/>
        <v>15.439691539406706</v>
      </c>
      <c r="AD33" s="147">
        <f t="shared" si="27"/>
        <v>15.909135665253826</v>
      </c>
      <c r="AE33" s="147">
        <f t="shared" si="27"/>
        <v>16.340429922063759</v>
      </c>
      <c r="AF33" s="147">
        <f t="shared" si="27"/>
        <v>16.739296790192085</v>
      </c>
      <c r="AG33" s="147">
        <f t="shared" si="27"/>
        <v>17.110600377941047</v>
      </c>
      <c r="AH33" s="147">
        <f t="shared" si="27"/>
        <v>17.458475177367546</v>
      </c>
      <c r="AI33" s="147">
        <f t="shared" si="27"/>
        <v>17.786435506719958</v>
      </c>
      <c r="AJ33" s="147">
        <f t="shared" si="27"/>
        <v>18.097468536509385</v>
      </c>
      <c r="AK33" s="147">
        <f t="shared" si="27"/>
        <v>18.394113361670282</v>
      </c>
      <c r="AL33" s="147">
        <f t="shared" si="27"/>
        <v>18.463416547297708</v>
      </c>
      <c r="AM33" s="147">
        <f t="shared" si="27"/>
        <v>18.522324255081024</v>
      </c>
      <c r="AN33" s="147">
        <f t="shared" si="27"/>
        <v>18.572395806696839</v>
      </c>
      <c r="AO33" s="147">
        <f t="shared" si="27"/>
        <v>18.614956625570283</v>
      </c>
      <c r="AP33" s="147">
        <f t="shared" si="27"/>
        <v>18.651133321612708</v>
      </c>
      <c r="AQ33" s="147">
        <f t="shared" si="27"/>
        <v>18.638364821690967</v>
      </c>
      <c r="AR33" s="147">
        <f t="shared" si="27"/>
        <v>18.856134599186458</v>
      </c>
      <c r="AS33" s="147">
        <f t="shared" si="27"/>
        <v>6.2853781997288189</v>
      </c>
      <c r="AT33" s="147">
        <f t="shared" ref="AT33" si="28">+AT11</f>
        <v>0</v>
      </c>
      <c r="AU33" s="125"/>
    </row>
    <row r="34" spans="1:50" ht="20.100000000000001" customHeight="1">
      <c r="A34" s="136">
        <f>SUM(A27:A32)</f>
        <v>0</v>
      </c>
      <c r="B34" s="15"/>
      <c r="D34">
        <f t="shared" si="21"/>
        <v>9</v>
      </c>
      <c r="F34">
        <f t="shared" si="25"/>
        <v>53.961007896023524</v>
      </c>
      <c r="G34" s="256">
        <f t="shared" si="22"/>
        <v>53.961007896023524</v>
      </c>
      <c r="H34">
        <f>$AF$11</f>
        <v>16.739296790192085</v>
      </c>
      <c r="I34">
        <f t="shared" si="23"/>
        <v>37.221711105831439</v>
      </c>
      <c r="V34" s="21"/>
      <c r="W34" s="141" t="s">
        <v>9</v>
      </c>
      <c r="X34" s="141">
        <f>SUM(X26:X33)</f>
        <v>27.391748969883061</v>
      </c>
      <c r="Y34" s="141">
        <f>SUM(Y26:Y33)</f>
        <v>44.139987575599619</v>
      </c>
      <c r="Z34" s="141">
        <f t="shared" ref="Z34:AS34" si="29">SUM(Z26:Z33)</f>
        <v>18.00486932379459</v>
      </c>
      <c r="AA34" s="141">
        <f t="shared" si="29"/>
        <v>26.670030350649661</v>
      </c>
      <c r="AB34" s="141">
        <f t="shared" si="29"/>
        <v>26.621569559888016</v>
      </c>
      <c r="AC34" s="141">
        <f t="shared" si="29"/>
        <v>26.520306182223688</v>
      </c>
      <c r="AD34" s="141">
        <f t="shared" si="29"/>
        <v>26.374160605692087</v>
      </c>
      <c r="AE34" s="141">
        <f t="shared" si="29"/>
        <v>26.189865160123297</v>
      </c>
      <c r="AF34" s="141">
        <f t="shared" si="29"/>
        <v>25.973142325872903</v>
      </c>
      <c r="AG34" s="141">
        <f t="shared" si="29"/>
        <v>25.728856211243144</v>
      </c>
      <c r="AH34" s="141">
        <f t="shared" si="29"/>
        <v>25.461141308290919</v>
      </c>
      <c r="AI34" s="141">
        <f t="shared" si="29"/>
        <v>25.173511935264614</v>
      </c>
      <c r="AJ34" s="141">
        <f t="shared" si="29"/>
        <v>24.868955262675318</v>
      </c>
      <c r="AK34" s="141">
        <f t="shared" si="29"/>
        <v>18.394113361670282</v>
      </c>
      <c r="AL34" s="141">
        <f t="shared" si="29"/>
        <v>18.463416547297708</v>
      </c>
      <c r="AM34" s="141">
        <f t="shared" si="29"/>
        <v>18.522324255081024</v>
      </c>
      <c r="AN34" s="141">
        <f t="shared" si="29"/>
        <v>18.572395806696839</v>
      </c>
      <c r="AO34" s="141">
        <f t="shared" si="29"/>
        <v>18.614956625570283</v>
      </c>
      <c r="AP34" s="141">
        <f t="shared" si="29"/>
        <v>18.651133321612708</v>
      </c>
      <c r="AQ34" s="141">
        <f t="shared" si="29"/>
        <v>18.638364821690967</v>
      </c>
      <c r="AR34" s="141">
        <f t="shared" si="29"/>
        <v>18.856134599186458</v>
      </c>
      <c r="AS34" s="141">
        <f t="shared" si="29"/>
        <v>6.2853781997288189</v>
      </c>
      <c r="AT34" s="141">
        <f t="shared" ref="AT34" si="30">SUM(AT26:AT33)</f>
        <v>0</v>
      </c>
      <c r="AU34" s="125"/>
    </row>
    <row r="35" spans="1:50" ht="20.100000000000001" customHeight="1">
      <c r="A35" s="136"/>
      <c r="B35" s="15"/>
      <c r="D35">
        <f t="shared" si="21"/>
        <v>10</v>
      </c>
      <c r="F35">
        <f t="shared" si="25"/>
        <v>53.961007896023524</v>
      </c>
      <c r="G35" s="256">
        <f t="shared" si="22"/>
        <v>53.961007896023524</v>
      </c>
      <c r="H35">
        <f>$AG$11</f>
        <v>17.110600377941047</v>
      </c>
      <c r="I35">
        <f t="shared" si="23"/>
        <v>36.850407518082477</v>
      </c>
      <c r="V35" s="21"/>
      <c r="W35" s="141"/>
      <c r="X35" s="141"/>
      <c r="Y35" s="141"/>
      <c r="Z35" s="141"/>
      <c r="AA35" s="141"/>
      <c r="AB35" s="141"/>
      <c r="AC35" s="141"/>
      <c r="AD35" s="141"/>
      <c r="AE35" s="141"/>
      <c r="AF35" s="141"/>
      <c r="AG35" s="141"/>
      <c r="AH35" s="141"/>
      <c r="AI35" s="141"/>
      <c r="AJ35" s="141"/>
      <c r="AK35" s="141"/>
      <c r="AL35" s="141"/>
      <c r="AM35" s="141"/>
      <c r="AN35" s="141"/>
      <c r="AO35" s="141"/>
      <c r="AP35" s="141"/>
      <c r="AQ35" s="141"/>
      <c r="AR35" s="141"/>
      <c r="AS35" s="141"/>
      <c r="AT35" s="141"/>
      <c r="AU35" s="125"/>
    </row>
    <row r="36" spans="1:50" ht="20.100000000000001" customHeight="1" thickBot="1">
      <c r="B36" s="15"/>
      <c r="D36">
        <f t="shared" si="21"/>
        <v>11</v>
      </c>
      <c r="F36">
        <f t="shared" si="25"/>
        <v>53.961007896023524</v>
      </c>
      <c r="G36" s="256">
        <f t="shared" si="22"/>
        <v>53.961007896023524</v>
      </c>
      <c r="H36">
        <f>$AH$11</f>
        <v>17.458475177367546</v>
      </c>
      <c r="I36">
        <f t="shared" si="23"/>
        <v>36.502532718655978</v>
      </c>
      <c r="V36" s="21"/>
      <c r="W36" s="158" t="s">
        <v>268</v>
      </c>
      <c r="X36" s="159">
        <f t="shared" ref="X36:AS36" si="31">+X23-X34</f>
        <v>0</v>
      </c>
      <c r="Y36" s="159">
        <f t="shared" si="31"/>
        <v>18.007015564401634</v>
      </c>
      <c r="Z36" s="159">
        <f t="shared" si="31"/>
        <v>29.960471028226326</v>
      </c>
      <c r="AA36" s="159">
        <f t="shared" si="31"/>
        <v>27.290977545373863</v>
      </c>
      <c r="AB36" s="159">
        <f t="shared" si="31"/>
        <v>27.339438336135508</v>
      </c>
      <c r="AC36" s="159">
        <f t="shared" si="31"/>
        <v>27.440701713799836</v>
      </c>
      <c r="AD36" s="159">
        <f t="shared" si="31"/>
        <v>27.586847290331438</v>
      </c>
      <c r="AE36" s="159">
        <f t="shared" si="31"/>
        <v>27.771142735900227</v>
      </c>
      <c r="AF36" s="159">
        <f t="shared" si="31"/>
        <v>27.987865570150621</v>
      </c>
      <c r="AG36" s="159">
        <f t="shared" si="31"/>
        <v>28.23215168478038</v>
      </c>
      <c r="AH36" s="159">
        <f t="shared" si="31"/>
        <v>28.499866587732605</v>
      </c>
      <c r="AI36" s="159">
        <f t="shared" si="31"/>
        <v>28.78749596075891</v>
      </c>
      <c r="AJ36" s="159">
        <f t="shared" si="31"/>
        <v>29.092052633348207</v>
      </c>
      <c r="AK36" s="159">
        <f t="shared" si="31"/>
        <v>35.566894534353239</v>
      </c>
      <c r="AL36" s="159">
        <f t="shared" si="31"/>
        <v>35.49759134872582</v>
      </c>
      <c r="AM36" s="159">
        <f t="shared" si="31"/>
        <v>35.4386836409425</v>
      </c>
      <c r="AN36" s="159">
        <f t="shared" si="31"/>
        <v>35.388612089326685</v>
      </c>
      <c r="AO36" s="159">
        <f t="shared" si="31"/>
        <v>35.346051270453245</v>
      </c>
      <c r="AP36" s="159">
        <f t="shared" si="31"/>
        <v>35.309874574410813</v>
      </c>
      <c r="AQ36" s="159">
        <f t="shared" si="31"/>
        <v>35.322643074332561</v>
      </c>
      <c r="AR36" s="159">
        <f t="shared" si="31"/>
        <v>35.10487329683707</v>
      </c>
      <c r="AS36" s="159">
        <f t="shared" si="31"/>
        <v>11.701624432279022</v>
      </c>
      <c r="AT36" s="159">
        <f t="shared" ref="AT36" si="32">+AT23-AT34</f>
        <v>0</v>
      </c>
      <c r="AU36" s="125"/>
    </row>
    <row r="37" spans="1:50" ht="20.100000000000001" customHeight="1" thickBot="1">
      <c r="B37" s="15"/>
      <c r="D37">
        <f t="shared" si="21"/>
        <v>12</v>
      </c>
      <c r="F37">
        <f t="shared" si="25"/>
        <v>53.961007896023524</v>
      </c>
      <c r="G37" s="256">
        <f t="shared" si="22"/>
        <v>53.961007896023524</v>
      </c>
      <c r="H37">
        <f>$AI$11</f>
        <v>17.786435506719958</v>
      </c>
      <c r="I37">
        <f t="shared" si="23"/>
        <v>36.174572389303563</v>
      </c>
      <c r="V37" s="21"/>
      <c r="W37" s="160" t="s">
        <v>269</v>
      </c>
      <c r="X37" s="161">
        <f>SUM($X$36:X36)</f>
        <v>0</v>
      </c>
      <c r="Y37" s="161">
        <f>SUM($X$36:Y36)</f>
        <v>18.007015564401634</v>
      </c>
      <c r="Z37" s="161">
        <f>SUM($X$36:Z36)</f>
        <v>47.967486592627964</v>
      </c>
      <c r="AA37" s="161">
        <f>SUM($X$36:AA36)</f>
        <v>75.258464138001827</v>
      </c>
      <c r="AB37" s="161">
        <f>SUM($X$36:AB36)</f>
        <v>102.59790247413733</v>
      </c>
      <c r="AC37" s="161">
        <f>SUM($X$36:AC36)</f>
        <v>130.03860418793715</v>
      </c>
      <c r="AD37" s="161">
        <f>SUM($X$36:AD36)</f>
        <v>157.62545147826859</v>
      </c>
      <c r="AE37" s="161">
        <f>SUM($X$36:AE36)</f>
        <v>185.39659421416883</v>
      </c>
      <c r="AF37" s="161">
        <f>SUM($X$36:AF36)</f>
        <v>213.38445978431946</v>
      </c>
      <c r="AG37" s="161">
        <f>SUM($X$36:AG36)</f>
        <v>241.61661146909984</v>
      </c>
      <c r="AH37" s="161">
        <f>SUM($X$36:AH36)</f>
        <v>270.11647805683242</v>
      </c>
      <c r="AI37" s="161">
        <f>SUM($X$36:AI36)</f>
        <v>298.90397401759134</v>
      </c>
      <c r="AJ37" s="161">
        <f>SUM($X$36:AJ36)</f>
        <v>327.99602665093954</v>
      </c>
      <c r="AK37" s="161">
        <f>SUM($X$36:AK36)</f>
        <v>363.56292118529279</v>
      </c>
      <c r="AL37" s="161">
        <f>SUM($X$36:AL36)</f>
        <v>399.06051253401859</v>
      </c>
      <c r="AM37" s="161">
        <f>SUM($X$36:AM36)</f>
        <v>434.49919617496107</v>
      </c>
      <c r="AN37" s="161">
        <f>SUM($X$36:AN36)</f>
        <v>469.88780826428774</v>
      </c>
      <c r="AO37" s="161">
        <f>SUM($X$36:AO36)</f>
        <v>505.23385953474099</v>
      </c>
      <c r="AP37" s="161">
        <f>SUM($X$36:AP36)</f>
        <v>540.54373410915184</v>
      </c>
      <c r="AQ37" s="161">
        <f>SUM($X$36:AQ36)</f>
        <v>575.86637718348436</v>
      </c>
      <c r="AR37" s="161">
        <f>SUM($X$36:AR36)</f>
        <v>610.97125048032149</v>
      </c>
      <c r="AS37" s="161">
        <f>SUM($X$36:AS36)</f>
        <v>622.67287491260049</v>
      </c>
      <c r="AT37" s="161">
        <f>SUM($X$36:AT36)</f>
        <v>622.67287491260049</v>
      </c>
      <c r="AU37" s="125"/>
    </row>
    <row r="38" spans="1:50" ht="20.100000000000001" customHeight="1">
      <c r="B38" s="128"/>
      <c r="D38">
        <f t="shared" si="21"/>
        <v>13</v>
      </c>
      <c r="E38" s="128"/>
      <c r="F38">
        <f t="shared" si="25"/>
        <v>53.961007896023524</v>
      </c>
      <c r="G38" s="256">
        <f t="shared" si="22"/>
        <v>53.961007896023524</v>
      </c>
      <c r="H38">
        <f>$AJ$11</f>
        <v>18.097468536509385</v>
      </c>
      <c r="I38">
        <f t="shared" si="23"/>
        <v>35.863539359514135</v>
      </c>
      <c r="V38" s="21"/>
      <c r="W38" s="141"/>
      <c r="X38" s="141"/>
      <c r="Y38" s="141"/>
      <c r="Z38" s="141"/>
      <c r="AA38" s="141"/>
      <c r="AB38" s="141"/>
      <c r="AC38" s="141"/>
      <c r="AD38" s="141"/>
      <c r="AE38" s="141"/>
      <c r="AF38" s="141"/>
      <c r="AG38" s="141"/>
      <c r="AH38" s="141"/>
      <c r="AI38" s="141"/>
      <c r="AJ38" s="141"/>
      <c r="AK38" s="141"/>
      <c r="AL38" s="141"/>
      <c r="AM38" s="141"/>
      <c r="AN38" s="141"/>
      <c r="AO38" s="141"/>
      <c r="AP38" s="141"/>
      <c r="AQ38" s="141"/>
      <c r="AR38" s="141"/>
      <c r="AS38" s="141"/>
      <c r="AT38" s="141"/>
      <c r="AU38" s="125"/>
    </row>
    <row r="39" spans="1:50" ht="20.100000000000001" customHeight="1">
      <c r="D39">
        <f t="shared" si="21"/>
        <v>14</v>
      </c>
      <c r="F39">
        <f t="shared" si="25"/>
        <v>53.961007896023524</v>
      </c>
      <c r="G39" s="256">
        <f t="shared" si="22"/>
        <v>53.961007896023524</v>
      </c>
      <c r="H39">
        <f>$AK$11</f>
        <v>18.394113361670282</v>
      </c>
      <c r="I39">
        <f t="shared" si="23"/>
        <v>35.566894534353239</v>
      </c>
      <c r="V39" s="21"/>
      <c r="W39" s="141"/>
      <c r="X39" s="141"/>
      <c r="Y39" s="141"/>
      <c r="Z39" s="141"/>
      <c r="AA39" s="141"/>
      <c r="AB39" s="141"/>
      <c r="AC39" s="141"/>
      <c r="AD39" s="141"/>
      <c r="AE39" s="141"/>
      <c r="AF39" s="141"/>
      <c r="AG39" s="141"/>
      <c r="AH39" s="141"/>
      <c r="AI39" s="141"/>
      <c r="AJ39" s="141"/>
      <c r="AK39" s="141"/>
      <c r="AL39" s="141"/>
      <c r="AM39" s="141"/>
      <c r="AN39" s="141"/>
      <c r="AO39" s="141"/>
      <c r="AP39" s="141"/>
      <c r="AQ39" s="141"/>
      <c r="AR39" s="141"/>
      <c r="AS39" s="141"/>
      <c r="AT39" s="141"/>
      <c r="AU39" s="125"/>
    </row>
    <row r="40" spans="1:50" ht="20.100000000000001" customHeight="1">
      <c r="B40" s="128"/>
      <c r="D40">
        <f t="shared" si="21"/>
        <v>15</v>
      </c>
      <c r="E40" s="128"/>
      <c r="F40">
        <f t="shared" si="25"/>
        <v>53.961007896023524</v>
      </c>
      <c r="G40" s="256">
        <f t="shared" si="22"/>
        <v>53.961007896023524</v>
      </c>
      <c r="H40">
        <f>$AL$11</f>
        <v>18.463416547297708</v>
      </c>
      <c r="I40">
        <f t="shared" si="23"/>
        <v>35.49759134872582</v>
      </c>
      <c r="O40" t="s">
        <v>270</v>
      </c>
      <c r="V40" s="21"/>
      <c r="W40" s="4"/>
      <c r="X40" s="4"/>
      <c r="Y40" s="141"/>
      <c r="Z40" s="144" t="s">
        <v>218</v>
      </c>
      <c r="AA40" s="148"/>
      <c r="AB40" s="4"/>
      <c r="AC40" s="4"/>
      <c r="AD40" s="4"/>
      <c r="AE40" s="4"/>
      <c r="AF40" s="4"/>
      <c r="AG40" s="4"/>
      <c r="AH40" s="4"/>
      <c r="AI40" s="4"/>
      <c r="AJ40" s="4"/>
      <c r="AK40" s="4"/>
      <c r="AL40" s="4"/>
      <c r="AM40" s="4"/>
      <c r="AN40" s="4"/>
      <c r="AO40" s="4"/>
      <c r="AP40" s="4"/>
      <c r="AQ40" s="4"/>
      <c r="AR40" s="4"/>
      <c r="AS40" s="5"/>
      <c r="AT40" s="5"/>
      <c r="AU40" s="21"/>
    </row>
    <row r="41" spans="1:50" ht="20.100000000000001" customHeight="1">
      <c r="D41">
        <f t="shared" si="21"/>
        <v>16</v>
      </c>
      <c r="F41">
        <f t="shared" si="25"/>
        <v>53.961007896023524</v>
      </c>
      <c r="G41" s="256">
        <f t="shared" si="22"/>
        <v>53.961007896023524</v>
      </c>
      <c r="H41">
        <f>$AM$11</f>
        <v>18.522324255081024</v>
      </c>
      <c r="I41">
        <f t="shared" si="23"/>
        <v>35.4386836409425</v>
      </c>
      <c r="O41" t="s">
        <v>272</v>
      </c>
      <c r="P41">
        <v>1</v>
      </c>
      <c r="V41" s="21"/>
      <c r="W41" s="13" t="s">
        <v>271</v>
      </c>
      <c r="X41" s="4"/>
      <c r="Y41" s="141"/>
      <c r="Z41" s="141"/>
      <c r="AA41" s="150"/>
      <c r="AB41" s="4"/>
      <c r="AC41" s="4"/>
      <c r="AD41" s="4"/>
      <c r="AE41" s="4"/>
      <c r="AF41" s="4"/>
      <c r="AG41" s="4"/>
      <c r="AH41" s="4"/>
      <c r="AI41" s="4"/>
      <c r="AJ41" s="4"/>
      <c r="AK41" s="4"/>
      <c r="AL41" s="4"/>
      <c r="AM41" s="4"/>
      <c r="AN41" s="4"/>
      <c r="AO41" s="4"/>
      <c r="AP41" s="4"/>
      <c r="AQ41" s="4"/>
      <c r="AR41" s="4"/>
      <c r="AS41" s="4"/>
      <c r="AT41" s="4"/>
      <c r="AU41" s="21"/>
    </row>
    <row r="42" spans="1:50" ht="20.100000000000001" customHeight="1">
      <c r="D42">
        <f t="shared" si="21"/>
        <v>17</v>
      </c>
      <c r="F42">
        <f t="shared" si="25"/>
        <v>53.961007896023524</v>
      </c>
      <c r="G42" s="256">
        <f t="shared" si="22"/>
        <v>53.961007896023524</v>
      </c>
      <c r="H42">
        <f>$AN$11</f>
        <v>18.572395806696839</v>
      </c>
      <c r="I42">
        <f t="shared" si="23"/>
        <v>35.388612089326685</v>
      </c>
      <c r="O42" t="s">
        <v>273</v>
      </c>
      <c r="P42">
        <v>1</v>
      </c>
      <c r="V42" s="162"/>
      <c r="W42" s="35" t="s">
        <v>8</v>
      </c>
      <c r="X42" s="134" t="s">
        <v>221</v>
      </c>
      <c r="Y42" s="134" t="s">
        <v>222</v>
      </c>
      <c r="Z42" s="134" t="s">
        <v>223</v>
      </c>
      <c r="AA42" s="134" t="s">
        <v>224</v>
      </c>
      <c r="AB42" s="134" t="s">
        <v>225</v>
      </c>
      <c r="AC42" s="134" t="s">
        <v>226</v>
      </c>
      <c r="AD42" s="134" t="s">
        <v>227</v>
      </c>
      <c r="AE42" s="134" t="s">
        <v>228</v>
      </c>
      <c r="AF42" s="134" t="s">
        <v>229</v>
      </c>
      <c r="AG42" s="134" t="s">
        <v>230</v>
      </c>
      <c r="AH42" s="134" t="s">
        <v>231</v>
      </c>
      <c r="AI42" s="134" t="s">
        <v>232</v>
      </c>
      <c r="AJ42" s="134" t="s">
        <v>233</v>
      </c>
      <c r="AK42" s="134" t="s">
        <v>234</v>
      </c>
      <c r="AL42" s="134" t="s">
        <v>235</v>
      </c>
      <c r="AM42" s="134" t="s">
        <v>236</v>
      </c>
      <c r="AN42" s="134" t="s">
        <v>237</v>
      </c>
      <c r="AO42" s="134" t="s">
        <v>238</v>
      </c>
      <c r="AP42" s="134" t="s">
        <v>239</v>
      </c>
      <c r="AQ42" s="134" t="s">
        <v>240</v>
      </c>
      <c r="AR42" s="134" t="s">
        <v>241</v>
      </c>
      <c r="AS42" s="134" t="s">
        <v>242</v>
      </c>
      <c r="AT42" s="134" t="s">
        <v>242</v>
      </c>
      <c r="AU42" s="163"/>
      <c r="AV42" s="15"/>
      <c r="AW42" s="15"/>
      <c r="AX42" s="15"/>
    </row>
    <row r="43" spans="1:50" ht="20.100000000000001" customHeight="1">
      <c r="D43">
        <f t="shared" si="21"/>
        <v>18</v>
      </c>
      <c r="F43">
        <f t="shared" si="25"/>
        <v>53.961007896023524</v>
      </c>
      <c r="G43" s="256">
        <f t="shared" si="22"/>
        <v>53.961007896023524</v>
      </c>
      <c r="H43">
        <f>$AO$11</f>
        <v>18.614956625570283</v>
      </c>
      <c r="I43">
        <f t="shared" si="23"/>
        <v>35.346051270453245</v>
      </c>
      <c r="O43" t="s">
        <v>323</v>
      </c>
      <c r="V43" s="164" t="s">
        <v>93</v>
      </c>
      <c r="W43" s="13" t="s">
        <v>274</v>
      </c>
      <c r="X43" s="165"/>
      <c r="Y43" s="165"/>
      <c r="Z43" s="165"/>
      <c r="AA43" s="165"/>
      <c r="AB43" s="165"/>
      <c r="AC43" s="165"/>
      <c r="AD43" s="165"/>
      <c r="AE43" s="165"/>
      <c r="AF43" s="165"/>
      <c r="AG43" s="165"/>
      <c r="AH43" s="165"/>
      <c r="AI43" s="165"/>
      <c r="AJ43" s="165"/>
      <c r="AK43" s="165"/>
      <c r="AL43" s="165"/>
      <c r="AM43" s="165"/>
      <c r="AN43" s="165"/>
      <c r="AO43" s="165"/>
      <c r="AP43" s="165"/>
      <c r="AQ43" s="165"/>
      <c r="AR43" s="165"/>
      <c r="AS43" s="165"/>
      <c r="AT43" s="165"/>
      <c r="AU43" s="135"/>
      <c r="AV43" s="15"/>
      <c r="AW43" s="15"/>
      <c r="AX43" s="15"/>
    </row>
    <row r="44" spans="1:50" ht="20.100000000000001" customHeight="1">
      <c r="D44">
        <f t="shared" si="21"/>
        <v>19</v>
      </c>
      <c r="F44">
        <f t="shared" si="25"/>
        <v>53.961007896023524</v>
      </c>
      <c r="G44" s="256">
        <f t="shared" si="22"/>
        <v>53.961007896023524</v>
      </c>
      <c r="H44">
        <f>$AP$11</f>
        <v>18.651133321612708</v>
      </c>
      <c r="I44">
        <f t="shared" si="23"/>
        <v>35.309874574410813</v>
      </c>
      <c r="O44" t="s">
        <v>324</v>
      </c>
      <c r="P44">
        <f>1+1.4685*0</f>
        <v>1</v>
      </c>
      <c r="U44">
        <f>SUM(X44:Z44)</f>
        <v>57.971955491816004</v>
      </c>
      <c r="V44" s="166">
        <v>1</v>
      </c>
      <c r="W44" s="4" t="s">
        <v>275</v>
      </c>
      <c r="X44" s="4">
        <f>C7</f>
        <v>26.087379971317201</v>
      </c>
      <c r="Y44" s="4">
        <f>C8+C10</f>
        <v>31.884575520498803</v>
      </c>
      <c r="Z44" s="4">
        <f>(C9+C10)*0</f>
        <v>0</v>
      </c>
      <c r="AA44" s="4">
        <f t="shared" ref="AA44:AR44" si="33">+AA27+AA28</f>
        <v>0</v>
      </c>
      <c r="AB44" s="4">
        <f t="shared" si="33"/>
        <v>0</v>
      </c>
      <c r="AC44" s="4">
        <f t="shared" si="33"/>
        <v>0</v>
      </c>
      <c r="AD44" s="4">
        <f t="shared" si="33"/>
        <v>0</v>
      </c>
      <c r="AE44" s="4">
        <f t="shared" si="33"/>
        <v>0</v>
      </c>
      <c r="AF44" s="4">
        <f t="shared" si="33"/>
        <v>0</v>
      </c>
      <c r="AG44" s="4">
        <f t="shared" si="33"/>
        <v>0</v>
      </c>
      <c r="AH44" s="4">
        <f t="shared" si="33"/>
        <v>0</v>
      </c>
      <c r="AI44" s="4">
        <f t="shared" si="33"/>
        <v>0</v>
      </c>
      <c r="AJ44" s="4">
        <f t="shared" si="33"/>
        <v>0</v>
      </c>
      <c r="AK44" s="4">
        <f t="shared" si="33"/>
        <v>0</v>
      </c>
      <c r="AL44" s="4">
        <f t="shared" si="33"/>
        <v>0</v>
      </c>
      <c r="AM44" s="4">
        <f t="shared" si="33"/>
        <v>0</v>
      </c>
      <c r="AN44" s="4">
        <f t="shared" si="33"/>
        <v>0</v>
      </c>
      <c r="AO44" s="4">
        <f t="shared" si="33"/>
        <v>0</v>
      </c>
      <c r="AP44" s="4">
        <f t="shared" si="33"/>
        <v>0</v>
      </c>
      <c r="AQ44" s="4">
        <f t="shared" si="33"/>
        <v>0</v>
      </c>
      <c r="AR44" s="4">
        <f t="shared" si="33"/>
        <v>0</v>
      </c>
      <c r="AS44">
        <f>-SUM(X44:Y44)*0</f>
        <v>0</v>
      </c>
      <c r="AT44">
        <f>-SUM(Y44:Z44)*0</f>
        <v>0</v>
      </c>
      <c r="AU44" s="21"/>
    </row>
    <row r="45" spans="1:50" ht="20.100000000000001" customHeight="1">
      <c r="D45">
        <f t="shared" si="21"/>
        <v>20</v>
      </c>
      <c r="F45">
        <f t="shared" si="25"/>
        <v>53.961007896023524</v>
      </c>
      <c r="G45" s="256">
        <f t="shared" si="22"/>
        <v>53.961007896023524</v>
      </c>
      <c r="H45">
        <f>$AQ$11</f>
        <v>18.638364821690967</v>
      </c>
      <c r="I45">
        <f t="shared" si="23"/>
        <v>35.322643074332561</v>
      </c>
      <c r="V45" s="166">
        <v>2</v>
      </c>
      <c r="W45" s="4" t="s">
        <v>267</v>
      </c>
      <c r="X45" s="4">
        <f t="shared" ref="X45:AS45" si="34">+X11</f>
        <v>0</v>
      </c>
      <c r="Y45" s="4">
        <f t="shared" si="34"/>
        <v>8.9467834703126936</v>
      </c>
      <c r="Z45" s="4">
        <f t="shared" si="34"/>
        <v>11.848972300007379</v>
      </c>
      <c r="AA45" s="4">
        <f t="shared" si="34"/>
        <v>14.358236303075239</v>
      </c>
      <c r="AB45" s="4">
        <f t="shared" si="34"/>
        <v>14.925365214692311</v>
      </c>
      <c r="AC45" s="4">
        <f t="shared" si="34"/>
        <v>15.439691539406706</v>
      </c>
      <c r="AD45" s="4">
        <f t="shared" si="34"/>
        <v>15.909135665253826</v>
      </c>
      <c r="AE45" s="4">
        <f t="shared" si="34"/>
        <v>16.340429922063759</v>
      </c>
      <c r="AF45" s="4">
        <f t="shared" si="34"/>
        <v>16.739296790192085</v>
      </c>
      <c r="AG45" s="4">
        <f t="shared" si="34"/>
        <v>17.110600377941047</v>
      </c>
      <c r="AH45" s="4">
        <f t="shared" si="34"/>
        <v>17.458475177367546</v>
      </c>
      <c r="AI45" s="4">
        <f t="shared" si="34"/>
        <v>17.786435506719958</v>
      </c>
      <c r="AJ45" s="4">
        <f t="shared" si="34"/>
        <v>18.097468536509385</v>
      </c>
      <c r="AK45" s="4">
        <f t="shared" si="34"/>
        <v>18.394113361670282</v>
      </c>
      <c r="AL45" s="4">
        <f t="shared" si="34"/>
        <v>18.463416547297708</v>
      </c>
      <c r="AM45" s="4">
        <f t="shared" si="34"/>
        <v>18.522324255081024</v>
      </c>
      <c r="AN45" s="4">
        <f t="shared" si="34"/>
        <v>18.572395806696839</v>
      </c>
      <c r="AO45" s="4">
        <f t="shared" si="34"/>
        <v>18.614956625570283</v>
      </c>
      <c r="AP45" s="4">
        <f t="shared" si="34"/>
        <v>18.651133321612708</v>
      </c>
      <c r="AQ45" s="4">
        <f t="shared" si="34"/>
        <v>18.638364821690967</v>
      </c>
      <c r="AR45" s="4">
        <f t="shared" si="34"/>
        <v>18.856134599186458</v>
      </c>
      <c r="AS45" s="4">
        <f t="shared" si="34"/>
        <v>6.2853781997288189</v>
      </c>
      <c r="AT45" s="4">
        <f t="shared" ref="AT45" si="35">+AT11</f>
        <v>0</v>
      </c>
      <c r="AU45" s="21"/>
    </row>
    <row r="46" spans="1:50" ht="20.100000000000001" customHeight="1">
      <c r="D46">
        <f t="shared" si="21"/>
        <v>21</v>
      </c>
      <c r="F46">
        <f t="shared" si="25"/>
        <v>53.961007896023524</v>
      </c>
      <c r="G46" s="256">
        <f t="shared" si="22"/>
        <v>53.961007896023524</v>
      </c>
      <c r="H46">
        <f>$AR$11</f>
        <v>18.856134599186458</v>
      </c>
      <c r="I46">
        <f t="shared" si="23"/>
        <v>35.10487329683707</v>
      </c>
      <c r="O46" t="s">
        <v>328</v>
      </c>
      <c r="P46" s="226">
        <f>1.075</f>
        <v>1.075</v>
      </c>
      <c r="V46" s="164" t="s">
        <v>94</v>
      </c>
      <c r="W46" s="13" t="s">
        <v>276</v>
      </c>
      <c r="X46" s="4"/>
      <c r="Y46" s="4"/>
      <c r="Z46" s="4"/>
      <c r="AA46" s="4"/>
      <c r="AB46" s="4"/>
      <c r="AC46" s="4"/>
      <c r="AD46" s="4"/>
      <c r="AE46" s="4"/>
      <c r="AF46" s="4"/>
      <c r="AG46" s="4"/>
      <c r="AH46" s="4"/>
      <c r="AI46" s="4"/>
      <c r="AJ46" s="4"/>
      <c r="AK46" s="4"/>
      <c r="AL46" s="4"/>
      <c r="AM46" s="4"/>
      <c r="AN46" s="4"/>
      <c r="AO46" s="4"/>
      <c r="AP46" s="4"/>
      <c r="AQ46" s="4"/>
      <c r="AR46" s="4"/>
      <c r="AS46" s="4"/>
      <c r="AT46" s="4"/>
      <c r="AU46" s="21"/>
    </row>
    <row r="47" spans="1:50" ht="20.100000000000001" customHeight="1">
      <c r="D47">
        <f t="shared" si="21"/>
        <v>22</v>
      </c>
      <c r="F47">
        <f>$D$14*4/12</f>
        <v>19.985558480008713</v>
      </c>
      <c r="G47" s="256">
        <f t="shared" si="22"/>
        <v>19.985558480008713</v>
      </c>
      <c r="H47">
        <f>$AS$11</f>
        <v>6.2853781997288189</v>
      </c>
      <c r="I47">
        <f t="shared" si="23"/>
        <v>13.700180280279895</v>
      </c>
      <c r="V47" s="166">
        <v>1</v>
      </c>
      <c r="W47" s="4" t="s">
        <v>277</v>
      </c>
      <c r="X47" s="4">
        <f t="shared" ref="X47:AS47" si="36">+X20</f>
        <v>0</v>
      </c>
      <c r="Y47" s="132">
        <f t="shared" si="36"/>
        <v>27.979781872012197</v>
      </c>
      <c r="Z47" s="132">
        <f t="shared" si="36"/>
        <v>47.965340352020917</v>
      </c>
      <c r="AA47" s="132">
        <f t="shared" si="36"/>
        <v>53.961007896023524</v>
      </c>
      <c r="AB47" s="132">
        <f t="shared" si="36"/>
        <v>53.961007896023524</v>
      </c>
      <c r="AC47" s="132">
        <f t="shared" si="36"/>
        <v>53.961007896023524</v>
      </c>
      <c r="AD47" s="132">
        <f t="shared" si="36"/>
        <v>53.961007896023524</v>
      </c>
      <c r="AE47" s="132">
        <f t="shared" si="36"/>
        <v>53.961007896023524</v>
      </c>
      <c r="AF47" s="132">
        <f t="shared" si="36"/>
        <v>53.961007896023524</v>
      </c>
      <c r="AG47" s="132">
        <f t="shared" si="36"/>
        <v>53.961007896023524</v>
      </c>
      <c r="AH47" s="132">
        <f t="shared" si="36"/>
        <v>53.961007896023524</v>
      </c>
      <c r="AI47" s="132">
        <f t="shared" si="36"/>
        <v>53.961007896023524</v>
      </c>
      <c r="AJ47" s="132">
        <f t="shared" si="36"/>
        <v>53.961007896023524</v>
      </c>
      <c r="AK47" s="132">
        <f t="shared" si="36"/>
        <v>53.961007896023524</v>
      </c>
      <c r="AL47" s="132">
        <f t="shared" si="36"/>
        <v>53.961007896023524</v>
      </c>
      <c r="AM47" s="132">
        <f t="shared" si="36"/>
        <v>53.961007896023524</v>
      </c>
      <c r="AN47" s="132">
        <f t="shared" si="36"/>
        <v>53.961007896023524</v>
      </c>
      <c r="AO47" s="132">
        <f t="shared" si="36"/>
        <v>53.961007896023524</v>
      </c>
      <c r="AP47" s="132">
        <f t="shared" si="36"/>
        <v>53.961007896023524</v>
      </c>
      <c r="AQ47" s="132">
        <f t="shared" si="36"/>
        <v>53.961007896023524</v>
      </c>
      <c r="AR47" s="132">
        <f t="shared" si="36"/>
        <v>53.961007896023524</v>
      </c>
      <c r="AS47" s="132">
        <f t="shared" si="36"/>
        <v>17.98700263200784</v>
      </c>
      <c r="AT47" s="132">
        <f t="shared" ref="AT47" si="37">+AT20</f>
        <v>0</v>
      </c>
      <c r="AU47" s="21"/>
    </row>
    <row r="48" spans="1:50" ht="20.100000000000001" customHeight="1">
      <c r="D48" s="123">
        <f t="shared" si="21"/>
        <v>23</v>
      </c>
      <c r="E48" s="123"/>
      <c r="F48" s="123">
        <f>$D$14*6/12*0</f>
        <v>0</v>
      </c>
      <c r="G48" s="257">
        <f t="shared" si="22"/>
        <v>0</v>
      </c>
      <c r="H48" s="123">
        <f>$AT$11</f>
        <v>0</v>
      </c>
      <c r="I48" s="123">
        <f t="shared" si="23"/>
        <v>0</v>
      </c>
      <c r="J48" s="123"/>
      <c r="V48" s="166">
        <v>2</v>
      </c>
      <c r="W48" s="4" t="s">
        <v>438</v>
      </c>
      <c r="X48" s="4"/>
      <c r="Y48" s="132">
        <f>D16/2</f>
        <v>3.7675766723997923</v>
      </c>
      <c r="Z48" s="132">
        <f>+D16/2</f>
        <v>3.7675766723997923</v>
      </c>
      <c r="AA48" s="4"/>
      <c r="AB48" s="4"/>
      <c r="AC48" s="4"/>
      <c r="AD48" s="4"/>
      <c r="AE48" s="4"/>
      <c r="AF48" s="4"/>
      <c r="AG48" s="4"/>
      <c r="AH48" s="4"/>
      <c r="AI48" s="4"/>
      <c r="AJ48" s="4"/>
      <c r="AK48" s="4"/>
      <c r="AL48" s="4"/>
      <c r="AM48" s="4"/>
      <c r="AN48" s="4"/>
      <c r="AO48" s="4"/>
      <c r="AP48" s="4"/>
      <c r="AQ48" s="4"/>
      <c r="AR48" s="4"/>
      <c r="AS48" s="4"/>
      <c r="AT48" s="4"/>
      <c r="AU48" s="21"/>
    </row>
    <row r="49" spans="3:49" ht="20.100000000000001" customHeight="1">
      <c r="G49">
        <f>NPV(0.1,G26:G47)</f>
        <v>346.68947210223433</v>
      </c>
      <c r="I49">
        <f>NPV(0.1,I26:I48)</f>
        <v>226.63457687722942</v>
      </c>
      <c r="V49" s="166">
        <v>3</v>
      </c>
      <c r="W49" s="4" t="s">
        <v>330</v>
      </c>
      <c r="X49" s="4"/>
      <c r="Y49" s="4"/>
      <c r="Z49" s="4"/>
      <c r="AA49" s="4"/>
      <c r="AB49" s="4"/>
      <c r="AC49" s="4"/>
      <c r="AD49" s="4"/>
      <c r="AE49" s="4"/>
      <c r="AF49" s="4"/>
      <c r="AG49" s="4"/>
      <c r="AH49" s="4"/>
      <c r="AI49" s="4"/>
      <c r="AJ49" s="4"/>
      <c r="AK49" s="4"/>
      <c r="AL49" s="4"/>
      <c r="AM49" s="4"/>
      <c r="AN49" s="4"/>
      <c r="AO49" s="4"/>
      <c r="AP49" s="4"/>
      <c r="AQ49" s="4"/>
      <c r="AR49" s="4"/>
      <c r="AS49" s="4"/>
      <c r="AT49" s="4"/>
      <c r="AU49" s="21"/>
    </row>
    <row r="50" spans="3:49" ht="20.100000000000001" customHeight="1">
      <c r="D50" s="123"/>
      <c r="E50" s="123"/>
      <c r="F50" s="123"/>
      <c r="G50" s="255">
        <f>IRR(G26:G47)</f>
        <v>0.95770632965794977</v>
      </c>
      <c r="H50" s="123"/>
      <c r="I50" s="255">
        <f>IRR(I26:I47)</f>
        <v>0.68781963432962678</v>
      </c>
      <c r="J50" s="123"/>
      <c r="V50" s="164" t="s">
        <v>95</v>
      </c>
      <c r="W50" s="13" t="s">
        <v>278</v>
      </c>
      <c r="X50" s="4"/>
      <c r="Y50" s="4"/>
      <c r="Z50" s="4"/>
      <c r="AA50" s="4"/>
      <c r="AB50" s="4"/>
      <c r="AC50" s="4"/>
      <c r="AD50" s="4"/>
      <c r="AE50" s="4"/>
      <c r="AF50" s="4"/>
      <c r="AG50" s="4"/>
      <c r="AH50" s="4"/>
      <c r="AI50" s="4"/>
      <c r="AJ50" s="4"/>
      <c r="AK50" s="4"/>
      <c r="AL50" s="4"/>
      <c r="AM50" s="4"/>
      <c r="AN50" s="4"/>
      <c r="AO50" s="4"/>
      <c r="AP50" s="4"/>
      <c r="AQ50" s="4"/>
      <c r="AR50" s="4"/>
      <c r="AS50" s="4"/>
      <c r="AT50" s="4"/>
      <c r="AU50" s="21"/>
      <c r="AV50" s="167"/>
      <c r="AW50" s="167"/>
    </row>
    <row r="51" spans="3:49" ht="20.100000000000001" customHeight="1">
      <c r="V51" s="166">
        <v>1</v>
      </c>
      <c r="W51" s="4" t="s">
        <v>279</v>
      </c>
      <c r="X51" s="4">
        <f>+X47+X48+X49-X44</f>
        <v>-26.087379971317201</v>
      </c>
      <c r="Y51" s="4">
        <f>+Y47+Y48+Y49-Y44</f>
        <v>-0.13721697608681538</v>
      </c>
      <c r="Z51" s="4">
        <f>+Z47+Z48+Z49-Z44</f>
        <v>51.732917024420708</v>
      </c>
      <c r="AA51" s="4">
        <f>+AA47+AA48+AA49-AA44</f>
        <v>53.961007896023524</v>
      </c>
      <c r="AB51" s="4">
        <f t="shared" ref="AB51:AS51" si="38">+AB47+AB48+AB49-AB44</f>
        <v>53.961007896023524</v>
      </c>
      <c r="AC51" s="4">
        <f t="shared" si="38"/>
        <v>53.961007896023524</v>
      </c>
      <c r="AD51" s="4">
        <f t="shared" si="38"/>
        <v>53.961007896023524</v>
      </c>
      <c r="AE51" s="4">
        <f t="shared" si="38"/>
        <v>53.961007896023524</v>
      </c>
      <c r="AF51" s="4">
        <f t="shared" si="38"/>
        <v>53.961007896023524</v>
      </c>
      <c r="AG51" s="4">
        <f t="shared" si="38"/>
        <v>53.961007896023524</v>
      </c>
      <c r="AH51" s="4">
        <f t="shared" si="38"/>
        <v>53.961007896023524</v>
      </c>
      <c r="AI51" s="4">
        <f t="shared" si="38"/>
        <v>53.961007896023524</v>
      </c>
      <c r="AJ51" s="4">
        <f t="shared" si="38"/>
        <v>53.961007896023524</v>
      </c>
      <c r="AK51" s="4">
        <f t="shared" si="38"/>
        <v>53.961007896023524</v>
      </c>
      <c r="AL51" s="4">
        <f t="shared" si="38"/>
        <v>53.961007896023524</v>
      </c>
      <c r="AM51" s="4">
        <f t="shared" si="38"/>
        <v>53.961007896023524</v>
      </c>
      <c r="AN51" s="4">
        <f t="shared" si="38"/>
        <v>53.961007896023524</v>
      </c>
      <c r="AO51" s="4">
        <f t="shared" si="38"/>
        <v>53.961007896023524</v>
      </c>
      <c r="AP51" s="4">
        <f t="shared" si="38"/>
        <v>53.961007896023524</v>
      </c>
      <c r="AQ51" s="4">
        <f t="shared" si="38"/>
        <v>53.961007896023524</v>
      </c>
      <c r="AR51" s="4">
        <f t="shared" si="38"/>
        <v>53.961007896023524</v>
      </c>
      <c r="AS51" s="4">
        <f t="shared" si="38"/>
        <v>17.98700263200784</v>
      </c>
      <c r="AT51" s="4">
        <f t="shared" ref="AT51" si="39">+AT47+AT48+AT49-AT44</f>
        <v>0</v>
      </c>
      <c r="AU51" s="21"/>
      <c r="AW51" s="167"/>
    </row>
    <row r="52" spans="3:49" ht="20.100000000000001" customHeight="1">
      <c r="V52" s="166">
        <v>2</v>
      </c>
      <c r="W52" s="4" t="s">
        <v>280</v>
      </c>
      <c r="X52" s="132">
        <f>+X51-X45</f>
        <v>-26.087379971317201</v>
      </c>
      <c r="Y52" s="132">
        <f t="shared" ref="Y52:AS52" si="40">+Y51-Y45</f>
        <v>-9.084000446399509</v>
      </c>
      <c r="Z52" s="132">
        <f t="shared" si="40"/>
        <v>39.883944724413325</v>
      </c>
      <c r="AA52" s="132">
        <f t="shared" si="40"/>
        <v>39.602771592948287</v>
      </c>
      <c r="AB52" s="132">
        <f t="shared" si="40"/>
        <v>39.035642681331211</v>
      </c>
      <c r="AC52" s="132">
        <f t="shared" si="40"/>
        <v>38.521316356616822</v>
      </c>
      <c r="AD52" s="132">
        <f t="shared" si="40"/>
        <v>38.051872230769696</v>
      </c>
      <c r="AE52" s="132">
        <f t="shared" si="40"/>
        <v>37.620577973959769</v>
      </c>
      <c r="AF52" s="132">
        <f t="shared" si="40"/>
        <v>37.221711105831439</v>
      </c>
      <c r="AG52" s="132">
        <f t="shared" si="40"/>
        <v>36.850407518082477</v>
      </c>
      <c r="AH52" s="132">
        <f t="shared" si="40"/>
        <v>36.502532718655978</v>
      </c>
      <c r="AI52" s="132">
        <f t="shared" si="40"/>
        <v>36.174572389303563</v>
      </c>
      <c r="AJ52" s="132">
        <f t="shared" si="40"/>
        <v>35.863539359514135</v>
      </c>
      <c r="AK52" s="132">
        <f t="shared" si="40"/>
        <v>35.566894534353239</v>
      </c>
      <c r="AL52" s="132">
        <f t="shared" si="40"/>
        <v>35.49759134872582</v>
      </c>
      <c r="AM52" s="132">
        <f t="shared" si="40"/>
        <v>35.4386836409425</v>
      </c>
      <c r="AN52" s="132">
        <f t="shared" si="40"/>
        <v>35.388612089326685</v>
      </c>
      <c r="AO52" s="132">
        <f t="shared" si="40"/>
        <v>35.346051270453245</v>
      </c>
      <c r="AP52" s="132">
        <f t="shared" si="40"/>
        <v>35.309874574410813</v>
      </c>
      <c r="AQ52" s="132">
        <f t="shared" si="40"/>
        <v>35.322643074332561</v>
      </c>
      <c r="AR52" s="132">
        <f t="shared" si="40"/>
        <v>35.10487329683707</v>
      </c>
      <c r="AS52" s="132">
        <f t="shared" si="40"/>
        <v>11.701624432279022</v>
      </c>
      <c r="AT52" s="132">
        <f t="shared" ref="AT52" si="41">+AT51-AT45</f>
        <v>0</v>
      </c>
      <c r="AU52" s="21"/>
      <c r="AW52" s="167"/>
    </row>
    <row r="53" spans="3:49" ht="20.100000000000001" customHeight="1">
      <c r="V53" s="164" t="s">
        <v>281</v>
      </c>
      <c r="W53" s="2" t="s">
        <v>380</v>
      </c>
      <c r="X53" s="4"/>
      <c r="Y53" s="4"/>
      <c r="Z53" s="4"/>
      <c r="AA53" s="4"/>
      <c r="AB53" s="4"/>
      <c r="AC53" s="4"/>
      <c r="AD53" s="4"/>
      <c r="AE53" s="4"/>
      <c r="AF53" s="4"/>
      <c r="AG53" s="4"/>
      <c r="AH53" s="4"/>
      <c r="AI53" s="4"/>
      <c r="AJ53" s="4"/>
      <c r="AK53" s="4"/>
      <c r="AL53" s="4"/>
      <c r="AM53" s="4"/>
      <c r="AN53" s="4"/>
      <c r="AO53" s="4"/>
      <c r="AP53" s="4"/>
      <c r="AQ53" s="4"/>
      <c r="AR53" s="4"/>
      <c r="AS53" s="4"/>
      <c r="AT53" s="4"/>
      <c r="AU53" s="21"/>
      <c r="AW53" s="167"/>
    </row>
    <row r="54" spans="3:49" ht="20.100000000000001" customHeight="1">
      <c r="V54" s="135">
        <v>1</v>
      </c>
      <c r="W54" s="4" t="s">
        <v>279</v>
      </c>
      <c r="X54" s="4">
        <f>NPV(0.1,X51:AS51)</f>
        <v>349.74735565921446</v>
      </c>
      <c r="Y54" s="4"/>
      <c r="Z54" s="4"/>
      <c r="AA54" s="4"/>
      <c r="AB54" s="4"/>
      <c r="AC54" s="4"/>
      <c r="AD54" s="4"/>
      <c r="AE54" s="4"/>
      <c r="AF54" s="4"/>
      <c r="AG54" s="4"/>
      <c r="AH54" s="4"/>
      <c r="AI54" s="4"/>
      <c r="AJ54" s="4"/>
      <c r="AK54" s="4"/>
      <c r="AL54" s="4"/>
      <c r="AM54" s="4"/>
      <c r="AN54" s="4"/>
      <c r="AO54" s="4"/>
      <c r="AP54" s="4"/>
      <c r="AQ54" s="4"/>
      <c r="AS54" s="132">
        <f>+AT50</f>
        <v>0</v>
      </c>
      <c r="AT54" s="132">
        <f>+AU50</f>
        <v>0</v>
      </c>
      <c r="AU54" s="228"/>
      <c r="AW54" s="167"/>
    </row>
    <row r="55" spans="3:49" ht="20.100000000000001" customHeight="1">
      <c r="V55" s="166">
        <v>2</v>
      </c>
      <c r="W55" s="4" t="s">
        <v>282</v>
      </c>
      <c r="X55" s="4">
        <f>NPV(0.1,X52:AS52)</f>
        <v>229.69246043420961</v>
      </c>
      <c r="Y55" s="4"/>
      <c r="Z55" s="4"/>
      <c r="AA55" s="4"/>
      <c r="AB55" s="4"/>
      <c r="AC55" s="4"/>
      <c r="AD55" s="4"/>
      <c r="AE55" s="4"/>
      <c r="AF55" s="4"/>
      <c r="AG55" s="4"/>
      <c r="AH55" s="4"/>
      <c r="AI55" s="4"/>
      <c r="AJ55" s="4"/>
      <c r="AK55" s="4"/>
      <c r="AL55" s="4"/>
      <c r="AM55" s="4"/>
      <c r="AN55" s="4"/>
      <c r="AO55" s="4"/>
      <c r="AP55" s="4"/>
      <c r="AQ55" s="4"/>
      <c r="AS55" s="132">
        <f>+AU51</f>
        <v>0</v>
      </c>
      <c r="AT55" s="132">
        <f>+AV51</f>
        <v>0</v>
      </c>
      <c r="AU55" s="228"/>
      <c r="AW55" s="167"/>
    </row>
    <row r="56" spans="3:49" ht="20.100000000000001" customHeight="1">
      <c r="V56" s="164" t="s">
        <v>283</v>
      </c>
      <c r="W56" s="13" t="s">
        <v>160</v>
      </c>
      <c r="X56" s="4"/>
      <c r="Y56" s="4"/>
      <c r="Z56" s="4"/>
      <c r="AA56" s="4"/>
      <c r="AB56" s="4"/>
      <c r="AC56" s="4"/>
      <c r="AD56" s="4"/>
      <c r="AE56" s="4"/>
      <c r="AF56" s="4"/>
      <c r="AG56" s="4"/>
      <c r="AH56" s="4"/>
      <c r="AI56" s="4"/>
      <c r="AJ56" s="4"/>
      <c r="AK56" s="4"/>
      <c r="AL56" s="4"/>
      <c r="AM56" s="4"/>
      <c r="AN56" s="4"/>
      <c r="AO56" s="4"/>
      <c r="AP56" s="4"/>
      <c r="AQ56" s="4"/>
      <c r="AS56" s="132"/>
      <c r="AT56" s="132"/>
      <c r="AU56" s="228"/>
      <c r="AW56" s="167"/>
    </row>
    <row r="57" spans="3:49" ht="20.100000000000001" customHeight="1">
      <c r="V57" s="166">
        <v>1</v>
      </c>
      <c r="W57" s="4" t="s">
        <v>279</v>
      </c>
      <c r="X57" s="213">
        <f>IRR(X51:AS51)</f>
        <v>1.0067597551306706</v>
      </c>
      <c r="Y57" s="4"/>
      <c r="Z57" s="4"/>
      <c r="AA57" s="4"/>
      <c r="AB57" s="4"/>
      <c r="AC57" s="4"/>
      <c r="AD57" s="4"/>
      <c r="AE57" s="4"/>
      <c r="AF57" s="4"/>
      <c r="AG57" s="4"/>
      <c r="AH57" s="4"/>
      <c r="AI57" s="4"/>
      <c r="AJ57" s="4"/>
      <c r="AK57" s="4"/>
      <c r="AL57" s="4"/>
      <c r="AM57" s="4"/>
      <c r="AN57" s="4"/>
      <c r="AO57" s="4"/>
      <c r="AP57" s="4"/>
      <c r="AQ57" s="4"/>
      <c r="AS57" s="168">
        <f>+AV50</f>
        <v>0</v>
      </c>
      <c r="AT57" s="168">
        <f>+AW50</f>
        <v>0</v>
      </c>
      <c r="AU57" s="229"/>
    </row>
    <row r="58" spans="3:49" ht="20.100000000000001" customHeight="1">
      <c r="C58" s="15"/>
      <c r="F58" s="169"/>
      <c r="V58" s="170">
        <v>2</v>
      </c>
      <c r="W58" s="34" t="s">
        <v>282</v>
      </c>
      <c r="X58" s="214">
        <f>IRR(X52:AS52)</f>
        <v>0.72644139566807153</v>
      </c>
      <c r="Y58" s="107"/>
      <c r="Z58" s="34"/>
      <c r="AA58" s="34"/>
      <c r="AB58" s="34"/>
      <c r="AC58" s="34"/>
      <c r="AD58" s="34"/>
      <c r="AE58" s="34"/>
      <c r="AF58" s="34"/>
      <c r="AG58" s="34"/>
      <c r="AH58" s="34"/>
      <c r="AI58" s="34"/>
      <c r="AJ58" s="34"/>
      <c r="AK58" s="34"/>
      <c r="AL58" s="34"/>
      <c r="AM58" s="34"/>
      <c r="AN58" s="34"/>
      <c r="AO58" s="34"/>
      <c r="AP58" s="34"/>
      <c r="AQ58" s="34"/>
      <c r="AR58" s="123"/>
      <c r="AS58" s="230">
        <f>+AW51</f>
        <v>0</v>
      </c>
      <c r="AT58" s="230">
        <f>+AX51</f>
        <v>0</v>
      </c>
      <c r="AU58" s="229"/>
    </row>
    <row r="59" spans="3:49" ht="20.100000000000001" customHeight="1">
      <c r="C59" s="15"/>
      <c r="F59" s="169"/>
      <c r="V59" s="166"/>
      <c r="W59" s="4"/>
      <c r="X59" s="4"/>
      <c r="Y59" s="6"/>
      <c r="Z59" s="4"/>
      <c r="AA59" s="4"/>
      <c r="AB59" s="4"/>
      <c r="AC59" s="4"/>
      <c r="AD59" s="4"/>
      <c r="AE59" s="4"/>
      <c r="AF59" s="4"/>
      <c r="AG59" s="4"/>
      <c r="AH59" s="4"/>
      <c r="AI59" s="4"/>
      <c r="AJ59" s="4"/>
      <c r="AK59" s="4"/>
      <c r="AL59" s="4"/>
      <c r="AM59" s="4"/>
      <c r="AN59" s="4"/>
      <c r="AO59" s="4"/>
      <c r="AP59" s="4"/>
      <c r="AQ59" s="4"/>
      <c r="AR59" s="4"/>
      <c r="AS59" s="171"/>
      <c r="AT59" s="21"/>
      <c r="AU59" s="21"/>
    </row>
    <row r="60" spans="3:49" ht="17.399999999999999">
      <c r="V60" s="172"/>
      <c r="W60" s="173"/>
      <c r="X60" s="174"/>
      <c r="Y60" s="5"/>
      <c r="Z60" s="4"/>
      <c r="AA60" s="4"/>
      <c r="AB60" s="4"/>
      <c r="AC60" s="4"/>
      <c r="AD60" s="4"/>
      <c r="AE60" s="4"/>
      <c r="AF60" s="4"/>
      <c r="AG60" s="4"/>
      <c r="AH60" s="4"/>
      <c r="AI60" s="4"/>
      <c r="AJ60" s="4"/>
      <c r="AK60" s="4"/>
      <c r="AL60" s="4"/>
      <c r="AM60" s="4"/>
      <c r="AN60" s="4"/>
      <c r="AO60" s="4"/>
      <c r="AP60" s="4"/>
      <c r="AQ60" s="4"/>
      <c r="AR60" s="4"/>
      <c r="AS60" s="4"/>
    </row>
    <row r="61" spans="3:49" ht="20.399999999999999">
      <c r="V61" s="172"/>
      <c r="W61" s="262" t="s">
        <v>159</v>
      </c>
      <c r="X61" s="6">
        <f>NPV(0.1,X47:AT48)/NPV(0.1,X44:AT45)</f>
        <v>6.2166983833440108</v>
      </c>
      <c r="Y61" s="5"/>
      <c r="Z61" s="4"/>
      <c r="AA61" s="4"/>
      <c r="AB61" s="4"/>
      <c r="AC61" s="4"/>
      <c r="AD61" s="4"/>
      <c r="AE61" s="4"/>
      <c r="AF61" s="4"/>
      <c r="AG61" s="4"/>
      <c r="AH61" s="4"/>
      <c r="AI61" s="4"/>
      <c r="AJ61" s="4"/>
      <c r="AK61" s="4"/>
      <c r="AL61" s="4"/>
      <c r="AM61" s="4"/>
      <c r="AN61" s="4"/>
      <c r="AO61" s="4"/>
      <c r="AP61" s="4"/>
      <c r="AQ61" s="4"/>
      <c r="AR61" s="4"/>
      <c r="AS61" s="4"/>
    </row>
    <row r="62" spans="3:49" ht="17.399999999999999">
      <c r="V62" s="172"/>
      <c r="W62" s="173"/>
      <c r="X62" s="174"/>
      <c r="Y62" s="5"/>
      <c r="Z62" s="4"/>
      <c r="AA62" s="4"/>
      <c r="AB62" s="4"/>
      <c r="AC62" s="4"/>
      <c r="AD62" s="4"/>
      <c r="AE62" s="4"/>
      <c r="AF62" s="4"/>
      <c r="AG62" s="4"/>
      <c r="AH62" s="4"/>
      <c r="AI62" s="4"/>
      <c r="AJ62" s="4"/>
      <c r="AK62" s="4"/>
      <c r="AL62" s="4"/>
      <c r="AM62" s="4"/>
      <c r="AN62" s="4"/>
      <c r="AO62" s="4"/>
      <c r="AP62" s="4"/>
      <c r="AQ62" s="4"/>
      <c r="AR62" s="4"/>
      <c r="AS62" s="4"/>
    </row>
    <row r="63" spans="3:49" ht="17.399999999999999">
      <c r="V63" s="172"/>
      <c r="W63" s="263" t="s">
        <v>400</v>
      </c>
      <c r="X63" s="263"/>
      <c r="Y63" s="4"/>
      <c r="Z63" s="4"/>
      <c r="AA63" s="4"/>
      <c r="AB63" s="4"/>
      <c r="AG63" s="4"/>
      <c r="AH63" s="4"/>
      <c r="AI63" s="4"/>
      <c r="AJ63" s="4"/>
      <c r="AK63" s="4"/>
      <c r="AL63" s="4"/>
      <c r="AM63" s="4"/>
      <c r="AN63" s="4"/>
      <c r="AO63" s="4"/>
      <c r="AP63" s="4"/>
      <c r="AQ63" s="4"/>
      <c r="AR63" s="4"/>
      <c r="AS63" s="4"/>
    </row>
    <row r="64" spans="3:49" ht="17.399999999999999">
      <c r="V64" s="172"/>
      <c r="W64" s="264" t="s">
        <v>401</v>
      </c>
      <c r="X64" s="265" t="s">
        <v>402</v>
      </c>
      <c r="Y64" s="134" t="s">
        <v>403</v>
      </c>
      <c r="Z64" s="134" t="s">
        <v>404</v>
      </c>
      <c r="AA64" s="134" t="s">
        <v>405</v>
      </c>
      <c r="AB64" s="134" t="s">
        <v>406</v>
      </c>
      <c r="AC64" s="134" t="s">
        <v>407</v>
      </c>
      <c r="AD64" s="134" t="s">
        <v>408</v>
      </c>
      <c r="AE64" s="134" t="s">
        <v>409</v>
      </c>
      <c r="AF64" s="134" t="s">
        <v>408</v>
      </c>
      <c r="AG64" s="134" t="s">
        <v>409</v>
      </c>
      <c r="AH64" s="4"/>
      <c r="AI64" s="4"/>
      <c r="AJ64" s="4"/>
      <c r="AK64" s="4"/>
      <c r="AL64" s="4"/>
      <c r="AM64" s="4"/>
      <c r="AN64" s="4"/>
      <c r="AO64" s="4"/>
      <c r="AP64" s="4"/>
      <c r="AQ64" s="4"/>
      <c r="AR64" s="4"/>
      <c r="AS64" s="4"/>
    </row>
    <row r="65" spans="22:45" ht="17.399999999999999">
      <c r="V65" s="172"/>
      <c r="W65" s="187" t="s">
        <v>410</v>
      </c>
      <c r="X65" s="4">
        <f>D17</f>
        <v>54.023816893072535</v>
      </c>
      <c r="Y65">
        <f>X70</f>
        <v>54.023816893072535</v>
      </c>
      <c r="Z65">
        <f>Y70</f>
        <v>36.016801328670901</v>
      </c>
      <c r="AA65">
        <f t="shared" ref="AA65:AH65" si="42">Z70</f>
        <v>6.056330300444575</v>
      </c>
      <c r="AB65">
        <f t="shared" si="42"/>
        <v>-27.3905442687165</v>
      </c>
      <c r="AC65">
        <f t="shared" si="42"/>
        <v>-60.885879628639216</v>
      </c>
      <c r="AD65">
        <f t="shared" si="42"/>
        <v>-94.48247836622626</v>
      </c>
      <c r="AE65">
        <f t="shared" si="42"/>
        <v>-128.2252226803449</v>
      </c>
      <c r="AF65">
        <f t="shared" si="42"/>
        <v>-162.15226244003233</v>
      </c>
      <c r="AG65">
        <f t="shared" si="42"/>
        <v>-196.29602503397018</v>
      </c>
      <c r="AH65">
        <f t="shared" si="42"/>
        <v>-230.68407374253778</v>
      </c>
      <c r="AI65" s="4"/>
      <c r="AJ65" s="4"/>
      <c r="AK65" s="4"/>
      <c r="AL65" s="4"/>
      <c r="AM65" s="4"/>
      <c r="AN65" s="4"/>
      <c r="AO65" s="4"/>
      <c r="AP65" s="4"/>
      <c r="AQ65" s="4"/>
      <c r="AR65" s="4"/>
      <c r="AS65" s="4"/>
    </row>
    <row r="66" spans="22:45" ht="17.399999999999999">
      <c r="V66" s="172"/>
      <c r="W66" s="187" t="s">
        <v>411</v>
      </c>
      <c r="X66" s="4">
        <f t="shared" ref="X66:Z67" si="43">X7</f>
        <v>0</v>
      </c>
      <c r="Y66" s="4">
        <f t="shared" si="43"/>
        <v>27.979781872012197</v>
      </c>
      <c r="Z66" s="4">
        <f t="shared" si="43"/>
        <v>47.965340352020917</v>
      </c>
      <c r="AA66" s="4">
        <f t="shared" ref="AA66:AF66" si="44">AA7</f>
        <v>53.961007896023524</v>
      </c>
      <c r="AB66" s="4">
        <f t="shared" si="44"/>
        <v>53.961007896023524</v>
      </c>
      <c r="AC66" s="4">
        <f t="shared" si="44"/>
        <v>53.961007896023524</v>
      </c>
      <c r="AD66" s="4">
        <f t="shared" si="44"/>
        <v>53.961007896023524</v>
      </c>
      <c r="AE66" s="4">
        <f t="shared" si="44"/>
        <v>53.961007896023524</v>
      </c>
      <c r="AF66" s="4">
        <f t="shared" si="44"/>
        <v>53.961007896023524</v>
      </c>
      <c r="AG66" s="4">
        <f t="shared" ref="AG66:AH66" si="45">AG7</f>
        <v>53.961007896023524</v>
      </c>
      <c r="AH66" s="4">
        <f t="shared" si="45"/>
        <v>53.961007896023524</v>
      </c>
      <c r="AI66" s="4"/>
      <c r="AJ66" s="4"/>
      <c r="AK66" s="4"/>
      <c r="AL66" s="4"/>
      <c r="AM66" s="4"/>
      <c r="AN66" s="4"/>
      <c r="AO66" s="4"/>
      <c r="AP66" s="4"/>
      <c r="AQ66" s="4"/>
      <c r="AR66" s="4"/>
      <c r="AS66" s="4"/>
    </row>
    <row r="67" spans="22:45" ht="17.399999999999999">
      <c r="V67" s="172"/>
      <c r="W67" s="266" t="s">
        <v>412</v>
      </c>
      <c r="X67" s="4">
        <f t="shared" si="43"/>
        <v>0</v>
      </c>
      <c r="Y67" s="4">
        <f t="shared" si="43"/>
        <v>1.0259828372978685</v>
      </c>
      <c r="Z67" s="4">
        <f t="shared" si="43"/>
        <v>6.1558970237872117</v>
      </c>
      <c r="AA67" s="4">
        <f t="shared" ref="AA67:AF67" si="46">AA8</f>
        <v>6.1558970237872117</v>
      </c>
      <c r="AB67" s="4">
        <f t="shared" si="46"/>
        <v>5.5403073214084912</v>
      </c>
      <c r="AC67" s="4">
        <f t="shared" si="46"/>
        <v>4.9247176190297699</v>
      </c>
      <c r="AD67" s="4">
        <f t="shared" si="46"/>
        <v>4.3091279166510486</v>
      </c>
      <c r="AE67" s="4">
        <f t="shared" si="46"/>
        <v>3.6935382142723272</v>
      </c>
      <c r="AF67" s="4">
        <f t="shared" si="46"/>
        <v>3.0779485118936059</v>
      </c>
      <c r="AG67" s="4">
        <f t="shared" ref="AG67:AH67" si="47">AG8</f>
        <v>2.4623588095148849</v>
      </c>
      <c r="AH67" s="4">
        <f t="shared" si="47"/>
        <v>1.8467691071361636</v>
      </c>
      <c r="AI67" s="4"/>
      <c r="AJ67" s="4"/>
      <c r="AK67" s="4"/>
      <c r="AL67" s="4"/>
      <c r="AM67" s="4"/>
      <c r="AN67" s="4"/>
      <c r="AO67" s="4"/>
      <c r="AP67" s="4"/>
      <c r="AQ67" s="4"/>
      <c r="AR67" s="4"/>
      <c r="AS67" s="4"/>
    </row>
    <row r="68" spans="22:45">
      <c r="W68" s="266" t="s">
        <v>413</v>
      </c>
      <c r="X68" s="141">
        <f>X11</f>
        <v>0</v>
      </c>
      <c r="Y68" s="141">
        <f>Y11</f>
        <v>8.9467834703126936</v>
      </c>
      <c r="Z68" s="141">
        <f>Z11</f>
        <v>11.848972300007379</v>
      </c>
      <c r="AA68" s="141">
        <f t="shared" ref="AA68:AF68" si="48">AA11</f>
        <v>14.358236303075239</v>
      </c>
      <c r="AB68" s="141">
        <f t="shared" si="48"/>
        <v>14.925365214692311</v>
      </c>
      <c r="AC68" s="141">
        <f t="shared" si="48"/>
        <v>15.439691539406706</v>
      </c>
      <c r="AD68" s="141">
        <f t="shared" si="48"/>
        <v>15.909135665253826</v>
      </c>
      <c r="AE68" s="141">
        <f t="shared" si="48"/>
        <v>16.340429922063759</v>
      </c>
      <c r="AF68" s="141">
        <f t="shared" si="48"/>
        <v>16.739296790192085</v>
      </c>
      <c r="AG68" s="141">
        <f t="shared" ref="AG68:AH68" si="49">AG11</f>
        <v>17.110600377941047</v>
      </c>
      <c r="AH68" s="141">
        <f t="shared" si="49"/>
        <v>17.458475177367546</v>
      </c>
      <c r="AI68" s="4"/>
      <c r="AJ68" s="4"/>
      <c r="AK68" s="4"/>
      <c r="AL68" s="4"/>
      <c r="AM68" s="4"/>
      <c r="AN68" s="4"/>
      <c r="AO68" s="4"/>
      <c r="AP68" s="4"/>
      <c r="AQ68" s="4"/>
      <c r="AR68" s="4"/>
      <c r="AS68" s="4"/>
    </row>
    <row r="69" spans="22:45">
      <c r="W69" s="266" t="s">
        <v>414</v>
      </c>
      <c r="X69" s="141">
        <f>+X66-X67-X68</f>
        <v>0</v>
      </c>
      <c r="Y69" s="141">
        <f>+Y66-Y67-Y68</f>
        <v>18.007015564401634</v>
      </c>
      <c r="Z69" s="141">
        <f>+Z66-Z67-Z68</f>
        <v>29.960471028226326</v>
      </c>
      <c r="AA69" s="141">
        <f t="shared" ref="AA69:AF69" si="50">+AA66-AA67-AA68</f>
        <v>33.446874569161075</v>
      </c>
      <c r="AB69" s="141">
        <f t="shared" si="50"/>
        <v>33.49533535992272</v>
      </c>
      <c r="AC69" s="141">
        <f t="shared" si="50"/>
        <v>33.596598737587044</v>
      </c>
      <c r="AD69" s="141">
        <f t="shared" si="50"/>
        <v>33.742744314118646</v>
      </c>
      <c r="AE69" s="141">
        <f t="shared" si="50"/>
        <v>33.927039759687432</v>
      </c>
      <c r="AF69" s="141">
        <f t="shared" si="50"/>
        <v>34.143762593937836</v>
      </c>
      <c r="AG69" s="141">
        <f t="shared" ref="AG69:AH69" si="51">+AG66-AG67-AG68</f>
        <v>34.388048708567595</v>
      </c>
      <c r="AH69" s="141">
        <f t="shared" si="51"/>
        <v>34.655763611519816</v>
      </c>
      <c r="AI69" s="4"/>
      <c r="AJ69" s="4"/>
      <c r="AK69" s="4"/>
      <c r="AL69" s="4"/>
      <c r="AM69" s="4"/>
      <c r="AN69" s="4"/>
      <c r="AO69" s="4"/>
      <c r="AP69" s="4"/>
      <c r="AQ69" s="4"/>
      <c r="AR69" s="4"/>
      <c r="AS69" s="4"/>
    </row>
    <row r="70" spans="22:45">
      <c r="W70" s="266" t="s">
        <v>415</v>
      </c>
      <c r="X70" s="141">
        <f>+X65-X69</f>
        <v>54.023816893072535</v>
      </c>
      <c r="Y70" s="141">
        <f>+Y65-Y69</f>
        <v>36.016801328670901</v>
      </c>
      <c r="Z70" s="141">
        <f>+Z65-Z69</f>
        <v>6.056330300444575</v>
      </c>
      <c r="AA70" s="141">
        <f t="shared" ref="AA70:AF70" si="52">+AA65-AA69</f>
        <v>-27.3905442687165</v>
      </c>
      <c r="AB70" s="141">
        <f t="shared" si="52"/>
        <v>-60.885879628639216</v>
      </c>
      <c r="AC70" s="141">
        <f t="shared" si="52"/>
        <v>-94.48247836622626</v>
      </c>
      <c r="AD70" s="141">
        <f t="shared" si="52"/>
        <v>-128.2252226803449</v>
      </c>
      <c r="AE70" s="141">
        <f t="shared" si="52"/>
        <v>-162.15226244003233</v>
      </c>
      <c r="AF70" s="141">
        <f t="shared" si="52"/>
        <v>-196.29602503397018</v>
      </c>
      <c r="AG70" s="141">
        <f t="shared" ref="AG70:AH70" si="53">+AG65-AG69</f>
        <v>-230.68407374253778</v>
      </c>
      <c r="AH70" s="141">
        <f t="shared" si="53"/>
        <v>-265.33983735405758</v>
      </c>
      <c r="AI70" s="4"/>
      <c r="AJ70" s="4"/>
      <c r="AK70" s="4"/>
      <c r="AL70" s="4"/>
      <c r="AM70" s="4"/>
      <c r="AN70" s="4"/>
      <c r="AO70" s="4"/>
      <c r="AP70" s="4"/>
      <c r="AQ70" s="4"/>
      <c r="AR70" s="4"/>
      <c r="AS70" s="4"/>
    </row>
    <row r="71" spans="22:45">
      <c r="W71" s="266"/>
      <c r="X71" s="141" t="e">
        <f>IF(X65/X69&gt;1,1,X65/X69)</f>
        <v>#DIV/0!</v>
      </c>
      <c r="Y71" s="141">
        <f>IF(Y65/Y69&gt;1,1,Y65/Y69)*0+8/12</f>
        <v>0.66666666666666663</v>
      </c>
      <c r="Z71" s="141">
        <f>IF(Z65/Z69&gt;1,1,Z65/Z69)</f>
        <v>1</v>
      </c>
      <c r="AA71" s="141">
        <f t="shared" ref="AA71:AF71" si="54">IF(AA65/AA69&gt;1,1,AA65/AA69)</f>
        <v>0.18107313100126479</v>
      </c>
      <c r="AB71" s="141">
        <f t="shared" si="54"/>
        <v>-0.81774205197208971</v>
      </c>
      <c r="AC71" s="141">
        <f t="shared" si="54"/>
        <v>-1.8122632027188394</v>
      </c>
      <c r="AD71" s="141">
        <f t="shared" si="54"/>
        <v>-2.8000828114829086</v>
      </c>
      <c r="AE71" s="141">
        <f t="shared" si="54"/>
        <v>-3.7794403398761554</v>
      </c>
      <c r="AF71" s="141">
        <f t="shared" si="54"/>
        <v>-4.7491035000583732</v>
      </c>
      <c r="AG71" s="141">
        <f t="shared" ref="AG71:AH71" si="55">IF(AG65/AG69&gt;1,1,AG65/AG69)</f>
        <v>-5.7082629694270528</v>
      </c>
      <c r="AH71" s="141">
        <f t="shared" si="55"/>
        <v>-6.6564418065760576</v>
      </c>
      <c r="AI71" s="4"/>
      <c r="AJ71" s="4"/>
      <c r="AK71" s="4"/>
      <c r="AL71" s="4"/>
      <c r="AM71" s="4"/>
      <c r="AN71" s="4"/>
      <c r="AO71" s="4"/>
      <c r="AP71" s="4"/>
      <c r="AQ71" s="4"/>
      <c r="AR71" s="4"/>
      <c r="AS71" s="4"/>
    </row>
    <row r="72" spans="22:45">
      <c r="W72" s="267" t="s">
        <v>416</v>
      </c>
      <c r="X72" s="334">
        <f>SUM(Y71:AG71)</f>
        <v>-17.819155077867489</v>
      </c>
      <c r="Y72" s="147"/>
      <c r="Z72" s="268"/>
      <c r="AA72" s="34"/>
      <c r="AB72" s="123"/>
      <c r="AC72" s="123"/>
      <c r="AD72" s="34"/>
      <c r="AE72" s="34"/>
      <c r="AG72" s="4"/>
      <c r="AH72" s="4"/>
      <c r="AI72" s="4"/>
      <c r="AJ72" s="4"/>
      <c r="AK72" s="4"/>
      <c r="AL72" s="4"/>
      <c r="AM72" s="4"/>
      <c r="AN72" s="4"/>
      <c r="AO72" s="4"/>
      <c r="AP72" s="4"/>
      <c r="AQ72" s="4"/>
      <c r="AR72" s="4"/>
      <c r="AS72" s="4"/>
    </row>
    <row r="73" spans="22:45">
      <c r="AE73" s="4"/>
      <c r="AF73" s="4"/>
      <c r="AG73" s="4"/>
      <c r="AH73" s="4"/>
      <c r="AI73" s="4"/>
      <c r="AJ73" s="4"/>
      <c r="AK73" s="4"/>
      <c r="AL73" s="4"/>
      <c r="AM73" s="4"/>
      <c r="AN73" s="4"/>
      <c r="AO73" s="4"/>
      <c r="AP73" s="4"/>
      <c r="AQ73" s="4"/>
      <c r="AR73" s="4"/>
      <c r="AS73" s="4"/>
    </row>
    <row r="74" spans="22:45">
      <c r="W74" s="141" t="s">
        <v>417</v>
      </c>
      <c r="X74" s="141"/>
      <c r="Y74" s="4"/>
      <c r="Z74" s="4">
        <f t="shared" ref="Z74:AJ74" si="56">Z7/(Z30+Z32)</f>
        <v>7.7917710719780411</v>
      </c>
      <c r="AA74" s="4">
        <f t="shared" si="56"/>
        <v>4.3828712279876481</v>
      </c>
      <c r="AB74" s="4">
        <f t="shared" si="56"/>
        <v>4.613548661039629</v>
      </c>
      <c r="AC74" s="4">
        <f t="shared" si="56"/>
        <v>4.8698569199862742</v>
      </c>
      <c r="AD74" s="4">
        <f t="shared" si="56"/>
        <v>5.1563190917501736</v>
      </c>
      <c r="AE74" s="4">
        <f t="shared" si="56"/>
        <v>5.4785890349845596</v>
      </c>
      <c r="AF74" s="4">
        <f t="shared" si="56"/>
        <v>5.8438283039835301</v>
      </c>
      <c r="AG74" s="4">
        <f t="shared" si="56"/>
        <v>6.261244611410925</v>
      </c>
      <c r="AH74" s="4">
        <f t="shared" si="56"/>
        <v>6.7428788122886889</v>
      </c>
      <c r="AI74" s="4">
        <f t="shared" si="56"/>
        <v>7.3047853799794122</v>
      </c>
      <c r="AJ74" s="4">
        <f t="shared" si="56"/>
        <v>7.9688567781593589</v>
      </c>
      <c r="AK74" s="269"/>
      <c r="AL74" s="269"/>
      <c r="AM74" s="269"/>
      <c r="AN74" s="4"/>
      <c r="AO74" s="4"/>
      <c r="AP74" s="4"/>
      <c r="AQ74" s="4"/>
      <c r="AR74" s="4"/>
      <c r="AS74" s="4"/>
    </row>
    <row r="75" spans="22:45">
      <c r="W75" s="141" t="s">
        <v>418</v>
      </c>
      <c r="X75" s="141"/>
      <c r="Y75" s="141"/>
      <c r="Z75" s="141"/>
      <c r="AA75" s="141"/>
      <c r="AB75" s="141"/>
      <c r="AC75" s="141"/>
      <c r="AD75" s="141"/>
      <c r="AE75" s="141"/>
      <c r="AG75" s="4"/>
      <c r="AH75" s="4"/>
      <c r="AI75" s="4"/>
      <c r="AJ75" s="4"/>
      <c r="AK75" s="4"/>
      <c r="AL75" s="4"/>
      <c r="AM75" s="4"/>
      <c r="AN75" s="4"/>
      <c r="AO75" s="4"/>
      <c r="AP75" s="4"/>
      <c r="AQ75" s="4"/>
      <c r="AR75" s="4"/>
      <c r="AS75" s="4"/>
    </row>
    <row r="76" spans="22:45">
      <c r="W76" s="141" t="s">
        <v>419</v>
      </c>
      <c r="X76" s="141"/>
      <c r="AA76" s="141"/>
      <c r="AB76" s="141"/>
      <c r="AC76" s="141"/>
      <c r="AD76" s="141"/>
      <c r="AE76" s="141"/>
      <c r="AG76" s="4"/>
      <c r="AH76" s="4"/>
      <c r="AI76" s="4"/>
      <c r="AJ76" s="4"/>
      <c r="AK76" s="4"/>
      <c r="AL76" s="4"/>
      <c r="AM76" s="4"/>
      <c r="AN76" s="4"/>
      <c r="AO76" s="4"/>
      <c r="AP76" s="4"/>
      <c r="AQ76" s="4"/>
      <c r="AR76" s="4"/>
      <c r="AS76" s="4"/>
    </row>
    <row r="77" spans="22:45">
      <c r="W77" s="141" t="s">
        <v>420</v>
      </c>
      <c r="X77" s="141"/>
      <c r="Y77" s="4">
        <f>SUM(Y7:AG7)/SUM(Y30:AG32)</f>
        <v>5.6400893920249198</v>
      </c>
      <c r="Z77" s="4"/>
      <c r="AA77" s="4"/>
      <c r="AB77" s="4"/>
      <c r="AC77" s="4"/>
      <c r="AD77" s="4"/>
      <c r="AE77" s="4"/>
      <c r="AG77" s="4"/>
      <c r="AH77" s="4"/>
      <c r="AI77" s="4"/>
      <c r="AJ77" s="4"/>
      <c r="AK77" s="4"/>
      <c r="AL77" s="4"/>
      <c r="AM77" s="4"/>
      <c r="AN77" s="4"/>
      <c r="AO77" s="4"/>
      <c r="AP77" s="4"/>
      <c r="AQ77" s="4"/>
      <c r="AR77" s="4"/>
      <c r="AS77" s="4"/>
    </row>
    <row r="78" spans="22:45">
      <c r="W78" s="4"/>
      <c r="X78" s="4"/>
      <c r="Y78" s="4"/>
      <c r="Z78" s="4"/>
      <c r="AA78" s="4"/>
      <c r="AB78" s="4"/>
      <c r="AC78" s="4"/>
      <c r="AD78" s="4"/>
      <c r="AE78" s="4"/>
      <c r="AF78" s="4"/>
      <c r="AG78" s="4"/>
      <c r="AH78" s="4"/>
      <c r="AI78" s="4"/>
      <c r="AJ78" s="4"/>
      <c r="AK78" s="4"/>
      <c r="AL78" s="4"/>
      <c r="AM78" s="4"/>
      <c r="AN78" s="4"/>
      <c r="AO78" s="4"/>
      <c r="AP78" s="4"/>
      <c r="AQ78" s="4"/>
      <c r="AR78" s="4"/>
      <c r="AS78" s="4"/>
    </row>
    <row r="79" spans="22:45">
      <c r="W79" s="4"/>
      <c r="X79" s="4"/>
      <c r="Y79" s="4"/>
      <c r="Z79" s="4"/>
      <c r="AA79" s="4"/>
      <c r="AB79" s="4"/>
      <c r="AC79" s="4"/>
      <c r="AD79" s="4"/>
      <c r="AE79" s="4"/>
      <c r="AF79" s="4"/>
      <c r="AG79" s="4"/>
      <c r="AH79" s="4"/>
      <c r="AI79" s="4"/>
      <c r="AJ79" s="4"/>
      <c r="AK79" s="4"/>
      <c r="AL79" s="4"/>
      <c r="AM79" s="4"/>
      <c r="AN79" s="4"/>
      <c r="AO79" s="4"/>
      <c r="AP79" s="4"/>
      <c r="AQ79" s="4"/>
      <c r="AR79" s="4"/>
      <c r="AS79" s="4"/>
    </row>
    <row r="80" spans="22:45">
      <c r="W80" s="4"/>
      <c r="X80" s="4"/>
      <c r="Y80" s="4"/>
      <c r="Z80" s="4"/>
      <c r="AA80" s="4"/>
      <c r="AB80" s="4"/>
      <c r="AC80" s="4"/>
      <c r="AD80" s="4"/>
      <c r="AE80" s="4"/>
      <c r="AF80" s="4"/>
      <c r="AG80" s="4"/>
      <c r="AH80" s="4"/>
      <c r="AI80" s="4"/>
      <c r="AJ80" s="4"/>
      <c r="AK80" s="4"/>
      <c r="AL80" s="4"/>
      <c r="AM80" s="4"/>
      <c r="AN80" s="4"/>
      <c r="AO80" s="4"/>
      <c r="AP80" s="4"/>
      <c r="AQ80" s="4"/>
      <c r="AR80" s="4"/>
      <c r="AS80" s="4"/>
    </row>
    <row r="81" spans="23:45">
      <c r="W81" s="4"/>
      <c r="X81" s="4"/>
      <c r="Y81" s="4"/>
      <c r="Z81" s="4"/>
      <c r="AA81" s="4"/>
      <c r="AB81" s="4"/>
      <c r="AC81" s="4"/>
      <c r="AD81" s="4"/>
      <c r="AE81" s="4"/>
      <c r="AF81" s="4"/>
      <c r="AG81" s="4"/>
      <c r="AH81" s="4"/>
      <c r="AI81" s="4"/>
      <c r="AJ81" s="4"/>
      <c r="AK81" s="4"/>
      <c r="AL81" s="4"/>
      <c r="AM81" s="4"/>
      <c r="AN81" s="4"/>
      <c r="AO81" s="4"/>
      <c r="AP81" s="4"/>
      <c r="AQ81" s="4"/>
      <c r="AR81" s="4"/>
      <c r="AS81" s="4"/>
    </row>
    <row r="82" spans="23:45">
      <c r="W82" s="4"/>
      <c r="X82" s="4"/>
      <c r="Y82" s="4"/>
      <c r="Z82" s="4"/>
      <c r="AA82" s="4"/>
      <c r="AB82" s="4"/>
      <c r="AC82" s="4"/>
      <c r="AD82" s="4"/>
      <c r="AE82" s="4"/>
      <c r="AF82" s="4"/>
      <c r="AG82" s="4"/>
      <c r="AH82" s="4"/>
      <c r="AI82" s="4"/>
      <c r="AJ82" s="4"/>
      <c r="AK82" s="4"/>
      <c r="AL82" s="4"/>
      <c r="AM82" s="4"/>
      <c r="AN82" s="4"/>
      <c r="AO82" s="4"/>
      <c r="AP82" s="4"/>
      <c r="AQ82" s="4"/>
      <c r="AR82" s="4"/>
      <c r="AS82" s="4"/>
    </row>
    <row r="83" spans="23:45">
      <c r="W83" s="4"/>
      <c r="X83" s="4"/>
      <c r="Y83" s="4"/>
      <c r="Z83" s="4"/>
      <c r="AA83" s="4"/>
      <c r="AB83" s="4"/>
      <c r="AC83" s="4"/>
      <c r="AD83" s="4"/>
      <c r="AE83" s="4"/>
      <c r="AF83" s="4"/>
      <c r="AG83" s="4"/>
      <c r="AH83" s="4"/>
      <c r="AI83" s="4"/>
      <c r="AJ83" s="4"/>
      <c r="AK83" s="4"/>
      <c r="AL83" s="4"/>
      <c r="AM83" s="4"/>
      <c r="AN83" s="4"/>
      <c r="AO83" s="4"/>
      <c r="AP83" s="4"/>
      <c r="AQ83" s="4"/>
      <c r="AR83" s="4"/>
      <c r="AS83" s="4"/>
    </row>
    <row r="84" spans="23:45">
      <c r="W84" s="4"/>
      <c r="X84" s="4"/>
      <c r="Y84" s="4"/>
      <c r="Z84" s="4"/>
      <c r="AA84" s="4"/>
      <c r="AB84" s="4"/>
      <c r="AC84" s="4"/>
      <c r="AD84" s="4"/>
      <c r="AE84" s="4"/>
      <c r="AF84" s="4"/>
      <c r="AG84" s="4"/>
      <c r="AH84" s="4"/>
      <c r="AI84" s="4"/>
      <c r="AJ84" s="4"/>
      <c r="AK84" s="4"/>
      <c r="AL84" s="4"/>
      <c r="AM84" s="4"/>
      <c r="AN84" s="4"/>
      <c r="AO84" s="4"/>
      <c r="AP84" s="4"/>
      <c r="AQ84" s="4"/>
      <c r="AR84" s="4"/>
      <c r="AS84" s="4"/>
    </row>
    <row r="85" spans="23:45">
      <c r="W85" s="4"/>
      <c r="X85" s="4"/>
      <c r="Y85" s="4"/>
      <c r="Z85" s="4"/>
      <c r="AA85" s="4"/>
      <c r="AB85" s="4"/>
      <c r="AC85" s="4"/>
      <c r="AD85" s="4"/>
      <c r="AE85" s="4"/>
      <c r="AF85" s="4"/>
      <c r="AG85" s="4"/>
      <c r="AH85" s="4"/>
      <c r="AI85" s="4"/>
      <c r="AJ85" s="4"/>
      <c r="AK85" s="4"/>
      <c r="AL85" s="4"/>
      <c r="AM85" s="4"/>
      <c r="AN85" s="4"/>
      <c r="AO85" s="4"/>
      <c r="AP85" s="4"/>
      <c r="AQ85" s="4"/>
      <c r="AR85" s="4"/>
      <c r="AS85" s="4"/>
    </row>
    <row r="86" spans="23:45">
      <c r="W86" s="4"/>
      <c r="X86" s="4"/>
      <c r="Y86" s="4"/>
      <c r="Z86" s="4"/>
      <c r="AA86" s="4"/>
      <c r="AB86" s="4"/>
      <c r="AC86" s="4"/>
      <c r="AD86" s="4"/>
      <c r="AE86" s="4"/>
      <c r="AF86" s="4"/>
      <c r="AG86" s="4"/>
      <c r="AH86" s="4"/>
      <c r="AI86" s="4"/>
      <c r="AJ86" s="4"/>
      <c r="AK86" s="4"/>
      <c r="AL86" s="4"/>
      <c r="AM86" s="4"/>
      <c r="AN86" s="4"/>
      <c r="AO86" s="4"/>
      <c r="AP86" s="4"/>
      <c r="AQ86" s="4"/>
      <c r="AR86" s="4"/>
      <c r="AS86" s="4"/>
    </row>
  </sheetData>
  <mergeCells count="2">
    <mergeCell ref="H3:I3"/>
    <mergeCell ref="H15:I15"/>
  </mergeCells>
  <phoneticPr fontId="62" type="noConversion"/>
  <pageMargins left="1.06" right="0.75" top="1.01" bottom="0.66" header="0.5" footer="0.47"/>
  <pageSetup scale="13"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B7:E37"/>
  <sheetViews>
    <sheetView workbookViewId="0">
      <selection activeCell="E22" sqref="E22"/>
    </sheetView>
  </sheetViews>
  <sheetFormatPr defaultRowHeight="15"/>
  <cols>
    <col min="3" max="3" width="28.6328125" customWidth="1"/>
    <col min="4" max="4" width="17.1796875" customWidth="1"/>
    <col min="5" max="5" width="15" customWidth="1"/>
  </cols>
  <sheetData>
    <row r="7" spans="2:5" ht="17.399999999999999">
      <c r="E7" s="238" t="s">
        <v>454</v>
      </c>
    </row>
    <row r="8" spans="2:5" ht="17.399999999999999">
      <c r="D8" s="184"/>
    </row>
    <row r="9" spans="2:5" ht="15.6">
      <c r="B9" s="2347" t="str">
        <f>CC!A148</f>
        <v>STEEL AUTHORITY OF INDIA  LIMITED</v>
      </c>
      <c r="C9" s="2347"/>
      <c r="D9" s="2347"/>
      <c r="E9" s="2347"/>
    </row>
    <row r="10" spans="2:5" ht="15.6">
      <c r="B10" s="2347" t="str">
        <f>CC!A149</f>
        <v>BHILAI STEEL PLANT</v>
      </c>
      <c r="C10" s="2347"/>
      <c r="D10" s="2347"/>
      <c r="E10" s="2347"/>
    </row>
    <row r="11" spans="2:5" ht="15.6">
      <c r="B11" s="2365" t="str">
        <f>CC!A150</f>
        <v>Extension of mixer bay and replacement of 02 nos mixer cranes 125+30t, span 28 m in SMS-2</v>
      </c>
      <c r="C11" s="2365"/>
      <c r="D11" s="2365"/>
      <c r="E11" s="2365"/>
    </row>
    <row r="12" spans="2:5" ht="15.6">
      <c r="B12" s="2362" t="s">
        <v>297</v>
      </c>
      <c r="C12" s="2362"/>
      <c r="D12" s="2362"/>
      <c r="E12" s="2362"/>
    </row>
    <row r="13" spans="2:5" ht="15.6">
      <c r="B13" s="176"/>
      <c r="C13" s="176"/>
      <c r="D13" s="176"/>
      <c r="E13" s="176"/>
    </row>
    <row r="14" spans="2:5">
      <c r="B14" s="218" t="s">
        <v>318</v>
      </c>
      <c r="C14" s="218" t="s">
        <v>294</v>
      </c>
      <c r="D14" s="218" t="s">
        <v>198</v>
      </c>
      <c r="E14" s="218" t="s">
        <v>319</v>
      </c>
    </row>
    <row r="15" spans="2:5" ht="15.6">
      <c r="B15" s="589">
        <v>1</v>
      </c>
      <c r="C15" s="590" t="s">
        <v>436</v>
      </c>
      <c r="D15" s="591" t="s">
        <v>285</v>
      </c>
      <c r="E15" s="592">
        <f>CC!E173</f>
        <v>54.023816893072549</v>
      </c>
    </row>
    <row r="16" spans="2:5" ht="15.6">
      <c r="B16" s="593"/>
      <c r="C16" s="594"/>
      <c r="D16" s="595"/>
      <c r="E16" s="596"/>
    </row>
    <row r="17" spans="2:5" ht="15.6">
      <c r="B17" s="593">
        <v>2</v>
      </c>
      <c r="C17" s="597" t="s">
        <v>572</v>
      </c>
      <c r="D17" s="598" t="s">
        <v>285</v>
      </c>
      <c r="E17" s="596">
        <f>GM!F40</f>
        <v>59.956675440026139</v>
      </c>
    </row>
    <row r="18" spans="2:5" ht="15.6">
      <c r="B18" s="593"/>
      <c r="C18" s="599"/>
      <c r="D18" s="598"/>
      <c r="E18" s="596"/>
    </row>
    <row r="19" spans="2:5" ht="15.6">
      <c r="B19" s="600">
        <v>3</v>
      </c>
      <c r="C19" s="601" t="s">
        <v>381</v>
      </c>
      <c r="D19" s="602" t="s">
        <v>286</v>
      </c>
      <c r="E19" s="596">
        <f>'cash flow'!X55</f>
        <v>229.69246043420961</v>
      </c>
    </row>
    <row r="20" spans="2:5" ht="15.6">
      <c r="B20" s="593"/>
      <c r="C20" s="603"/>
      <c r="D20" s="604"/>
      <c r="E20" s="599"/>
    </row>
    <row r="21" spans="2:5" ht="15.6">
      <c r="B21" s="593">
        <v>4</v>
      </c>
      <c r="C21" s="601" t="s">
        <v>287</v>
      </c>
      <c r="D21" s="604" t="s">
        <v>163</v>
      </c>
      <c r="E21" s="605">
        <f>'cash flow'!X58</f>
        <v>0.72644139566807153</v>
      </c>
    </row>
    <row r="22" spans="2:5" ht="15.6">
      <c r="B22" s="606"/>
      <c r="C22" s="607"/>
      <c r="D22" s="608"/>
      <c r="E22" s="609"/>
    </row>
    <row r="23" spans="2:5" ht="15.6">
      <c r="B23" s="219"/>
      <c r="C23" s="2363"/>
      <c r="D23" s="2364"/>
      <c r="E23" s="2364"/>
    </row>
    <row r="26" spans="2:5" ht="15.6">
      <c r="B26" s="178"/>
      <c r="C26" s="176"/>
      <c r="D26" s="175"/>
      <c r="E26" s="175"/>
    </row>
    <row r="27" spans="2:5" ht="15.6">
      <c r="B27" s="175"/>
      <c r="C27" s="175"/>
      <c r="D27" s="175"/>
      <c r="E27" s="175"/>
    </row>
    <row r="28" spans="2:5" ht="15.6">
      <c r="B28" s="2362" t="s">
        <v>288</v>
      </c>
      <c r="C28" s="2362"/>
      <c r="D28" s="2362"/>
      <c r="E28" s="2362"/>
    </row>
    <row r="29" spans="2:5" ht="15.6">
      <c r="B29" s="177"/>
      <c r="C29" s="177"/>
      <c r="D29" s="177"/>
      <c r="E29" s="177"/>
    </row>
    <row r="30" spans="2:5" ht="15.6">
      <c r="B30" s="175"/>
      <c r="C30" s="175"/>
      <c r="D30" s="175"/>
      <c r="E30" s="175"/>
    </row>
    <row r="31" spans="2:5" ht="15.6">
      <c r="B31" s="179" t="s">
        <v>92</v>
      </c>
      <c r="C31" s="220" t="s">
        <v>289</v>
      </c>
      <c r="D31" s="221" t="s">
        <v>160</v>
      </c>
      <c r="E31" s="175" t="s">
        <v>329</v>
      </c>
    </row>
    <row r="32" spans="2:5" ht="15.6">
      <c r="B32" s="179"/>
      <c r="C32" s="180"/>
      <c r="D32" s="220" t="s">
        <v>290</v>
      </c>
      <c r="E32" s="175"/>
    </row>
    <row r="33" spans="2:5" ht="22.5" customHeight="1">
      <c r="B33" s="222">
        <v>1</v>
      </c>
      <c r="C33" s="224" t="s">
        <v>326</v>
      </c>
      <c r="D33" s="223">
        <f>$E$21</f>
        <v>0.72644139566807153</v>
      </c>
      <c r="E33" s="175"/>
    </row>
    <row r="34" spans="2:5" ht="22.5" customHeight="1">
      <c r="B34" s="222">
        <v>2</v>
      </c>
      <c r="C34" s="182" t="s">
        <v>325</v>
      </c>
      <c r="D34" s="223">
        <v>0.14438267769681332</v>
      </c>
      <c r="E34" s="175"/>
    </row>
    <row r="35" spans="2:5" ht="24.75" customHeight="1">
      <c r="B35" s="222">
        <v>3</v>
      </c>
      <c r="C35" s="182" t="s">
        <v>291</v>
      </c>
      <c r="D35" s="223">
        <v>0.13992384480029049</v>
      </c>
      <c r="E35" s="175"/>
    </row>
    <row r="36" spans="2:5" ht="35.25" customHeight="1">
      <c r="B36" s="222">
        <v>4</v>
      </c>
      <c r="C36" s="182" t="s">
        <v>292</v>
      </c>
      <c r="D36" s="223">
        <v>0.12877328530126689</v>
      </c>
      <c r="E36" s="175"/>
    </row>
    <row r="37" spans="2:5" ht="15.6">
      <c r="B37" s="637">
        <v>5</v>
      </c>
      <c r="C37" s="638" t="s">
        <v>327</v>
      </c>
      <c r="D37" s="639">
        <f t="shared" ref="D37" si="0">$E$21</f>
        <v>0.72644139566807153</v>
      </c>
      <c r="E37" s="640">
        <v>74.411912864613029</v>
      </c>
    </row>
  </sheetData>
  <mergeCells count="6">
    <mergeCell ref="B12:E12"/>
    <mergeCell ref="B28:E28"/>
    <mergeCell ref="C23:E23"/>
    <mergeCell ref="B9:E9"/>
    <mergeCell ref="B10:E10"/>
    <mergeCell ref="B11:E1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5:AL30"/>
  <sheetViews>
    <sheetView topLeftCell="A16" workbookViewId="0">
      <selection activeCell="N27" sqref="N27"/>
    </sheetView>
  </sheetViews>
  <sheetFormatPr defaultColWidth="10.1796875" defaultRowHeight="15"/>
  <cols>
    <col min="1" max="1" width="7.36328125" style="931" customWidth="1"/>
    <col min="2" max="6" width="10.1796875" style="931"/>
    <col min="7" max="7" width="11.6328125" style="931" customWidth="1"/>
    <col min="8" max="9" width="10.1796875" style="931"/>
    <col min="10" max="10" width="11.453125" style="931" bestFit="1" customWidth="1"/>
    <col min="11" max="11" width="10.1796875" style="931"/>
    <col min="12" max="12" width="9" style="931" customWidth="1"/>
    <col min="13" max="13" width="8.90625" style="931" customWidth="1"/>
    <col min="14" max="256" width="10.1796875" style="931"/>
    <col min="257" max="257" width="7.36328125" style="931" customWidth="1"/>
    <col min="258" max="262" width="10.1796875" style="931"/>
    <col min="263" max="263" width="11.6328125" style="931" customWidth="1"/>
    <col min="264" max="267" width="10.1796875" style="931"/>
    <col min="268" max="268" width="9" style="931" customWidth="1"/>
    <col min="269" max="269" width="8.90625" style="931" customWidth="1"/>
    <col min="270" max="512" width="10.1796875" style="931"/>
    <col min="513" max="513" width="7.36328125" style="931" customWidth="1"/>
    <col min="514" max="518" width="10.1796875" style="931"/>
    <col min="519" max="519" width="11.6328125" style="931" customWidth="1"/>
    <col min="520" max="523" width="10.1796875" style="931"/>
    <col min="524" max="524" width="9" style="931" customWidth="1"/>
    <col min="525" max="525" width="8.90625" style="931" customWidth="1"/>
    <col min="526" max="768" width="10.1796875" style="931"/>
    <col min="769" max="769" width="7.36328125" style="931" customWidth="1"/>
    <col min="770" max="774" width="10.1796875" style="931"/>
    <col min="775" max="775" width="11.6328125" style="931" customWidth="1"/>
    <col min="776" max="779" width="10.1796875" style="931"/>
    <col min="780" max="780" width="9" style="931" customWidth="1"/>
    <col min="781" max="781" width="8.90625" style="931" customWidth="1"/>
    <col min="782" max="1024" width="10.1796875" style="931"/>
    <col min="1025" max="1025" width="7.36328125" style="931" customWidth="1"/>
    <col min="1026" max="1030" width="10.1796875" style="931"/>
    <col min="1031" max="1031" width="11.6328125" style="931" customWidth="1"/>
    <col min="1032" max="1035" width="10.1796875" style="931"/>
    <col min="1036" max="1036" width="9" style="931" customWidth="1"/>
    <col min="1037" max="1037" width="8.90625" style="931" customWidth="1"/>
    <col min="1038" max="1280" width="10.1796875" style="931"/>
    <col min="1281" max="1281" width="7.36328125" style="931" customWidth="1"/>
    <col min="1282" max="1286" width="10.1796875" style="931"/>
    <col min="1287" max="1287" width="11.6328125" style="931" customWidth="1"/>
    <col min="1288" max="1291" width="10.1796875" style="931"/>
    <col min="1292" max="1292" width="9" style="931" customWidth="1"/>
    <col min="1293" max="1293" width="8.90625" style="931" customWidth="1"/>
    <col min="1294" max="1536" width="10.1796875" style="931"/>
    <col min="1537" max="1537" width="7.36328125" style="931" customWidth="1"/>
    <col min="1538" max="1542" width="10.1796875" style="931"/>
    <col min="1543" max="1543" width="11.6328125" style="931" customWidth="1"/>
    <col min="1544" max="1547" width="10.1796875" style="931"/>
    <col min="1548" max="1548" width="9" style="931" customWidth="1"/>
    <col min="1549" max="1549" width="8.90625" style="931" customWidth="1"/>
    <col min="1550" max="1792" width="10.1796875" style="931"/>
    <col min="1793" max="1793" width="7.36328125" style="931" customWidth="1"/>
    <col min="1794" max="1798" width="10.1796875" style="931"/>
    <col min="1799" max="1799" width="11.6328125" style="931" customWidth="1"/>
    <col min="1800" max="1803" width="10.1796875" style="931"/>
    <col min="1804" max="1804" width="9" style="931" customWidth="1"/>
    <col min="1805" max="1805" width="8.90625" style="931" customWidth="1"/>
    <col min="1806" max="2048" width="10.1796875" style="931"/>
    <col min="2049" max="2049" width="7.36328125" style="931" customWidth="1"/>
    <col min="2050" max="2054" width="10.1796875" style="931"/>
    <col min="2055" max="2055" width="11.6328125" style="931" customWidth="1"/>
    <col min="2056" max="2059" width="10.1796875" style="931"/>
    <col min="2060" max="2060" width="9" style="931" customWidth="1"/>
    <col min="2061" max="2061" width="8.90625" style="931" customWidth="1"/>
    <col min="2062" max="2304" width="10.1796875" style="931"/>
    <col min="2305" max="2305" width="7.36328125" style="931" customWidth="1"/>
    <col min="2306" max="2310" width="10.1796875" style="931"/>
    <col min="2311" max="2311" width="11.6328125" style="931" customWidth="1"/>
    <col min="2312" max="2315" width="10.1796875" style="931"/>
    <col min="2316" max="2316" width="9" style="931" customWidth="1"/>
    <col min="2317" max="2317" width="8.90625" style="931" customWidth="1"/>
    <col min="2318" max="2560" width="10.1796875" style="931"/>
    <col min="2561" max="2561" width="7.36328125" style="931" customWidth="1"/>
    <col min="2562" max="2566" width="10.1796875" style="931"/>
    <col min="2567" max="2567" width="11.6328125" style="931" customWidth="1"/>
    <col min="2568" max="2571" width="10.1796875" style="931"/>
    <col min="2572" max="2572" width="9" style="931" customWidth="1"/>
    <col min="2573" max="2573" width="8.90625" style="931" customWidth="1"/>
    <col min="2574" max="2816" width="10.1796875" style="931"/>
    <col min="2817" max="2817" width="7.36328125" style="931" customWidth="1"/>
    <col min="2818" max="2822" width="10.1796875" style="931"/>
    <col min="2823" max="2823" width="11.6328125" style="931" customWidth="1"/>
    <col min="2824" max="2827" width="10.1796875" style="931"/>
    <col min="2828" max="2828" width="9" style="931" customWidth="1"/>
    <col min="2829" max="2829" width="8.90625" style="931" customWidth="1"/>
    <col min="2830" max="3072" width="10.1796875" style="931"/>
    <col min="3073" max="3073" width="7.36328125" style="931" customWidth="1"/>
    <col min="3074" max="3078" width="10.1796875" style="931"/>
    <col min="3079" max="3079" width="11.6328125" style="931" customWidth="1"/>
    <col min="3080" max="3083" width="10.1796875" style="931"/>
    <col min="3084" max="3084" width="9" style="931" customWidth="1"/>
    <col min="3085" max="3085" width="8.90625" style="931" customWidth="1"/>
    <col min="3086" max="3328" width="10.1796875" style="931"/>
    <col min="3329" max="3329" width="7.36328125" style="931" customWidth="1"/>
    <col min="3330" max="3334" width="10.1796875" style="931"/>
    <col min="3335" max="3335" width="11.6328125" style="931" customWidth="1"/>
    <col min="3336" max="3339" width="10.1796875" style="931"/>
    <col min="3340" max="3340" width="9" style="931" customWidth="1"/>
    <col min="3341" max="3341" width="8.90625" style="931" customWidth="1"/>
    <col min="3342" max="3584" width="10.1796875" style="931"/>
    <col min="3585" max="3585" width="7.36328125" style="931" customWidth="1"/>
    <col min="3586" max="3590" width="10.1796875" style="931"/>
    <col min="3591" max="3591" width="11.6328125" style="931" customWidth="1"/>
    <col min="3592" max="3595" width="10.1796875" style="931"/>
    <col min="3596" max="3596" width="9" style="931" customWidth="1"/>
    <col min="3597" max="3597" width="8.90625" style="931" customWidth="1"/>
    <col min="3598" max="3840" width="10.1796875" style="931"/>
    <col min="3841" max="3841" width="7.36328125" style="931" customWidth="1"/>
    <col min="3842" max="3846" width="10.1796875" style="931"/>
    <col min="3847" max="3847" width="11.6328125" style="931" customWidth="1"/>
    <col min="3848" max="3851" width="10.1796875" style="931"/>
    <col min="3852" max="3852" width="9" style="931" customWidth="1"/>
    <col min="3853" max="3853" width="8.90625" style="931" customWidth="1"/>
    <col min="3854" max="4096" width="10.1796875" style="931"/>
    <col min="4097" max="4097" width="7.36328125" style="931" customWidth="1"/>
    <col min="4098" max="4102" width="10.1796875" style="931"/>
    <col min="4103" max="4103" width="11.6328125" style="931" customWidth="1"/>
    <col min="4104" max="4107" width="10.1796875" style="931"/>
    <col min="4108" max="4108" width="9" style="931" customWidth="1"/>
    <col min="4109" max="4109" width="8.90625" style="931" customWidth="1"/>
    <col min="4110" max="4352" width="10.1796875" style="931"/>
    <col min="4353" max="4353" width="7.36328125" style="931" customWidth="1"/>
    <col min="4354" max="4358" width="10.1796875" style="931"/>
    <col min="4359" max="4359" width="11.6328125" style="931" customWidth="1"/>
    <col min="4360" max="4363" width="10.1796875" style="931"/>
    <col min="4364" max="4364" width="9" style="931" customWidth="1"/>
    <col min="4365" max="4365" width="8.90625" style="931" customWidth="1"/>
    <col min="4366" max="4608" width="10.1796875" style="931"/>
    <col min="4609" max="4609" width="7.36328125" style="931" customWidth="1"/>
    <col min="4610" max="4614" width="10.1796875" style="931"/>
    <col min="4615" max="4615" width="11.6328125" style="931" customWidth="1"/>
    <col min="4616" max="4619" width="10.1796875" style="931"/>
    <col min="4620" max="4620" width="9" style="931" customWidth="1"/>
    <col min="4621" max="4621" width="8.90625" style="931" customWidth="1"/>
    <col min="4622" max="4864" width="10.1796875" style="931"/>
    <col min="4865" max="4865" width="7.36328125" style="931" customWidth="1"/>
    <col min="4866" max="4870" width="10.1796875" style="931"/>
    <col min="4871" max="4871" width="11.6328125" style="931" customWidth="1"/>
    <col min="4872" max="4875" width="10.1796875" style="931"/>
    <col min="4876" max="4876" width="9" style="931" customWidth="1"/>
    <col min="4877" max="4877" width="8.90625" style="931" customWidth="1"/>
    <col min="4878" max="5120" width="10.1796875" style="931"/>
    <col min="5121" max="5121" width="7.36328125" style="931" customWidth="1"/>
    <col min="5122" max="5126" width="10.1796875" style="931"/>
    <col min="5127" max="5127" width="11.6328125" style="931" customWidth="1"/>
    <col min="5128" max="5131" width="10.1796875" style="931"/>
    <col min="5132" max="5132" width="9" style="931" customWidth="1"/>
    <col min="5133" max="5133" width="8.90625" style="931" customWidth="1"/>
    <col min="5134" max="5376" width="10.1796875" style="931"/>
    <col min="5377" max="5377" width="7.36328125" style="931" customWidth="1"/>
    <col min="5378" max="5382" width="10.1796875" style="931"/>
    <col min="5383" max="5383" width="11.6328125" style="931" customWidth="1"/>
    <col min="5384" max="5387" width="10.1796875" style="931"/>
    <col min="5388" max="5388" width="9" style="931" customWidth="1"/>
    <col min="5389" max="5389" width="8.90625" style="931" customWidth="1"/>
    <col min="5390" max="5632" width="10.1796875" style="931"/>
    <col min="5633" max="5633" width="7.36328125" style="931" customWidth="1"/>
    <col min="5634" max="5638" width="10.1796875" style="931"/>
    <col min="5639" max="5639" width="11.6328125" style="931" customWidth="1"/>
    <col min="5640" max="5643" width="10.1796875" style="931"/>
    <col min="5644" max="5644" width="9" style="931" customWidth="1"/>
    <col min="5645" max="5645" width="8.90625" style="931" customWidth="1"/>
    <col min="5646" max="5888" width="10.1796875" style="931"/>
    <col min="5889" max="5889" width="7.36328125" style="931" customWidth="1"/>
    <col min="5890" max="5894" width="10.1796875" style="931"/>
    <col min="5895" max="5895" width="11.6328125" style="931" customWidth="1"/>
    <col min="5896" max="5899" width="10.1796875" style="931"/>
    <col min="5900" max="5900" width="9" style="931" customWidth="1"/>
    <col min="5901" max="5901" width="8.90625" style="931" customWidth="1"/>
    <col min="5902" max="6144" width="10.1796875" style="931"/>
    <col min="6145" max="6145" width="7.36328125" style="931" customWidth="1"/>
    <col min="6146" max="6150" width="10.1796875" style="931"/>
    <col min="6151" max="6151" width="11.6328125" style="931" customWidth="1"/>
    <col min="6152" max="6155" width="10.1796875" style="931"/>
    <col min="6156" max="6156" width="9" style="931" customWidth="1"/>
    <col min="6157" max="6157" width="8.90625" style="931" customWidth="1"/>
    <col min="6158" max="6400" width="10.1796875" style="931"/>
    <col min="6401" max="6401" width="7.36328125" style="931" customWidth="1"/>
    <col min="6402" max="6406" width="10.1796875" style="931"/>
    <col min="6407" max="6407" width="11.6328125" style="931" customWidth="1"/>
    <col min="6408" max="6411" width="10.1796875" style="931"/>
    <col min="6412" max="6412" width="9" style="931" customWidth="1"/>
    <col min="6413" max="6413" width="8.90625" style="931" customWidth="1"/>
    <col min="6414" max="6656" width="10.1796875" style="931"/>
    <col min="6657" max="6657" width="7.36328125" style="931" customWidth="1"/>
    <col min="6658" max="6662" width="10.1796875" style="931"/>
    <col min="6663" max="6663" width="11.6328125" style="931" customWidth="1"/>
    <col min="6664" max="6667" width="10.1796875" style="931"/>
    <col min="6668" max="6668" width="9" style="931" customWidth="1"/>
    <col min="6669" max="6669" width="8.90625" style="931" customWidth="1"/>
    <col min="6670" max="6912" width="10.1796875" style="931"/>
    <col min="6913" max="6913" width="7.36328125" style="931" customWidth="1"/>
    <col min="6914" max="6918" width="10.1796875" style="931"/>
    <col min="6919" max="6919" width="11.6328125" style="931" customWidth="1"/>
    <col min="6920" max="6923" width="10.1796875" style="931"/>
    <col min="6924" max="6924" width="9" style="931" customWidth="1"/>
    <col min="6925" max="6925" width="8.90625" style="931" customWidth="1"/>
    <col min="6926" max="7168" width="10.1796875" style="931"/>
    <col min="7169" max="7169" width="7.36328125" style="931" customWidth="1"/>
    <col min="7170" max="7174" width="10.1796875" style="931"/>
    <col min="7175" max="7175" width="11.6328125" style="931" customWidth="1"/>
    <col min="7176" max="7179" width="10.1796875" style="931"/>
    <col min="7180" max="7180" width="9" style="931" customWidth="1"/>
    <col min="7181" max="7181" width="8.90625" style="931" customWidth="1"/>
    <col min="7182" max="7424" width="10.1796875" style="931"/>
    <col min="7425" max="7425" width="7.36328125" style="931" customWidth="1"/>
    <col min="7426" max="7430" width="10.1796875" style="931"/>
    <col min="7431" max="7431" width="11.6328125" style="931" customWidth="1"/>
    <col min="7432" max="7435" width="10.1796875" style="931"/>
    <col min="7436" max="7436" width="9" style="931" customWidth="1"/>
    <col min="7437" max="7437" width="8.90625" style="931" customWidth="1"/>
    <col min="7438" max="7680" width="10.1796875" style="931"/>
    <col min="7681" max="7681" width="7.36328125" style="931" customWidth="1"/>
    <col min="7682" max="7686" width="10.1796875" style="931"/>
    <col min="7687" max="7687" width="11.6328125" style="931" customWidth="1"/>
    <col min="7688" max="7691" width="10.1796875" style="931"/>
    <col min="7692" max="7692" width="9" style="931" customWidth="1"/>
    <col min="7693" max="7693" width="8.90625" style="931" customWidth="1"/>
    <col min="7694" max="7936" width="10.1796875" style="931"/>
    <col min="7937" max="7937" width="7.36328125" style="931" customWidth="1"/>
    <col min="7938" max="7942" width="10.1796875" style="931"/>
    <col min="7943" max="7943" width="11.6328125" style="931" customWidth="1"/>
    <col min="7944" max="7947" width="10.1796875" style="931"/>
    <col min="7948" max="7948" width="9" style="931" customWidth="1"/>
    <col min="7949" max="7949" width="8.90625" style="931" customWidth="1"/>
    <col min="7950" max="8192" width="10.1796875" style="931"/>
    <col min="8193" max="8193" width="7.36328125" style="931" customWidth="1"/>
    <col min="8194" max="8198" width="10.1796875" style="931"/>
    <col min="8199" max="8199" width="11.6328125" style="931" customWidth="1"/>
    <col min="8200" max="8203" width="10.1796875" style="931"/>
    <col min="8204" max="8204" width="9" style="931" customWidth="1"/>
    <col min="8205" max="8205" width="8.90625" style="931" customWidth="1"/>
    <col min="8206" max="8448" width="10.1796875" style="931"/>
    <col min="8449" max="8449" width="7.36328125" style="931" customWidth="1"/>
    <col min="8450" max="8454" width="10.1796875" style="931"/>
    <col min="8455" max="8455" width="11.6328125" style="931" customWidth="1"/>
    <col min="8456" max="8459" width="10.1796875" style="931"/>
    <col min="8460" max="8460" width="9" style="931" customWidth="1"/>
    <col min="8461" max="8461" width="8.90625" style="931" customWidth="1"/>
    <col min="8462" max="8704" width="10.1796875" style="931"/>
    <col min="8705" max="8705" width="7.36328125" style="931" customWidth="1"/>
    <col min="8706" max="8710" width="10.1796875" style="931"/>
    <col min="8711" max="8711" width="11.6328125" style="931" customWidth="1"/>
    <col min="8712" max="8715" width="10.1796875" style="931"/>
    <col min="8716" max="8716" width="9" style="931" customWidth="1"/>
    <col min="8717" max="8717" width="8.90625" style="931" customWidth="1"/>
    <col min="8718" max="8960" width="10.1796875" style="931"/>
    <col min="8961" max="8961" width="7.36328125" style="931" customWidth="1"/>
    <col min="8962" max="8966" width="10.1796875" style="931"/>
    <col min="8967" max="8967" width="11.6328125" style="931" customWidth="1"/>
    <col min="8968" max="8971" width="10.1796875" style="931"/>
    <col min="8972" max="8972" width="9" style="931" customWidth="1"/>
    <col min="8973" max="8973" width="8.90625" style="931" customWidth="1"/>
    <col min="8974" max="9216" width="10.1796875" style="931"/>
    <col min="9217" max="9217" width="7.36328125" style="931" customWidth="1"/>
    <col min="9218" max="9222" width="10.1796875" style="931"/>
    <col min="9223" max="9223" width="11.6328125" style="931" customWidth="1"/>
    <col min="9224" max="9227" width="10.1796875" style="931"/>
    <col min="9228" max="9228" width="9" style="931" customWidth="1"/>
    <col min="9229" max="9229" width="8.90625" style="931" customWidth="1"/>
    <col min="9230" max="9472" width="10.1796875" style="931"/>
    <col min="9473" max="9473" width="7.36328125" style="931" customWidth="1"/>
    <col min="9474" max="9478" width="10.1796875" style="931"/>
    <col min="9479" max="9479" width="11.6328125" style="931" customWidth="1"/>
    <col min="9480" max="9483" width="10.1796875" style="931"/>
    <col min="9484" max="9484" width="9" style="931" customWidth="1"/>
    <col min="9485" max="9485" width="8.90625" style="931" customWidth="1"/>
    <col min="9486" max="9728" width="10.1796875" style="931"/>
    <col min="9729" max="9729" width="7.36328125" style="931" customWidth="1"/>
    <col min="9730" max="9734" width="10.1796875" style="931"/>
    <col min="9735" max="9735" width="11.6328125" style="931" customWidth="1"/>
    <col min="9736" max="9739" width="10.1796875" style="931"/>
    <col min="9740" max="9740" width="9" style="931" customWidth="1"/>
    <col min="9741" max="9741" width="8.90625" style="931" customWidth="1"/>
    <col min="9742" max="9984" width="10.1796875" style="931"/>
    <col min="9985" max="9985" width="7.36328125" style="931" customWidth="1"/>
    <col min="9986" max="9990" width="10.1796875" style="931"/>
    <col min="9991" max="9991" width="11.6328125" style="931" customWidth="1"/>
    <col min="9992" max="9995" width="10.1796875" style="931"/>
    <col min="9996" max="9996" width="9" style="931" customWidth="1"/>
    <col min="9997" max="9997" width="8.90625" style="931" customWidth="1"/>
    <col min="9998" max="10240" width="10.1796875" style="931"/>
    <col min="10241" max="10241" width="7.36328125" style="931" customWidth="1"/>
    <col min="10242" max="10246" width="10.1796875" style="931"/>
    <col min="10247" max="10247" width="11.6328125" style="931" customWidth="1"/>
    <col min="10248" max="10251" width="10.1796875" style="931"/>
    <col min="10252" max="10252" width="9" style="931" customWidth="1"/>
    <col min="10253" max="10253" width="8.90625" style="931" customWidth="1"/>
    <col min="10254" max="10496" width="10.1796875" style="931"/>
    <col min="10497" max="10497" width="7.36328125" style="931" customWidth="1"/>
    <col min="10498" max="10502" width="10.1796875" style="931"/>
    <col min="10503" max="10503" width="11.6328125" style="931" customWidth="1"/>
    <col min="10504" max="10507" width="10.1796875" style="931"/>
    <col min="10508" max="10508" width="9" style="931" customWidth="1"/>
    <col min="10509" max="10509" width="8.90625" style="931" customWidth="1"/>
    <col min="10510" max="10752" width="10.1796875" style="931"/>
    <col min="10753" max="10753" width="7.36328125" style="931" customWidth="1"/>
    <col min="10754" max="10758" width="10.1796875" style="931"/>
    <col min="10759" max="10759" width="11.6328125" style="931" customWidth="1"/>
    <col min="10760" max="10763" width="10.1796875" style="931"/>
    <col min="10764" max="10764" width="9" style="931" customWidth="1"/>
    <col min="10765" max="10765" width="8.90625" style="931" customWidth="1"/>
    <col min="10766" max="11008" width="10.1796875" style="931"/>
    <col min="11009" max="11009" width="7.36328125" style="931" customWidth="1"/>
    <col min="11010" max="11014" width="10.1796875" style="931"/>
    <col min="11015" max="11015" width="11.6328125" style="931" customWidth="1"/>
    <col min="11016" max="11019" width="10.1796875" style="931"/>
    <col min="11020" max="11020" width="9" style="931" customWidth="1"/>
    <col min="11021" max="11021" width="8.90625" style="931" customWidth="1"/>
    <col min="11022" max="11264" width="10.1796875" style="931"/>
    <col min="11265" max="11265" width="7.36328125" style="931" customWidth="1"/>
    <col min="11266" max="11270" width="10.1796875" style="931"/>
    <col min="11271" max="11271" width="11.6328125" style="931" customWidth="1"/>
    <col min="11272" max="11275" width="10.1796875" style="931"/>
    <col min="11276" max="11276" width="9" style="931" customWidth="1"/>
    <col min="11277" max="11277" width="8.90625" style="931" customWidth="1"/>
    <col min="11278" max="11520" width="10.1796875" style="931"/>
    <col min="11521" max="11521" width="7.36328125" style="931" customWidth="1"/>
    <col min="11522" max="11526" width="10.1796875" style="931"/>
    <col min="11527" max="11527" width="11.6328125" style="931" customWidth="1"/>
    <col min="11528" max="11531" width="10.1796875" style="931"/>
    <col min="11532" max="11532" width="9" style="931" customWidth="1"/>
    <col min="11533" max="11533" width="8.90625" style="931" customWidth="1"/>
    <col min="11534" max="11776" width="10.1796875" style="931"/>
    <col min="11777" max="11777" width="7.36328125" style="931" customWidth="1"/>
    <col min="11778" max="11782" width="10.1796875" style="931"/>
    <col min="11783" max="11783" width="11.6328125" style="931" customWidth="1"/>
    <col min="11784" max="11787" width="10.1796875" style="931"/>
    <col min="11788" max="11788" width="9" style="931" customWidth="1"/>
    <col min="11789" max="11789" width="8.90625" style="931" customWidth="1"/>
    <col min="11790" max="12032" width="10.1796875" style="931"/>
    <col min="12033" max="12033" width="7.36328125" style="931" customWidth="1"/>
    <col min="12034" max="12038" width="10.1796875" style="931"/>
    <col min="12039" max="12039" width="11.6328125" style="931" customWidth="1"/>
    <col min="12040" max="12043" width="10.1796875" style="931"/>
    <col min="12044" max="12044" width="9" style="931" customWidth="1"/>
    <col min="12045" max="12045" width="8.90625" style="931" customWidth="1"/>
    <col min="12046" max="12288" width="10.1796875" style="931"/>
    <col min="12289" max="12289" width="7.36328125" style="931" customWidth="1"/>
    <col min="12290" max="12294" width="10.1796875" style="931"/>
    <col min="12295" max="12295" width="11.6328125" style="931" customWidth="1"/>
    <col min="12296" max="12299" width="10.1796875" style="931"/>
    <col min="12300" max="12300" width="9" style="931" customWidth="1"/>
    <col min="12301" max="12301" width="8.90625" style="931" customWidth="1"/>
    <col min="12302" max="12544" width="10.1796875" style="931"/>
    <col min="12545" max="12545" width="7.36328125" style="931" customWidth="1"/>
    <col min="12546" max="12550" width="10.1796875" style="931"/>
    <col min="12551" max="12551" width="11.6328125" style="931" customWidth="1"/>
    <col min="12552" max="12555" width="10.1796875" style="931"/>
    <col min="12556" max="12556" width="9" style="931" customWidth="1"/>
    <col min="12557" max="12557" width="8.90625" style="931" customWidth="1"/>
    <col min="12558" max="12800" width="10.1796875" style="931"/>
    <col min="12801" max="12801" width="7.36328125" style="931" customWidth="1"/>
    <col min="12802" max="12806" width="10.1796875" style="931"/>
    <col min="12807" max="12807" width="11.6328125" style="931" customWidth="1"/>
    <col min="12808" max="12811" width="10.1796875" style="931"/>
    <col min="12812" max="12812" width="9" style="931" customWidth="1"/>
    <col min="12813" max="12813" width="8.90625" style="931" customWidth="1"/>
    <col min="12814" max="13056" width="10.1796875" style="931"/>
    <col min="13057" max="13057" width="7.36328125" style="931" customWidth="1"/>
    <col min="13058" max="13062" width="10.1796875" style="931"/>
    <col min="13063" max="13063" width="11.6328125" style="931" customWidth="1"/>
    <col min="13064" max="13067" width="10.1796875" style="931"/>
    <col min="13068" max="13068" width="9" style="931" customWidth="1"/>
    <col min="13069" max="13069" width="8.90625" style="931" customWidth="1"/>
    <col min="13070" max="13312" width="10.1796875" style="931"/>
    <col min="13313" max="13313" width="7.36328125" style="931" customWidth="1"/>
    <col min="13314" max="13318" width="10.1796875" style="931"/>
    <col min="13319" max="13319" width="11.6328125" style="931" customWidth="1"/>
    <col min="13320" max="13323" width="10.1796875" style="931"/>
    <col min="13324" max="13324" width="9" style="931" customWidth="1"/>
    <col min="13325" max="13325" width="8.90625" style="931" customWidth="1"/>
    <col min="13326" max="13568" width="10.1796875" style="931"/>
    <col min="13569" max="13569" width="7.36328125" style="931" customWidth="1"/>
    <col min="13570" max="13574" width="10.1796875" style="931"/>
    <col min="13575" max="13575" width="11.6328125" style="931" customWidth="1"/>
    <col min="13576" max="13579" width="10.1796875" style="931"/>
    <col min="13580" max="13580" width="9" style="931" customWidth="1"/>
    <col min="13581" max="13581" width="8.90625" style="931" customWidth="1"/>
    <col min="13582" max="13824" width="10.1796875" style="931"/>
    <col min="13825" max="13825" width="7.36328125" style="931" customWidth="1"/>
    <col min="13826" max="13830" width="10.1796875" style="931"/>
    <col min="13831" max="13831" width="11.6328125" style="931" customWidth="1"/>
    <col min="13832" max="13835" width="10.1796875" style="931"/>
    <col min="13836" max="13836" width="9" style="931" customWidth="1"/>
    <col min="13837" max="13837" width="8.90625" style="931" customWidth="1"/>
    <col min="13838" max="14080" width="10.1796875" style="931"/>
    <col min="14081" max="14081" width="7.36328125" style="931" customWidth="1"/>
    <col min="14082" max="14086" width="10.1796875" style="931"/>
    <col min="14087" max="14087" width="11.6328125" style="931" customWidth="1"/>
    <col min="14088" max="14091" width="10.1796875" style="931"/>
    <col min="14092" max="14092" width="9" style="931" customWidth="1"/>
    <col min="14093" max="14093" width="8.90625" style="931" customWidth="1"/>
    <col min="14094" max="14336" width="10.1796875" style="931"/>
    <col min="14337" max="14337" width="7.36328125" style="931" customWidth="1"/>
    <col min="14338" max="14342" width="10.1796875" style="931"/>
    <col min="14343" max="14343" width="11.6328125" style="931" customWidth="1"/>
    <col min="14344" max="14347" width="10.1796875" style="931"/>
    <col min="14348" max="14348" width="9" style="931" customWidth="1"/>
    <col min="14349" max="14349" width="8.90625" style="931" customWidth="1"/>
    <col min="14350" max="14592" width="10.1796875" style="931"/>
    <col min="14593" max="14593" width="7.36328125" style="931" customWidth="1"/>
    <col min="14594" max="14598" width="10.1796875" style="931"/>
    <col min="14599" max="14599" width="11.6328125" style="931" customWidth="1"/>
    <col min="14600" max="14603" width="10.1796875" style="931"/>
    <col min="14604" max="14604" width="9" style="931" customWidth="1"/>
    <col min="14605" max="14605" width="8.90625" style="931" customWidth="1"/>
    <col min="14606" max="14848" width="10.1796875" style="931"/>
    <col min="14849" max="14849" width="7.36328125" style="931" customWidth="1"/>
    <col min="14850" max="14854" width="10.1796875" style="931"/>
    <col min="14855" max="14855" width="11.6328125" style="931" customWidth="1"/>
    <col min="14856" max="14859" width="10.1796875" style="931"/>
    <col min="14860" max="14860" width="9" style="931" customWidth="1"/>
    <col min="14861" max="14861" width="8.90625" style="931" customWidth="1"/>
    <col min="14862" max="15104" width="10.1796875" style="931"/>
    <col min="15105" max="15105" width="7.36328125" style="931" customWidth="1"/>
    <col min="15106" max="15110" width="10.1796875" style="931"/>
    <col min="15111" max="15111" width="11.6328125" style="931" customWidth="1"/>
    <col min="15112" max="15115" width="10.1796875" style="931"/>
    <col min="15116" max="15116" width="9" style="931" customWidth="1"/>
    <col min="15117" max="15117" width="8.90625" style="931" customWidth="1"/>
    <col min="15118" max="15360" width="10.1796875" style="931"/>
    <col min="15361" max="15361" width="7.36328125" style="931" customWidth="1"/>
    <col min="15362" max="15366" width="10.1796875" style="931"/>
    <col min="15367" max="15367" width="11.6328125" style="931" customWidth="1"/>
    <col min="15368" max="15371" width="10.1796875" style="931"/>
    <col min="15372" max="15372" width="9" style="931" customWidth="1"/>
    <col min="15373" max="15373" width="8.90625" style="931" customWidth="1"/>
    <col min="15374" max="15616" width="10.1796875" style="931"/>
    <col min="15617" max="15617" width="7.36328125" style="931" customWidth="1"/>
    <col min="15618" max="15622" width="10.1796875" style="931"/>
    <col min="15623" max="15623" width="11.6328125" style="931" customWidth="1"/>
    <col min="15624" max="15627" width="10.1796875" style="931"/>
    <col min="15628" max="15628" width="9" style="931" customWidth="1"/>
    <col min="15629" max="15629" width="8.90625" style="931" customWidth="1"/>
    <col min="15630" max="15872" width="10.1796875" style="931"/>
    <col min="15873" max="15873" width="7.36328125" style="931" customWidth="1"/>
    <col min="15874" max="15878" width="10.1796875" style="931"/>
    <col min="15879" max="15879" width="11.6328125" style="931" customWidth="1"/>
    <col min="15880" max="15883" width="10.1796875" style="931"/>
    <col min="15884" max="15884" width="9" style="931" customWidth="1"/>
    <col min="15885" max="15885" width="8.90625" style="931" customWidth="1"/>
    <col min="15886" max="16128" width="10.1796875" style="931"/>
    <col min="16129" max="16129" width="7.36328125" style="931" customWidth="1"/>
    <col min="16130" max="16134" width="10.1796875" style="931"/>
    <col min="16135" max="16135" width="11.6328125" style="931" customWidth="1"/>
    <col min="16136" max="16139" width="10.1796875" style="931"/>
    <col min="16140" max="16140" width="9" style="931" customWidth="1"/>
    <col min="16141" max="16141" width="8.90625" style="931" customWidth="1"/>
    <col min="16142" max="16384" width="10.1796875" style="931"/>
  </cols>
  <sheetData>
    <row r="5" spans="1:38" ht="15.6">
      <c r="G5" s="932" t="s">
        <v>819</v>
      </c>
      <c r="H5" s="932"/>
      <c r="J5" s="933"/>
    </row>
    <row r="6" spans="1:38" ht="15.6">
      <c r="G6" s="932"/>
      <c r="H6" s="932"/>
      <c r="J6" s="933"/>
    </row>
    <row r="7" spans="1:38" ht="17.399999999999999">
      <c r="A7" s="2369" t="str">
        <f>'[18]capcost(GST)'!E1</f>
        <v>S T E E L   A U T H O R I T Y   OF   I N D I A    L I M I T E D</v>
      </c>
      <c r="B7" s="2369"/>
      <c r="C7" s="2369"/>
      <c r="D7" s="2369"/>
      <c r="E7" s="2369"/>
      <c r="F7" s="2369"/>
      <c r="G7" s="2369"/>
      <c r="H7" s="932"/>
      <c r="J7" s="933"/>
    </row>
    <row r="8" spans="1:38" ht="17.399999999999999">
      <c r="A8" s="2370" t="str">
        <f>CC!E2</f>
        <v>BHILAI STEEL PLANT</v>
      </c>
      <c r="B8" s="2370"/>
      <c r="C8" s="2370"/>
      <c r="D8" s="2370"/>
      <c r="E8" s="2370"/>
      <c r="F8" s="2370"/>
      <c r="G8" s="2370"/>
      <c r="H8" s="932"/>
      <c r="J8" s="934"/>
    </row>
    <row r="9" spans="1:38" ht="24" customHeight="1">
      <c r="A9" s="2371" t="str">
        <f>CC!C3</f>
        <v>Extension of mixer bay and replacement of 02 nos mixer cranes 125+30t, span 28 m in SMS-2</v>
      </c>
      <c r="B9" s="2371"/>
      <c r="C9" s="2371"/>
      <c r="D9" s="2371"/>
      <c r="E9" s="2371"/>
      <c r="F9" s="2371"/>
      <c r="G9" s="2371"/>
      <c r="H9" s="932"/>
      <c r="J9" s="933"/>
    </row>
    <row r="10" spans="1:38" ht="21" customHeight="1">
      <c r="A10" s="2372" t="s">
        <v>820</v>
      </c>
      <c r="B10" s="2372"/>
      <c r="C10" s="2372"/>
      <c r="D10" s="2372"/>
      <c r="E10" s="2372"/>
      <c r="F10" s="2372"/>
      <c r="G10" s="2372"/>
    </row>
    <row r="11" spans="1:38" s="935" customFormat="1" ht="20.25" customHeight="1">
      <c r="F11" s="935" t="str">
        <f>CC!O3</f>
        <v>Base date: 3rd Qtr 2022</v>
      </c>
    </row>
    <row r="12" spans="1:38" s="935" customFormat="1" ht="22.5" customHeight="1">
      <c r="A12" s="936" t="s">
        <v>318</v>
      </c>
      <c r="B12" s="2373" t="s">
        <v>821</v>
      </c>
      <c r="C12" s="2374"/>
      <c r="D12" s="2374"/>
      <c r="E12" s="2375"/>
      <c r="F12" s="936" t="s">
        <v>198</v>
      </c>
      <c r="G12" s="936" t="s">
        <v>313</v>
      </c>
      <c r="H12" s="937"/>
      <c r="L12" s="968" t="s">
        <v>822</v>
      </c>
      <c r="M12" s="931"/>
      <c r="O12" s="969" t="s">
        <v>850</v>
      </c>
      <c r="V12" s="938"/>
      <c r="W12" s="939"/>
      <c r="Z12" s="939"/>
      <c r="AB12" s="938"/>
      <c r="AC12" s="939"/>
      <c r="AF12" s="939"/>
      <c r="AI12" s="935" t="s">
        <v>295</v>
      </c>
      <c r="AK12" s="935" t="s">
        <v>335</v>
      </c>
      <c r="AL12" s="939" t="e">
        <f>#REF!</f>
        <v>#REF!</v>
      </c>
    </row>
    <row r="13" spans="1:38" ht="39" customHeight="1">
      <c r="A13" s="940">
        <v>1</v>
      </c>
      <c r="B13" s="2366" t="s">
        <v>823</v>
      </c>
      <c r="C13" s="2367"/>
      <c r="D13" s="2367"/>
      <c r="E13" s="2368"/>
      <c r="F13" s="940" t="s">
        <v>41</v>
      </c>
      <c r="G13" s="941">
        <f>0.391*10^6</f>
        <v>391000</v>
      </c>
      <c r="L13" s="942" t="s">
        <v>542</v>
      </c>
      <c r="M13" s="943" t="s">
        <v>824</v>
      </c>
      <c r="O13" s="972">
        <v>44287</v>
      </c>
      <c r="P13" s="972">
        <v>44317</v>
      </c>
      <c r="Q13" s="972">
        <v>44348</v>
      </c>
      <c r="R13" s="972">
        <v>44378</v>
      </c>
      <c r="S13" s="972">
        <v>44409</v>
      </c>
      <c r="T13" s="972">
        <v>44440</v>
      </c>
      <c r="U13" s="972">
        <v>44470</v>
      </c>
      <c r="V13" s="972">
        <v>44501</v>
      </c>
      <c r="W13" s="972">
        <v>44531</v>
      </c>
      <c r="Z13" s="944"/>
      <c r="AB13" s="934"/>
      <c r="AC13" s="944"/>
      <c r="AF13" s="944"/>
      <c r="AI13" s="931" t="s">
        <v>825</v>
      </c>
      <c r="AK13" s="931" t="s">
        <v>335</v>
      </c>
      <c r="AL13" s="944">
        <v>8.7878353006035521</v>
      </c>
    </row>
    <row r="14" spans="1:38" ht="30.75" customHeight="1">
      <c r="A14" s="940">
        <v>2</v>
      </c>
      <c r="B14" s="2366" t="s">
        <v>826</v>
      </c>
      <c r="C14" s="2367"/>
      <c r="D14" s="2367"/>
      <c r="E14" s="2368"/>
      <c r="F14" s="940" t="s">
        <v>603</v>
      </c>
      <c r="G14" s="1083">
        <v>27547.782149546249</v>
      </c>
      <c r="H14" s="2380" t="s">
        <v>849</v>
      </c>
      <c r="I14" s="2380"/>
      <c r="J14" s="2380"/>
      <c r="K14" s="945"/>
      <c r="L14" s="946">
        <f>AVERAGE(O14:W14)</f>
        <v>35230.555555555555</v>
      </c>
      <c r="M14" s="947">
        <f>5*400</f>
        <v>2000</v>
      </c>
      <c r="N14" s="935"/>
      <c r="O14" s="970">
        <v>28750</v>
      </c>
      <c r="P14" s="970">
        <v>27000</v>
      </c>
      <c r="Q14" s="970">
        <v>27700</v>
      </c>
      <c r="R14" s="971">
        <v>27500</v>
      </c>
      <c r="S14" s="971">
        <v>29875</v>
      </c>
      <c r="T14" s="971">
        <v>41100</v>
      </c>
      <c r="U14" s="971">
        <v>49500</v>
      </c>
      <c r="V14" s="971">
        <v>46250</v>
      </c>
      <c r="W14" s="970">
        <v>39400</v>
      </c>
      <c r="Y14" s="944"/>
      <c r="Z14" s="944"/>
      <c r="AB14" s="934"/>
      <c r="AD14" s="944"/>
      <c r="AE14" s="944"/>
      <c r="AF14" s="944"/>
      <c r="AI14" s="931" t="s">
        <v>827</v>
      </c>
      <c r="AK14" s="931" t="s">
        <v>828</v>
      </c>
      <c r="AL14" s="944" t="e">
        <f>0.33*1.02*#REF!</f>
        <v>#REF!</v>
      </c>
    </row>
    <row r="15" spans="1:38" ht="50.25" customHeight="1">
      <c r="A15" s="940">
        <v>3</v>
      </c>
      <c r="B15" s="2381" t="s">
        <v>829</v>
      </c>
      <c r="C15" s="2382"/>
      <c r="D15" s="2382"/>
      <c r="E15" s="2383"/>
      <c r="F15" s="940" t="s">
        <v>603</v>
      </c>
      <c r="G15" s="941">
        <f>(L14+M14)*'Fin. Summary'!E24</f>
        <v>37230.555555555555</v>
      </c>
      <c r="H15" s="2380" t="s">
        <v>893</v>
      </c>
      <c r="I15" s="2380"/>
      <c r="J15" s="2380"/>
      <c r="K15" s="948"/>
      <c r="L15" s="935"/>
      <c r="P15" s="934"/>
      <c r="Q15" s="949"/>
      <c r="V15" s="934"/>
      <c r="Y15" s="944"/>
      <c r="Z15" s="944"/>
      <c r="AB15" s="934"/>
      <c r="AD15" s="944"/>
      <c r="AE15" s="944"/>
      <c r="AF15" s="944"/>
    </row>
    <row r="16" spans="1:38" ht="55.5" customHeight="1">
      <c r="A16" s="936" t="s">
        <v>93</v>
      </c>
      <c r="B16" s="2366" t="s">
        <v>830</v>
      </c>
      <c r="C16" s="2367"/>
      <c r="D16" s="2367"/>
      <c r="E16" s="2368"/>
      <c r="F16" s="936" t="s">
        <v>831</v>
      </c>
      <c r="G16" s="950">
        <f>G13*G15/10^7</f>
        <v>1455.7147222222222</v>
      </c>
      <c r="H16" s="944"/>
      <c r="V16" s="934"/>
      <c r="Y16" s="944"/>
      <c r="Z16" s="944"/>
      <c r="AB16" s="934"/>
      <c r="AD16" s="944"/>
      <c r="AE16" s="944"/>
      <c r="AF16" s="944"/>
    </row>
    <row r="17" spans="1:32" s="948" customFormat="1" ht="39" customHeight="1">
      <c r="A17" s="951" t="s">
        <v>94</v>
      </c>
      <c r="B17" s="2366" t="s">
        <v>832</v>
      </c>
      <c r="C17" s="2367"/>
      <c r="D17" s="2367"/>
      <c r="E17" s="2368"/>
      <c r="F17" s="936" t="s">
        <v>335</v>
      </c>
      <c r="G17" s="952">
        <f>G13*G14/10^7</f>
        <v>1077.1182820472584</v>
      </c>
      <c r="H17" s="953"/>
      <c r="J17" s="948">
        <f>CC!AU25/G18</f>
        <v>0.14269499435363436</v>
      </c>
      <c r="Y17" s="953"/>
      <c r="Z17" s="953"/>
      <c r="AD17" s="953"/>
      <c r="AE17" s="953"/>
      <c r="AF17" s="953"/>
    </row>
    <row r="18" spans="1:32" s="935" customFormat="1" ht="36" customHeight="1">
      <c r="A18" s="951" t="s">
        <v>95</v>
      </c>
      <c r="B18" s="2376" t="s">
        <v>851</v>
      </c>
      <c r="C18" s="2377"/>
      <c r="D18" s="2377"/>
      <c r="E18" s="2378"/>
      <c r="F18" s="954" t="s">
        <v>335</v>
      </c>
      <c r="G18" s="1084">
        <f>(G16-G17)*'Fin. Summary'!E23</f>
        <v>378.59644017496385</v>
      </c>
      <c r="H18" s="955"/>
      <c r="J18" s="939"/>
      <c r="V18" s="938"/>
      <c r="Y18" s="939"/>
      <c r="Z18" s="939"/>
      <c r="AB18" s="938"/>
      <c r="AD18" s="939"/>
      <c r="AE18" s="939"/>
      <c r="AF18" s="939"/>
    </row>
    <row r="19" spans="1:32">
      <c r="B19" s="956"/>
      <c r="C19" s="956"/>
      <c r="D19" s="956"/>
      <c r="E19" s="956"/>
      <c r="I19" s="944"/>
      <c r="J19" s="944"/>
      <c r="V19" s="934"/>
      <c r="Y19" s="944"/>
      <c r="Z19" s="944"/>
      <c r="AB19" s="934"/>
      <c r="AD19" s="944"/>
      <c r="AE19" s="944"/>
      <c r="AF19" s="944"/>
    </row>
    <row r="20" spans="1:32">
      <c r="A20" s="957" t="s">
        <v>833</v>
      </c>
      <c r="B20" s="957" t="s">
        <v>658</v>
      </c>
      <c r="C20" s="958">
        <v>648.04</v>
      </c>
      <c r="D20" s="958" t="s">
        <v>834</v>
      </c>
      <c r="E20" s="958"/>
      <c r="F20" s="957"/>
      <c r="G20" s="957"/>
      <c r="H20" s="944"/>
      <c r="I20" s="944"/>
      <c r="J20" s="944"/>
      <c r="V20" s="934"/>
      <c r="Y20" s="944"/>
      <c r="Z20" s="944"/>
      <c r="AB20" s="934"/>
      <c r="AD20" s="944"/>
      <c r="AE20" s="944"/>
      <c r="AF20" s="944"/>
    </row>
    <row r="21" spans="1:32">
      <c r="A21" s="957" t="s">
        <v>833</v>
      </c>
      <c r="B21" s="957" t="s">
        <v>653</v>
      </c>
      <c r="C21" s="959">
        <f>36000*0.23884*1000/10^6*C20</f>
        <v>5572.0034495999998</v>
      </c>
      <c r="D21" s="960" t="s">
        <v>835</v>
      </c>
      <c r="E21" s="957"/>
      <c r="F21" s="957"/>
      <c r="G21" s="957"/>
      <c r="H21" s="944"/>
      <c r="V21" s="934"/>
      <c r="Y21" s="944"/>
      <c r="Z21" s="944"/>
      <c r="AB21" s="934"/>
      <c r="AD21" s="944"/>
      <c r="AE21" s="944"/>
      <c r="AF21" s="944"/>
    </row>
    <row r="22" spans="1:32">
      <c r="A22" s="957" t="s">
        <v>836</v>
      </c>
      <c r="B22" s="957" t="s">
        <v>831</v>
      </c>
      <c r="C22" s="961">
        <f>F28*F23*C20/10^6/10^7</f>
        <v>55.79188917119999</v>
      </c>
      <c r="D22" s="960" t="s">
        <v>837</v>
      </c>
      <c r="E22" s="957"/>
      <c r="F22" s="957"/>
      <c r="G22" s="957"/>
      <c r="H22" s="944"/>
      <c r="V22" s="934"/>
      <c r="Y22" s="944"/>
      <c r="Z22" s="944"/>
      <c r="AB22" s="934"/>
      <c r="AD22" s="944"/>
      <c r="AE22" s="944"/>
      <c r="AF22" s="944"/>
    </row>
    <row r="23" spans="1:32">
      <c r="A23" s="931" t="s">
        <v>838</v>
      </c>
      <c r="E23" s="931" t="s">
        <v>839</v>
      </c>
      <c r="F23" s="931">
        <f>4300*0+4200</f>
        <v>4200</v>
      </c>
    </row>
    <row r="24" spans="1:32">
      <c r="F24" s="931" t="s">
        <v>840</v>
      </c>
    </row>
    <row r="25" spans="1:32">
      <c r="A25" s="931" t="s">
        <v>841</v>
      </c>
      <c r="D25" s="931">
        <f>19.5*90</f>
        <v>1755</v>
      </c>
      <c r="E25" s="931" t="s">
        <v>842</v>
      </c>
      <c r="F25" s="962">
        <f>D25*365</f>
        <v>640575</v>
      </c>
      <c r="G25" s="931" t="s">
        <v>41</v>
      </c>
      <c r="H25" s="2379" t="s">
        <v>843</v>
      </c>
      <c r="I25" s="2379"/>
      <c r="J25" s="2379"/>
      <c r="K25" s="931">
        <f>20.2*90</f>
        <v>1818</v>
      </c>
    </row>
    <row r="26" spans="1:32">
      <c r="A26" s="931" t="s">
        <v>844</v>
      </c>
      <c r="D26" s="963">
        <v>0.77</v>
      </c>
      <c r="F26" s="964">
        <f>D26*F25</f>
        <v>493242.75</v>
      </c>
      <c r="G26" s="931" t="s">
        <v>41</v>
      </c>
      <c r="H26" s="2379"/>
      <c r="I26" s="2379"/>
      <c r="J26" s="2379"/>
    </row>
    <row r="27" spans="1:32">
      <c r="A27" s="931" t="s">
        <v>845</v>
      </c>
      <c r="D27" s="965">
        <v>0.69</v>
      </c>
      <c r="F27" s="964">
        <f>D27*F25</f>
        <v>441996.74999999994</v>
      </c>
      <c r="G27" s="931" t="s">
        <v>41</v>
      </c>
      <c r="H27" s="2379"/>
      <c r="I27" s="2379"/>
      <c r="J27" s="2379"/>
    </row>
    <row r="28" spans="1:32" s="935" customFormat="1" ht="21.75" customHeight="1">
      <c r="A28" s="935" t="s">
        <v>846</v>
      </c>
      <c r="D28" s="935">
        <f>320*D25</f>
        <v>561600</v>
      </c>
      <c r="E28" s="935" t="s">
        <v>847</v>
      </c>
      <c r="F28" s="966">
        <f>+D28*365</f>
        <v>204984000</v>
      </c>
      <c r="G28" s="935" t="s">
        <v>848</v>
      </c>
      <c r="H28" s="2379"/>
      <c r="I28" s="2379"/>
      <c r="J28" s="2379"/>
    </row>
    <row r="29" spans="1:32">
      <c r="G29" s="962"/>
      <c r="H29" s="962"/>
    </row>
    <row r="30" spans="1:32">
      <c r="G30" s="967"/>
      <c r="H30" s="967"/>
    </row>
  </sheetData>
  <mergeCells count="14">
    <mergeCell ref="B18:E18"/>
    <mergeCell ref="H25:J28"/>
    <mergeCell ref="B14:E14"/>
    <mergeCell ref="H14:J14"/>
    <mergeCell ref="B15:E15"/>
    <mergeCell ref="H15:J15"/>
    <mergeCell ref="B16:E16"/>
    <mergeCell ref="B17:E17"/>
    <mergeCell ref="B13:E13"/>
    <mergeCell ref="A7:G7"/>
    <mergeCell ref="A8:G8"/>
    <mergeCell ref="A9:G9"/>
    <mergeCell ref="A10:G10"/>
    <mergeCell ref="B12:E12"/>
  </mergeCells>
  <pageMargins left="0.51181102362204722" right="0.31496062992125984" top="0.74803149606299213" bottom="0.74803149606299213" header="0.31496062992125984" footer="0.31496062992125984"/>
  <pageSetup paperSize="9" scale="6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5:BL3684"/>
  <sheetViews>
    <sheetView showZeros="0" topLeftCell="A10" workbookViewId="0">
      <selection activeCell="H24" sqref="H24"/>
    </sheetView>
  </sheetViews>
  <sheetFormatPr defaultRowHeight="15"/>
  <cols>
    <col min="1" max="1" width="8.90625" style="973"/>
    <col min="2" max="2" width="14.6328125" style="973" customWidth="1"/>
    <col min="3" max="3" width="10" style="973" bestFit="1" customWidth="1"/>
    <col min="4" max="7" width="8.90625" style="973"/>
    <col min="8" max="8" width="10" style="973" customWidth="1"/>
    <col min="9" max="10" width="10.1796875" style="973" customWidth="1"/>
    <col min="11" max="12" width="12" style="973" customWidth="1"/>
    <col min="13" max="13" width="8.6328125" style="973" customWidth="1"/>
    <col min="14" max="14" width="30.453125" style="973" customWidth="1"/>
    <col min="15" max="15" width="9.6328125" style="973" customWidth="1"/>
    <col min="16" max="19" width="8.81640625" style="973" customWidth="1"/>
    <col min="20" max="36" width="10.36328125" style="973" customWidth="1"/>
    <col min="37" max="37" width="8.90625" style="973"/>
    <col min="38" max="38" width="12.36328125" style="973" customWidth="1"/>
    <col min="39" max="39" width="13.08984375" style="973" customWidth="1"/>
    <col min="40" max="40" width="9.08984375" style="973" customWidth="1"/>
    <col min="41" max="257" width="8.90625" style="973"/>
    <col min="258" max="258" width="14.6328125" style="973" customWidth="1"/>
    <col min="259" max="259" width="10" style="973" bestFit="1" customWidth="1"/>
    <col min="260" max="263" width="8.90625" style="973"/>
    <col min="264" max="264" width="10" style="973" customWidth="1"/>
    <col min="265" max="266" width="10.1796875" style="973" customWidth="1"/>
    <col min="267" max="268" width="12" style="973" customWidth="1"/>
    <col min="269" max="269" width="8.6328125" style="973" customWidth="1"/>
    <col min="270" max="270" width="30.453125" style="973" customWidth="1"/>
    <col min="271" max="271" width="9.6328125" style="973" customWidth="1"/>
    <col min="272" max="275" width="8.81640625" style="973" customWidth="1"/>
    <col min="276" max="292" width="10.36328125" style="973" customWidth="1"/>
    <col min="293" max="293" width="8.90625" style="973"/>
    <col min="294" max="294" width="12.36328125" style="973" customWidth="1"/>
    <col min="295" max="295" width="13.08984375" style="973" customWidth="1"/>
    <col min="296" max="296" width="9.08984375" style="973" customWidth="1"/>
    <col min="297" max="513" width="8.90625" style="973"/>
    <col min="514" max="514" width="14.6328125" style="973" customWidth="1"/>
    <col min="515" max="515" width="10" style="973" bestFit="1" customWidth="1"/>
    <col min="516" max="519" width="8.90625" style="973"/>
    <col min="520" max="520" width="10" style="973" customWidth="1"/>
    <col min="521" max="522" width="10.1796875" style="973" customWidth="1"/>
    <col min="523" max="524" width="12" style="973" customWidth="1"/>
    <col min="525" max="525" width="8.6328125" style="973" customWidth="1"/>
    <col min="526" max="526" width="30.453125" style="973" customWidth="1"/>
    <col min="527" max="527" width="9.6328125" style="973" customWidth="1"/>
    <col min="528" max="531" width="8.81640625" style="973" customWidth="1"/>
    <col min="532" max="548" width="10.36328125" style="973" customWidth="1"/>
    <col min="549" max="549" width="8.90625" style="973"/>
    <col min="550" max="550" width="12.36328125" style="973" customWidth="1"/>
    <col min="551" max="551" width="13.08984375" style="973" customWidth="1"/>
    <col min="552" max="552" width="9.08984375" style="973" customWidth="1"/>
    <col min="553" max="769" width="8.90625" style="973"/>
    <col min="770" max="770" width="14.6328125" style="973" customWidth="1"/>
    <col min="771" max="771" width="10" style="973" bestFit="1" customWidth="1"/>
    <col min="772" max="775" width="8.90625" style="973"/>
    <col min="776" max="776" width="10" style="973" customWidth="1"/>
    <col min="777" max="778" width="10.1796875" style="973" customWidth="1"/>
    <col min="779" max="780" width="12" style="973" customWidth="1"/>
    <col min="781" max="781" width="8.6328125" style="973" customWidth="1"/>
    <col min="782" max="782" width="30.453125" style="973" customWidth="1"/>
    <col min="783" max="783" width="9.6328125" style="973" customWidth="1"/>
    <col min="784" max="787" width="8.81640625" style="973" customWidth="1"/>
    <col min="788" max="804" width="10.36328125" style="973" customWidth="1"/>
    <col min="805" max="805" width="8.90625" style="973"/>
    <col min="806" max="806" width="12.36328125" style="973" customWidth="1"/>
    <col min="807" max="807" width="13.08984375" style="973" customWidth="1"/>
    <col min="808" max="808" width="9.08984375" style="973" customWidth="1"/>
    <col min="809" max="1025" width="8.90625" style="973"/>
    <col min="1026" max="1026" width="14.6328125" style="973" customWidth="1"/>
    <col min="1027" max="1027" width="10" style="973" bestFit="1" customWidth="1"/>
    <col min="1028" max="1031" width="8.90625" style="973"/>
    <col min="1032" max="1032" width="10" style="973" customWidth="1"/>
    <col min="1033" max="1034" width="10.1796875" style="973" customWidth="1"/>
    <col min="1035" max="1036" width="12" style="973" customWidth="1"/>
    <col min="1037" max="1037" width="8.6328125" style="973" customWidth="1"/>
    <col min="1038" max="1038" width="30.453125" style="973" customWidth="1"/>
    <col min="1039" max="1039" width="9.6328125" style="973" customWidth="1"/>
    <col min="1040" max="1043" width="8.81640625" style="973" customWidth="1"/>
    <col min="1044" max="1060" width="10.36328125" style="973" customWidth="1"/>
    <col min="1061" max="1061" width="8.90625" style="973"/>
    <col min="1062" max="1062" width="12.36328125" style="973" customWidth="1"/>
    <col min="1063" max="1063" width="13.08984375" style="973" customWidth="1"/>
    <col min="1064" max="1064" width="9.08984375" style="973" customWidth="1"/>
    <col min="1065" max="1281" width="8.90625" style="973"/>
    <col min="1282" max="1282" width="14.6328125" style="973" customWidth="1"/>
    <col min="1283" max="1283" width="10" style="973" bestFit="1" customWidth="1"/>
    <col min="1284" max="1287" width="8.90625" style="973"/>
    <col min="1288" max="1288" width="10" style="973" customWidth="1"/>
    <col min="1289" max="1290" width="10.1796875" style="973" customWidth="1"/>
    <col min="1291" max="1292" width="12" style="973" customWidth="1"/>
    <col min="1293" max="1293" width="8.6328125" style="973" customWidth="1"/>
    <col min="1294" max="1294" width="30.453125" style="973" customWidth="1"/>
    <col min="1295" max="1295" width="9.6328125" style="973" customWidth="1"/>
    <col min="1296" max="1299" width="8.81640625" style="973" customWidth="1"/>
    <col min="1300" max="1316" width="10.36328125" style="973" customWidth="1"/>
    <col min="1317" max="1317" width="8.90625" style="973"/>
    <col min="1318" max="1318" width="12.36328125" style="973" customWidth="1"/>
    <col min="1319" max="1319" width="13.08984375" style="973" customWidth="1"/>
    <col min="1320" max="1320" width="9.08984375" style="973" customWidth="1"/>
    <col min="1321" max="1537" width="8.90625" style="973"/>
    <col min="1538" max="1538" width="14.6328125" style="973" customWidth="1"/>
    <col min="1539" max="1539" width="10" style="973" bestFit="1" customWidth="1"/>
    <col min="1540" max="1543" width="8.90625" style="973"/>
    <col min="1544" max="1544" width="10" style="973" customWidth="1"/>
    <col min="1545" max="1546" width="10.1796875" style="973" customWidth="1"/>
    <col min="1547" max="1548" width="12" style="973" customWidth="1"/>
    <col min="1549" max="1549" width="8.6328125" style="973" customWidth="1"/>
    <col min="1550" max="1550" width="30.453125" style="973" customWidth="1"/>
    <col min="1551" max="1551" width="9.6328125" style="973" customWidth="1"/>
    <col min="1552" max="1555" width="8.81640625" style="973" customWidth="1"/>
    <col min="1556" max="1572" width="10.36328125" style="973" customWidth="1"/>
    <col min="1573" max="1573" width="8.90625" style="973"/>
    <col min="1574" max="1574" width="12.36328125" style="973" customWidth="1"/>
    <col min="1575" max="1575" width="13.08984375" style="973" customWidth="1"/>
    <col min="1576" max="1576" width="9.08984375" style="973" customWidth="1"/>
    <col min="1577" max="1793" width="8.90625" style="973"/>
    <col min="1794" max="1794" width="14.6328125" style="973" customWidth="1"/>
    <col min="1795" max="1795" width="10" style="973" bestFit="1" customWidth="1"/>
    <col min="1796" max="1799" width="8.90625" style="973"/>
    <col min="1800" max="1800" width="10" style="973" customWidth="1"/>
    <col min="1801" max="1802" width="10.1796875" style="973" customWidth="1"/>
    <col min="1803" max="1804" width="12" style="973" customWidth="1"/>
    <col min="1805" max="1805" width="8.6328125" style="973" customWidth="1"/>
    <col min="1806" max="1806" width="30.453125" style="973" customWidth="1"/>
    <col min="1807" max="1807" width="9.6328125" style="973" customWidth="1"/>
    <col min="1808" max="1811" width="8.81640625" style="973" customWidth="1"/>
    <col min="1812" max="1828" width="10.36328125" style="973" customWidth="1"/>
    <col min="1829" max="1829" width="8.90625" style="973"/>
    <col min="1830" max="1830" width="12.36328125" style="973" customWidth="1"/>
    <col min="1831" max="1831" width="13.08984375" style="973" customWidth="1"/>
    <col min="1832" max="1832" width="9.08984375" style="973" customWidth="1"/>
    <col min="1833" max="2049" width="8.90625" style="973"/>
    <col min="2050" max="2050" width="14.6328125" style="973" customWidth="1"/>
    <col min="2051" max="2051" width="10" style="973" bestFit="1" customWidth="1"/>
    <col min="2052" max="2055" width="8.90625" style="973"/>
    <col min="2056" max="2056" width="10" style="973" customWidth="1"/>
    <col min="2057" max="2058" width="10.1796875" style="973" customWidth="1"/>
    <col min="2059" max="2060" width="12" style="973" customWidth="1"/>
    <col min="2061" max="2061" width="8.6328125" style="973" customWidth="1"/>
    <col min="2062" max="2062" width="30.453125" style="973" customWidth="1"/>
    <col min="2063" max="2063" width="9.6328125" style="973" customWidth="1"/>
    <col min="2064" max="2067" width="8.81640625" style="973" customWidth="1"/>
    <col min="2068" max="2084" width="10.36328125" style="973" customWidth="1"/>
    <col min="2085" max="2085" width="8.90625" style="973"/>
    <col min="2086" max="2086" width="12.36328125" style="973" customWidth="1"/>
    <col min="2087" max="2087" width="13.08984375" style="973" customWidth="1"/>
    <col min="2088" max="2088" width="9.08984375" style="973" customWidth="1"/>
    <col min="2089" max="2305" width="8.90625" style="973"/>
    <col min="2306" max="2306" width="14.6328125" style="973" customWidth="1"/>
    <col min="2307" max="2307" width="10" style="973" bestFit="1" customWidth="1"/>
    <col min="2308" max="2311" width="8.90625" style="973"/>
    <col min="2312" max="2312" width="10" style="973" customWidth="1"/>
    <col min="2313" max="2314" width="10.1796875" style="973" customWidth="1"/>
    <col min="2315" max="2316" width="12" style="973" customWidth="1"/>
    <col min="2317" max="2317" width="8.6328125" style="973" customWidth="1"/>
    <col min="2318" max="2318" width="30.453125" style="973" customWidth="1"/>
    <col min="2319" max="2319" width="9.6328125" style="973" customWidth="1"/>
    <col min="2320" max="2323" width="8.81640625" style="973" customWidth="1"/>
    <col min="2324" max="2340" width="10.36328125" style="973" customWidth="1"/>
    <col min="2341" max="2341" width="8.90625" style="973"/>
    <col min="2342" max="2342" width="12.36328125" style="973" customWidth="1"/>
    <col min="2343" max="2343" width="13.08984375" style="973" customWidth="1"/>
    <col min="2344" max="2344" width="9.08984375" style="973" customWidth="1"/>
    <col min="2345" max="2561" width="8.90625" style="973"/>
    <col min="2562" max="2562" width="14.6328125" style="973" customWidth="1"/>
    <col min="2563" max="2563" width="10" style="973" bestFit="1" customWidth="1"/>
    <col min="2564" max="2567" width="8.90625" style="973"/>
    <col min="2568" max="2568" width="10" style="973" customWidth="1"/>
    <col min="2569" max="2570" width="10.1796875" style="973" customWidth="1"/>
    <col min="2571" max="2572" width="12" style="973" customWidth="1"/>
    <col min="2573" max="2573" width="8.6328125" style="973" customWidth="1"/>
    <col min="2574" max="2574" width="30.453125" style="973" customWidth="1"/>
    <col min="2575" max="2575" width="9.6328125" style="973" customWidth="1"/>
    <col min="2576" max="2579" width="8.81640625" style="973" customWidth="1"/>
    <col min="2580" max="2596" width="10.36328125" style="973" customWidth="1"/>
    <col min="2597" max="2597" width="8.90625" style="973"/>
    <col min="2598" max="2598" width="12.36328125" style="973" customWidth="1"/>
    <col min="2599" max="2599" width="13.08984375" style="973" customWidth="1"/>
    <col min="2600" max="2600" width="9.08984375" style="973" customWidth="1"/>
    <col min="2601" max="2817" width="8.90625" style="973"/>
    <col min="2818" max="2818" width="14.6328125" style="973" customWidth="1"/>
    <col min="2819" max="2819" width="10" style="973" bestFit="1" customWidth="1"/>
    <col min="2820" max="2823" width="8.90625" style="973"/>
    <col min="2824" max="2824" width="10" style="973" customWidth="1"/>
    <col min="2825" max="2826" width="10.1796875" style="973" customWidth="1"/>
    <col min="2827" max="2828" width="12" style="973" customWidth="1"/>
    <col min="2829" max="2829" width="8.6328125" style="973" customWidth="1"/>
    <col min="2830" max="2830" width="30.453125" style="973" customWidth="1"/>
    <col min="2831" max="2831" width="9.6328125" style="973" customWidth="1"/>
    <col min="2832" max="2835" width="8.81640625" style="973" customWidth="1"/>
    <col min="2836" max="2852" width="10.36328125" style="973" customWidth="1"/>
    <col min="2853" max="2853" width="8.90625" style="973"/>
    <col min="2854" max="2854" width="12.36328125" style="973" customWidth="1"/>
    <col min="2855" max="2855" width="13.08984375" style="973" customWidth="1"/>
    <col min="2856" max="2856" width="9.08984375" style="973" customWidth="1"/>
    <col min="2857" max="3073" width="8.90625" style="973"/>
    <col min="3074" max="3074" width="14.6328125" style="973" customWidth="1"/>
    <col min="3075" max="3075" width="10" style="973" bestFit="1" customWidth="1"/>
    <col min="3076" max="3079" width="8.90625" style="973"/>
    <col min="3080" max="3080" width="10" style="973" customWidth="1"/>
    <col min="3081" max="3082" width="10.1796875" style="973" customWidth="1"/>
    <col min="3083" max="3084" width="12" style="973" customWidth="1"/>
    <col min="3085" max="3085" width="8.6328125" style="973" customWidth="1"/>
    <col min="3086" max="3086" width="30.453125" style="973" customWidth="1"/>
    <col min="3087" max="3087" width="9.6328125" style="973" customWidth="1"/>
    <col min="3088" max="3091" width="8.81640625" style="973" customWidth="1"/>
    <col min="3092" max="3108" width="10.36328125" style="973" customWidth="1"/>
    <col min="3109" max="3109" width="8.90625" style="973"/>
    <col min="3110" max="3110" width="12.36328125" style="973" customWidth="1"/>
    <col min="3111" max="3111" width="13.08984375" style="973" customWidth="1"/>
    <col min="3112" max="3112" width="9.08984375" style="973" customWidth="1"/>
    <col min="3113" max="3329" width="8.90625" style="973"/>
    <col min="3330" max="3330" width="14.6328125" style="973" customWidth="1"/>
    <col min="3331" max="3331" width="10" style="973" bestFit="1" customWidth="1"/>
    <col min="3332" max="3335" width="8.90625" style="973"/>
    <col min="3336" max="3336" width="10" style="973" customWidth="1"/>
    <col min="3337" max="3338" width="10.1796875" style="973" customWidth="1"/>
    <col min="3339" max="3340" width="12" style="973" customWidth="1"/>
    <col min="3341" max="3341" width="8.6328125" style="973" customWidth="1"/>
    <col min="3342" max="3342" width="30.453125" style="973" customWidth="1"/>
    <col min="3343" max="3343" width="9.6328125" style="973" customWidth="1"/>
    <col min="3344" max="3347" width="8.81640625" style="973" customWidth="1"/>
    <col min="3348" max="3364" width="10.36328125" style="973" customWidth="1"/>
    <col min="3365" max="3365" width="8.90625" style="973"/>
    <col min="3366" max="3366" width="12.36328125" style="973" customWidth="1"/>
    <col min="3367" max="3367" width="13.08984375" style="973" customWidth="1"/>
    <col min="3368" max="3368" width="9.08984375" style="973" customWidth="1"/>
    <col min="3369" max="3585" width="8.90625" style="973"/>
    <col min="3586" max="3586" width="14.6328125" style="973" customWidth="1"/>
    <col min="3587" max="3587" width="10" style="973" bestFit="1" customWidth="1"/>
    <col min="3588" max="3591" width="8.90625" style="973"/>
    <col min="3592" max="3592" width="10" style="973" customWidth="1"/>
    <col min="3593" max="3594" width="10.1796875" style="973" customWidth="1"/>
    <col min="3595" max="3596" width="12" style="973" customWidth="1"/>
    <col min="3597" max="3597" width="8.6328125" style="973" customWidth="1"/>
    <col min="3598" max="3598" width="30.453125" style="973" customWidth="1"/>
    <col min="3599" max="3599" width="9.6328125" style="973" customWidth="1"/>
    <col min="3600" max="3603" width="8.81640625" style="973" customWidth="1"/>
    <col min="3604" max="3620" width="10.36328125" style="973" customWidth="1"/>
    <col min="3621" max="3621" width="8.90625" style="973"/>
    <col min="3622" max="3622" width="12.36328125" style="973" customWidth="1"/>
    <col min="3623" max="3623" width="13.08984375" style="973" customWidth="1"/>
    <col min="3624" max="3624" width="9.08984375" style="973" customWidth="1"/>
    <col min="3625" max="3841" width="8.90625" style="973"/>
    <col min="3842" max="3842" width="14.6328125" style="973" customWidth="1"/>
    <col min="3843" max="3843" width="10" style="973" bestFit="1" customWidth="1"/>
    <col min="3844" max="3847" width="8.90625" style="973"/>
    <col min="3848" max="3848" width="10" style="973" customWidth="1"/>
    <col min="3849" max="3850" width="10.1796875" style="973" customWidth="1"/>
    <col min="3851" max="3852" width="12" style="973" customWidth="1"/>
    <col min="3853" max="3853" width="8.6328125" style="973" customWidth="1"/>
    <col min="3854" max="3854" width="30.453125" style="973" customWidth="1"/>
    <col min="3855" max="3855" width="9.6328125" style="973" customWidth="1"/>
    <col min="3856" max="3859" width="8.81640625" style="973" customWidth="1"/>
    <col min="3860" max="3876" width="10.36328125" style="973" customWidth="1"/>
    <col min="3877" max="3877" width="8.90625" style="973"/>
    <col min="3878" max="3878" width="12.36328125" style="973" customWidth="1"/>
    <col min="3879" max="3879" width="13.08984375" style="973" customWidth="1"/>
    <col min="3880" max="3880" width="9.08984375" style="973" customWidth="1"/>
    <col min="3881" max="4097" width="8.90625" style="973"/>
    <col min="4098" max="4098" width="14.6328125" style="973" customWidth="1"/>
    <col min="4099" max="4099" width="10" style="973" bestFit="1" customWidth="1"/>
    <col min="4100" max="4103" width="8.90625" style="973"/>
    <col min="4104" max="4104" width="10" style="973" customWidth="1"/>
    <col min="4105" max="4106" width="10.1796875" style="973" customWidth="1"/>
    <col min="4107" max="4108" width="12" style="973" customWidth="1"/>
    <col min="4109" max="4109" width="8.6328125" style="973" customWidth="1"/>
    <col min="4110" max="4110" width="30.453125" style="973" customWidth="1"/>
    <col min="4111" max="4111" width="9.6328125" style="973" customWidth="1"/>
    <col min="4112" max="4115" width="8.81640625" style="973" customWidth="1"/>
    <col min="4116" max="4132" width="10.36328125" style="973" customWidth="1"/>
    <col min="4133" max="4133" width="8.90625" style="973"/>
    <col min="4134" max="4134" width="12.36328125" style="973" customWidth="1"/>
    <col min="4135" max="4135" width="13.08984375" style="973" customWidth="1"/>
    <col min="4136" max="4136" width="9.08984375" style="973" customWidth="1"/>
    <col min="4137" max="4353" width="8.90625" style="973"/>
    <col min="4354" max="4354" width="14.6328125" style="973" customWidth="1"/>
    <col min="4355" max="4355" width="10" style="973" bestFit="1" customWidth="1"/>
    <col min="4356" max="4359" width="8.90625" style="973"/>
    <col min="4360" max="4360" width="10" style="973" customWidth="1"/>
    <col min="4361" max="4362" width="10.1796875" style="973" customWidth="1"/>
    <col min="4363" max="4364" width="12" style="973" customWidth="1"/>
    <col min="4365" max="4365" width="8.6328125" style="973" customWidth="1"/>
    <col min="4366" max="4366" width="30.453125" style="973" customWidth="1"/>
    <col min="4367" max="4367" width="9.6328125" style="973" customWidth="1"/>
    <col min="4368" max="4371" width="8.81640625" style="973" customWidth="1"/>
    <col min="4372" max="4388" width="10.36328125" style="973" customWidth="1"/>
    <col min="4389" max="4389" width="8.90625" style="973"/>
    <col min="4390" max="4390" width="12.36328125" style="973" customWidth="1"/>
    <col min="4391" max="4391" width="13.08984375" style="973" customWidth="1"/>
    <col min="4392" max="4392" width="9.08984375" style="973" customWidth="1"/>
    <col min="4393" max="4609" width="8.90625" style="973"/>
    <col min="4610" max="4610" width="14.6328125" style="973" customWidth="1"/>
    <col min="4611" max="4611" width="10" style="973" bestFit="1" customWidth="1"/>
    <col min="4612" max="4615" width="8.90625" style="973"/>
    <col min="4616" max="4616" width="10" style="973" customWidth="1"/>
    <col min="4617" max="4618" width="10.1796875" style="973" customWidth="1"/>
    <col min="4619" max="4620" width="12" style="973" customWidth="1"/>
    <col min="4621" max="4621" width="8.6328125" style="973" customWidth="1"/>
    <col min="4622" max="4622" width="30.453125" style="973" customWidth="1"/>
    <col min="4623" max="4623" width="9.6328125" style="973" customWidth="1"/>
    <col min="4624" max="4627" width="8.81640625" style="973" customWidth="1"/>
    <col min="4628" max="4644" width="10.36328125" style="973" customWidth="1"/>
    <col min="4645" max="4645" width="8.90625" style="973"/>
    <col min="4646" max="4646" width="12.36328125" style="973" customWidth="1"/>
    <col min="4647" max="4647" width="13.08984375" style="973" customWidth="1"/>
    <col min="4648" max="4648" width="9.08984375" style="973" customWidth="1"/>
    <col min="4649" max="4865" width="8.90625" style="973"/>
    <col min="4866" max="4866" width="14.6328125" style="973" customWidth="1"/>
    <col min="4867" max="4867" width="10" style="973" bestFit="1" customWidth="1"/>
    <col min="4868" max="4871" width="8.90625" style="973"/>
    <col min="4872" max="4872" width="10" style="973" customWidth="1"/>
    <col min="4873" max="4874" width="10.1796875" style="973" customWidth="1"/>
    <col min="4875" max="4876" width="12" style="973" customWidth="1"/>
    <col min="4877" max="4877" width="8.6328125" style="973" customWidth="1"/>
    <col min="4878" max="4878" width="30.453125" style="973" customWidth="1"/>
    <col min="4879" max="4879" width="9.6328125" style="973" customWidth="1"/>
    <col min="4880" max="4883" width="8.81640625" style="973" customWidth="1"/>
    <col min="4884" max="4900" width="10.36328125" style="973" customWidth="1"/>
    <col min="4901" max="4901" width="8.90625" style="973"/>
    <col min="4902" max="4902" width="12.36328125" style="973" customWidth="1"/>
    <col min="4903" max="4903" width="13.08984375" style="973" customWidth="1"/>
    <col min="4904" max="4904" width="9.08984375" style="973" customWidth="1"/>
    <col min="4905" max="5121" width="8.90625" style="973"/>
    <col min="5122" max="5122" width="14.6328125" style="973" customWidth="1"/>
    <col min="5123" max="5123" width="10" style="973" bestFit="1" customWidth="1"/>
    <col min="5124" max="5127" width="8.90625" style="973"/>
    <col min="5128" max="5128" width="10" style="973" customWidth="1"/>
    <col min="5129" max="5130" width="10.1796875" style="973" customWidth="1"/>
    <col min="5131" max="5132" width="12" style="973" customWidth="1"/>
    <col min="5133" max="5133" width="8.6328125" style="973" customWidth="1"/>
    <col min="5134" max="5134" width="30.453125" style="973" customWidth="1"/>
    <col min="5135" max="5135" width="9.6328125" style="973" customWidth="1"/>
    <col min="5136" max="5139" width="8.81640625" style="973" customWidth="1"/>
    <col min="5140" max="5156" width="10.36328125" style="973" customWidth="1"/>
    <col min="5157" max="5157" width="8.90625" style="973"/>
    <col min="5158" max="5158" width="12.36328125" style="973" customWidth="1"/>
    <col min="5159" max="5159" width="13.08984375" style="973" customWidth="1"/>
    <col min="5160" max="5160" width="9.08984375" style="973" customWidth="1"/>
    <col min="5161" max="5377" width="8.90625" style="973"/>
    <col min="5378" max="5378" width="14.6328125" style="973" customWidth="1"/>
    <col min="5379" max="5379" width="10" style="973" bestFit="1" customWidth="1"/>
    <col min="5380" max="5383" width="8.90625" style="973"/>
    <col min="5384" max="5384" width="10" style="973" customWidth="1"/>
    <col min="5385" max="5386" width="10.1796875" style="973" customWidth="1"/>
    <col min="5387" max="5388" width="12" style="973" customWidth="1"/>
    <col min="5389" max="5389" width="8.6328125" style="973" customWidth="1"/>
    <col min="5390" max="5390" width="30.453125" style="973" customWidth="1"/>
    <col min="5391" max="5391" width="9.6328125" style="973" customWidth="1"/>
    <col min="5392" max="5395" width="8.81640625" style="973" customWidth="1"/>
    <col min="5396" max="5412" width="10.36328125" style="973" customWidth="1"/>
    <col min="5413" max="5413" width="8.90625" style="973"/>
    <col min="5414" max="5414" width="12.36328125" style="973" customWidth="1"/>
    <col min="5415" max="5415" width="13.08984375" style="973" customWidth="1"/>
    <col min="5416" max="5416" width="9.08984375" style="973" customWidth="1"/>
    <col min="5417" max="5633" width="8.90625" style="973"/>
    <col min="5634" max="5634" width="14.6328125" style="973" customWidth="1"/>
    <col min="5635" max="5635" width="10" style="973" bestFit="1" customWidth="1"/>
    <col min="5636" max="5639" width="8.90625" style="973"/>
    <col min="5640" max="5640" width="10" style="973" customWidth="1"/>
    <col min="5641" max="5642" width="10.1796875" style="973" customWidth="1"/>
    <col min="5643" max="5644" width="12" style="973" customWidth="1"/>
    <col min="5645" max="5645" width="8.6328125" style="973" customWidth="1"/>
    <col min="5646" max="5646" width="30.453125" style="973" customWidth="1"/>
    <col min="5647" max="5647" width="9.6328125" style="973" customWidth="1"/>
    <col min="5648" max="5651" width="8.81640625" style="973" customWidth="1"/>
    <col min="5652" max="5668" width="10.36328125" style="973" customWidth="1"/>
    <col min="5669" max="5669" width="8.90625" style="973"/>
    <col min="5670" max="5670" width="12.36328125" style="973" customWidth="1"/>
    <col min="5671" max="5671" width="13.08984375" style="973" customWidth="1"/>
    <col min="5672" max="5672" width="9.08984375" style="973" customWidth="1"/>
    <col min="5673" max="5889" width="8.90625" style="973"/>
    <col min="5890" max="5890" width="14.6328125" style="973" customWidth="1"/>
    <col min="5891" max="5891" width="10" style="973" bestFit="1" customWidth="1"/>
    <col min="5892" max="5895" width="8.90625" style="973"/>
    <col min="5896" max="5896" width="10" style="973" customWidth="1"/>
    <col min="5897" max="5898" width="10.1796875" style="973" customWidth="1"/>
    <col min="5899" max="5900" width="12" style="973" customWidth="1"/>
    <col min="5901" max="5901" width="8.6328125" style="973" customWidth="1"/>
    <col min="5902" max="5902" width="30.453125" style="973" customWidth="1"/>
    <col min="5903" max="5903" width="9.6328125" style="973" customWidth="1"/>
    <col min="5904" max="5907" width="8.81640625" style="973" customWidth="1"/>
    <col min="5908" max="5924" width="10.36328125" style="973" customWidth="1"/>
    <col min="5925" max="5925" width="8.90625" style="973"/>
    <col min="5926" max="5926" width="12.36328125" style="973" customWidth="1"/>
    <col min="5927" max="5927" width="13.08984375" style="973" customWidth="1"/>
    <col min="5928" max="5928" width="9.08984375" style="973" customWidth="1"/>
    <col min="5929" max="6145" width="8.90625" style="973"/>
    <col min="6146" max="6146" width="14.6328125" style="973" customWidth="1"/>
    <col min="6147" max="6147" width="10" style="973" bestFit="1" customWidth="1"/>
    <col min="6148" max="6151" width="8.90625" style="973"/>
    <col min="6152" max="6152" width="10" style="973" customWidth="1"/>
    <col min="6153" max="6154" width="10.1796875" style="973" customWidth="1"/>
    <col min="6155" max="6156" width="12" style="973" customWidth="1"/>
    <col min="6157" max="6157" width="8.6328125" style="973" customWidth="1"/>
    <col min="6158" max="6158" width="30.453125" style="973" customWidth="1"/>
    <col min="6159" max="6159" width="9.6328125" style="973" customWidth="1"/>
    <col min="6160" max="6163" width="8.81640625" style="973" customWidth="1"/>
    <col min="6164" max="6180" width="10.36328125" style="973" customWidth="1"/>
    <col min="6181" max="6181" width="8.90625" style="973"/>
    <col min="6182" max="6182" width="12.36328125" style="973" customWidth="1"/>
    <col min="6183" max="6183" width="13.08984375" style="973" customWidth="1"/>
    <col min="6184" max="6184" width="9.08984375" style="973" customWidth="1"/>
    <col min="6185" max="6401" width="8.90625" style="973"/>
    <col min="6402" max="6402" width="14.6328125" style="973" customWidth="1"/>
    <col min="6403" max="6403" width="10" style="973" bestFit="1" customWidth="1"/>
    <col min="6404" max="6407" width="8.90625" style="973"/>
    <col min="6408" max="6408" width="10" style="973" customWidth="1"/>
    <col min="6409" max="6410" width="10.1796875" style="973" customWidth="1"/>
    <col min="6411" max="6412" width="12" style="973" customWidth="1"/>
    <col min="6413" max="6413" width="8.6328125" style="973" customWidth="1"/>
    <col min="6414" max="6414" width="30.453125" style="973" customWidth="1"/>
    <col min="6415" max="6415" width="9.6328125" style="973" customWidth="1"/>
    <col min="6416" max="6419" width="8.81640625" style="973" customWidth="1"/>
    <col min="6420" max="6436" width="10.36328125" style="973" customWidth="1"/>
    <col min="6437" max="6437" width="8.90625" style="973"/>
    <col min="6438" max="6438" width="12.36328125" style="973" customWidth="1"/>
    <col min="6439" max="6439" width="13.08984375" style="973" customWidth="1"/>
    <col min="6440" max="6440" width="9.08984375" style="973" customWidth="1"/>
    <col min="6441" max="6657" width="8.90625" style="973"/>
    <col min="6658" max="6658" width="14.6328125" style="973" customWidth="1"/>
    <col min="6659" max="6659" width="10" style="973" bestFit="1" customWidth="1"/>
    <col min="6660" max="6663" width="8.90625" style="973"/>
    <col min="6664" max="6664" width="10" style="973" customWidth="1"/>
    <col min="6665" max="6666" width="10.1796875" style="973" customWidth="1"/>
    <col min="6667" max="6668" width="12" style="973" customWidth="1"/>
    <col min="6669" max="6669" width="8.6328125" style="973" customWidth="1"/>
    <col min="6670" max="6670" width="30.453125" style="973" customWidth="1"/>
    <col min="6671" max="6671" width="9.6328125" style="973" customWidth="1"/>
    <col min="6672" max="6675" width="8.81640625" style="973" customWidth="1"/>
    <col min="6676" max="6692" width="10.36328125" style="973" customWidth="1"/>
    <col min="6693" max="6693" width="8.90625" style="973"/>
    <col min="6694" max="6694" width="12.36328125" style="973" customWidth="1"/>
    <col min="6695" max="6695" width="13.08984375" style="973" customWidth="1"/>
    <col min="6696" max="6696" width="9.08984375" style="973" customWidth="1"/>
    <col min="6697" max="6913" width="8.90625" style="973"/>
    <col min="6914" max="6914" width="14.6328125" style="973" customWidth="1"/>
    <col min="6915" max="6915" width="10" style="973" bestFit="1" customWidth="1"/>
    <col min="6916" max="6919" width="8.90625" style="973"/>
    <col min="6920" max="6920" width="10" style="973" customWidth="1"/>
    <col min="6921" max="6922" width="10.1796875" style="973" customWidth="1"/>
    <col min="6923" max="6924" width="12" style="973" customWidth="1"/>
    <col min="6925" max="6925" width="8.6328125" style="973" customWidth="1"/>
    <col min="6926" max="6926" width="30.453125" style="973" customWidth="1"/>
    <col min="6927" max="6927" width="9.6328125" style="973" customWidth="1"/>
    <col min="6928" max="6931" width="8.81640625" style="973" customWidth="1"/>
    <col min="6932" max="6948" width="10.36328125" style="973" customWidth="1"/>
    <col min="6949" max="6949" width="8.90625" style="973"/>
    <col min="6950" max="6950" width="12.36328125" style="973" customWidth="1"/>
    <col min="6951" max="6951" width="13.08984375" style="973" customWidth="1"/>
    <col min="6952" max="6952" width="9.08984375" style="973" customWidth="1"/>
    <col min="6953" max="7169" width="8.90625" style="973"/>
    <col min="7170" max="7170" width="14.6328125" style="973" customWidth="1"/>
    <col min="7171" max="7171" width="10" style="973" bestFit="1" customWidth="1"/>
    <col min="7172" max="7175" width="8.90625" style="973"/>
    <col min="7176" max="7176" width="10" style="973" customWidth="1"/>
    <col min="7177" max="7178" width="10.1796875" style="973" customWidth="1"/>
    <col min="7179" max="7180" width="12" style="973" customWidth="1"/>
    <col min="7181" max="7181" width="8.6328125" style="973" customWidth="1"/>
    <col min="7182" max="7182" width="30.453125" style="973" customWidth="1"/>
    <col min="7183" max="7183" width="9.6328125" style="973" customWidth="1"/>
    <col min="7184" max="7187" width="8.81640625" style="973" customWidth="1"/>
    <col min="7188" max="7204" width="10.36328125" style="973" customWidth="1"/>
    <col min="7205" max="7205" width="8.90625" style="973"/>
    <col min="7206" max="7206" width="12.36328125" style="973" customWidth="1"/>
    <col min="7207" max="7207" width="13.08984375" style="973" customWidth="1"/>
    <col min="7208" max="7208" width="9.08984375" style="973" customWidth="1"/>
    <col min="7209" max="7425" width="8.90625" style="973"/>
    <col min="7426" max="7426" width="14.6328125" style="973" customWidth="1"/>
    <col min="7427" max="7427" width="10" style="973" bestFit="1" customWidth="1"/>
    <col min="7428" max="7431" width="8.90625" style="973"/>
    <col min="7432" max="7432" width="10" style="973" customWidth="1"/>
    <col min="7433" max="7434" width="10.1796875" style="973" customWidth="1"/>
    <col min="7435" max="7436" width="12" style="973" customWidth="1"/>
    <col min="7437" max="7437" width="8.6328125" style="973" customWidth="1"/>
    <col min="7438" max="7438" width="30.453125" style="973" customWidth="1"/>
    <col min="7439" max="7439" width="9.6328125" style="973" customWidth="1"/>
    <col min="7440" max="7443" width="8.81640625" style="973" customWidth="1"/>
    <col min="7444" max="7460" width="10.36328125" style="973" customWidth="1"/>
    <col min="7461" max="7461" width="8.90625" style="973"/>
    <col min="7462" max="7462" width="12.36328125" style="973" customWidth="1"/>
    <col min="7463" max="7463" width="13.08984375" style="973" customWidth="1"/>
    <col min="7464" max="7464" width="9.08984375" style="973" customWidth="1"/>
    <col min="7465" max="7681" width="8.90625" style="973"/>
    <col min="7682" max="7682" width="14.6328125" style="973" customWidth="1"/>
    <col min="7683" max="7683" width="10" style="973" bestFit="1" customWidth="1"/>
    <col min="7684" max="7687" width="8.90625" style="973"/>
    <col min="7688" max="7688" width="10" style="973" customWidth="1"/>
    <col min="7689" max="7690" width="10.1796875" style="973" customWidth="1"/>
    <col min="7691" max="7692" width="12" style="973" customWidth="1"/>
    <col min="7693" max="7693" width="8.6328125" style="973" customWidth="1"/>
    <col min="7694" max="7694" width="30.453125" style="973" customWidth="1"/>
    <col min="7695" max="7695" width="9.6328125" style="973" customWidth="1"/>
    <col min="7696" max="7699" width="8.81640625" style="973" customWidth="1"/>
    <col min="7700" max="7716" width="10.36328125" style="973" customWidth="1"/>
    <col min="7717" max="7717" width="8.90625" style="973"/>
    <col min="7718" max="7718" width="12.36328125" style="973" customWidth="1"/>
    <col min="7719" max="7719" width="13.08984375" style="973" customWidth="1"/>
    <col min="7720" max="7720" width="9.08984375" style="973" customWidth="1"/>
    <col min="7721" max="7937" width="8.90625" style="973"/>
    <col min="7938" max="7938" width="14.6328125" style="973" customWidth="1"/>
    <col min="7939" max="7939" width="10" style="973" bestFit="1" customWidth="1"/>
    <col min="7940" max="7943" width="8.90625" style="973"/>
    <col min="7944" max="7944" width="10" style="973" customWidth="1"/>
    <col min="7945" max="7946" width="10.1796875" style="973" customWidth="1"/>
    <col min="7947" max="7948" width="12" style="973" customWidth="1"/>
    <col min="7949" max="7949" width="8.6328125" style="973" customWidth="1"/>
    <col min="7950" max="7950" width="30.453125" style="973" customWidth="1"/>
    <col min="7951" max="7951" width="9.6328125" style="973" customWidth="1"/>
    <col min="7952" max="7955" width="8.81640625" style="973" customWidth="1"/>
    <col min="7956" max="7972" width="10.36328125" style="973" customWidth="1"/>
    <col min="7973" max="7973" width="8.90625" style="973"/>
    <col min="7974" max="7974" width="12.36328125" style="973" customWidth="1"/>
    <col min="7975" max="7975" width="13.08984375" style="973" customWidth="1"/>
    <col min="7976" max="7976" width="9.08984375" style="973" customWidth="1"/>
    <col min="7977" max="8193" width="8.90625" style="973"/>
    <col min="8194" max="8194" width="14.6328125" style="973" customWidth="1"/>
    <col min="8195" max="8195" width="10" style="973" bestFit="1" customWidth="1"/>
    <col min="8196" max="8199" width="8.90625" style="973"/>
    <col min="8200" max="8200" width="10" style="973" customWidth="1"/>
    <col min="8201" max="8202" width="10.1796875" style="973" customWidth="1"/>
    <col min="8203" max="8204" width="12" style="973" customWidth="1"/>
    <col min="8205" max="8205" width="8.6328125" style="973" customWidth="1"/>
    <col min="8206" max="8206" width="30.453125" style="973" customWidth="1"/>
    <col min="8207" max="8207" width="9.6328125" style="973" customWidth="1"/>
    <col min="8208" max="8211" width="8.81640625" style="973" customWidth="1"/>
    <col min="8212" max="8228" width="10.36328125" style="973" customWidth="1"/>
    <col min="8229" max="8229" width="8.90625" style="973"/>
    <col min="8230" max="8230" width="12.36328125" style="973" customWidth="1"/>
    <col min="8231" max="8231" width="13.08984375" style="973" customWidth="1"/>
    <col min="8232" max="8232" width="9.08984375" style="973" customWidth="1"/>
    <col min="8233" max="8449" width="8.90625" style="973"/>
    <col min="8450" max="8450" width="14.6328125" style="973" customWidth="1"/>
    <col min="8451" max="8451" width="10" style="973" bestFit="1" customWidth="1"/>
    <col min="8452" max="8455" width="8.90625" style="973"/>
    <col min="8456" max="8456" width="10" style="973" customWidth="1"/>
    <col min="8457" max="8458" width="10.1796875" style="973" customWidth="1"/>
    <col min="8459" max="8460" width="12" style="973" customWidth="1"/>
    <col min="8461" max="8461" width="8.6328125" style="973" customWidth="1"/>
    <col min="8462" max="8462" width="30.453125" style="973" customWidth="1"/>
    <col min="8463" max="8463" width="9.6328125" style="973" customWidth="1"/>
    <col min="8464" max="8467" width="8.81640625" style="973" customWidth="1"/>
    <col min="8468" max="8484" width="10.36328125" style="973" customWidth="1"/>
    <col min="8485" max="8485" width="8.90625" style="973"/>
    <col min="8486" max="8486" width="12.36328125" style="973" customWidth="1"/>
    <col min="8487" max="8487" width="13.08984375" style="973" customWidth="1"/>
    <col min="8488" max="8488" width="9.08984375" style="973" customWidth="1"/>
    <col min="8489" max="8705" width="8.90625" style="973"/>
    <col min="8706" max="8706" width="14.6328125" style="973" customWidth="1"/>
    <col min="8707" max="8707" width="10" style="973" bestFit="1" customWidth="1"/>
    <col min="8708" max="8711" width="8.90625" style="973"/>
    <col min="8712" max="8712" width="10" style="973" customWidth="1"/>
    <col min="8713" max="8714" width="10.1796875" style="973" customWidth="1"/>
    <col min="8715" max="8716" width="12" style="973" customWidth="1"/>
    <col min="8717" max="8717" width="8.6328125" style="973" customWidth="1"/>
    <col min="8718" max="8718" width="30.453125" style="973" customWidth="1"/>
    <col min="8719" max="8719" width="9.6328125" style="973" customWidth="1"/>
    <col min="8720" max="8723" width="8.81640625" style="973" customWidth="1"/>
    <col min="8724" max="8740" width="10.36328125" style="973" customWidth="1"/>
    <col min="8741" max="8741" width="8.90625" style="973"/>
    <col min="8742" max="8742" width="12.36328125" style="973" customWidth="1"/>
    <col min="8743" max="8743" width="13.08984375" style="973" customWidth="1"/>
    <col min="8744" max="8744" width="9.08984375" style="973" customWidth="1"/>
    <col min="8745" max="8961" width="8.90625" style="973"/>
    <col min="8962" max="8962" width="14.6328125" style="973" customWidth="1"/>
    <col min="8963" max="8963" width="10" style="973" bestFit="1" customWidth="1"/>
    <col min="8964" max="8967" width="8.90625" style="973"/>
    <col min="8968" max="8968" width="10" style="973" customWidth="1"/>
    <col min="8969" max="8970" width="10.1796875" style="973" customWidth="1"/>
    <col min="8971" max="8972" width="12" style="973" customWidth="1"/>
    <col min="8973" max="8973" width="8.6328125" style="973" customWidth="1"/>
    <col min="8974" max="8974" width="30.453125" style="973" customWidth="1"/>
    <col min="8975" max="8975" width="9.6328125" style="973" customWidth="1"/>
    <col min="8976" max="8979" width="8.81640625" style="973" customWidth="1"/>
    <col min="8980" max="8996" width="10.36328125" style="973" customWidth="1"/>
    <col min="8997" max="8997" width="8.90625" style="973"/>
    <col min="8998" max="8998" width="12.36328125" style="973" customWidth="1"/>
    <col min="8999" max="8999" width="13.08984375" style="973" customWidth="1"/>
    <col min="9000" max="9000" width="9.08984375" style="973" customWidth="1"/>
    <col min="9001" max="9217" width="8.90625" style="973"/>
    <col min="9218" max="9218" width="14.6328125" style="973" customWidth="1"/>
    <col min="9219" max="9219" width="10" style="973" bestFit="1" customWidth="1"/>
    <col min="9220" max="9223" width="8.90625" style="973"/>
    <col min="9224" max="9224" width="10" style="973" customWidth="1"/>
    <col min="9225" max="9226" width="10.1796875" style="973" customWidth="1"/>
    <col min="9227" max="9228" width="12" style="973" customWidth="1"/>
    <col min="9229" max="9229" width="8.6328125" style="973" customWidth="1"/>
    <col min="9230" max="9230" width="30.453125" style="973" customWidth="1"/>
    <col min="9231" max="9231" width="9.6328125" style="973" customWidth="1"/>
    <col min="9232" max="9235" width="8.81640625" style="973" customWidth="1"/>
    <col min="9236" max="9252" width="10.36328125" style="973" customWidth="1"/>
    <col min="9253" max="9253" width="8.90625" style="973"/>
    <col min="9254" max="9254" width="12.36328125" style="973" customWidth="1"/>
    <col min="9255" max="9255" width="13.08984375" style="973" customWidth="1"/>
    <col min="9256" max="9256" width="9.08984375" style="973" customWidth="1"/>
    <col min="9257" max="9473" width="8.90625" style="973"/>
    <col min="9474" max="9474" width="14.6328125" style="973" customWidth="1"/>
    <col min="9475" max="9475" width="10" style="973" bestFit="1" customWidth="1"/>
    <col min="9476" max="9479" width="8.90625" style="973"/>
    <col min="9480" max="9480" width="10" style="973" customWidth="1"/>
    <col min="9481" max="9482" width="10.1796875" style="973" customWidth="1"/>
    <col min="9483" max="9484" width="12" style="973" customWidth="1"/>
    <col min="9485" max="9485" width="8.6328125" style="973" customWidth="1"/>
    <col min="9486" max="9486" width="30.453125" style="973" customWidth="1"/>
    <col min="9487" max="9487" width="9.6328125" style="973" customWidth="1"/>
    <col min="9488" max="9491" width="8.81640625" style="973" customWidth="1"/>
    <col min="9492" max="9508" width="10.36328125" style="973" customWidth="1"/>
    <col min="9509" max="9509" width="8.90625" style="973"/>
    <col min="9510" max="9510" width="12.36328125" style="973" customWidth="1"/>
    <col min="9511" max="9511" width="13.08984375" style="973" customWidth="1"/>
    <col min="9512" max="9512" width="9.08984375" style="973" customWidth="1"/>
    <col min="9513" max="9729" width="8.90625" style="973"/>
    <col min="9730" max="9730" width="14.6328125" style="973" customWidth="1"/>
    <col min="9731" max="9731" width="10" style="973" bestFit="1" customWidth="1"/>
    <col min="9732" max="9735" width="8.90625" style="973"/>
    <col min="9736" max="9736" width="10" style="973" customWidth="1"/>
    <col min="9737" max="9738" width="10.1796875" style="973" customWidth="1"/>
    <col min="9739" max="9740" width="12" style="973" customWidth="1"/>
    <col min="9741" max="9741" width="8.6328125" style="973" customWidth="1"/>
    <col min="9742" max="9742" width="30.453125" style="973" customWidth="1"/>
    <col min="9743" max="9743" width="9.6328125" style="973" customWidth="1"/>
    <col min="9744" max="9747" width="8.81640625" style="973" customWidth="1"/>
    <col min="9748" max="9764" width="10.36328125" style="973" customWidth="1"/>
    <col min="9765" max="9765" width="8.90625" style="973"/>
    <col min="9766" max="9766" width="12.36328125" style="973" customWidth="1"/>
    <col min="9767" max="9767" width="13.08984375" style="973" customWidth="1"/>
    <col min="9768" max="9768" width="9.08984375" style="973" customWidth="1"/>
    <col min="9769" max="9985" width="8.90625" style="973"/>
    <col min="9986" max="9986" width="14.6328125" style="973" customWidth="1"/>
    <col min="9987" max="9987" width="10" style="973" bestFit="1" customWidth="1"/>
    <col min="9988" max="9991" width="8.90625" style="973"/>
    <col min="9992" max="9992" width="10" style="973" customWidth="1"/>
    <col min="9993" max="9994" width="10.1796875" style="973" customWidth="1"/>
    <col min="9995" max="9996" width="12" style="973" customWidth="1"/>
    <col min="9997" max="9997" width="8.6328125" style="973" customWidth="1"/>
    <col min="9998" max="9998" width="30.453125" style="973" customWidth="1"/>
    <col min="9999" max="9999" width="9.6328125" style="973" customWidth="1"/>
    <col min="10000" max="10003" width="8.81640625" style="973" customWidth="1"/>
    <col min="10004" max="10020" width="10.36328125" style="973" customWidth="1"/>
    <col min="10021" max="10021" width="8.90625" style="973"/>
    <col min="10022" max="10022" width="12.36328125" style="973" customWidth="1"/>
    <col min="10023" max="10023" width="13.08984375" style="973" customWidth="1"/>
    <col min="10024" max="10024" width="9.08984375" style="973" customWidth="1"/>
    <col min="10025" max="10241" width="8.90625" style="973"/>
    <col min="10242" max="10242" width="14.6328125" style="973" customWidth="1"/>
    <col min="10243" max="10243" width="10" style="973" bestFit="1" customWidth="1"/>
    <col min="10244" max="10247" width="8.90625" style="973"/>
    <col min="10248" max="10248" width="10" style="973" customWidth="1"/>
    <col min="10249" max="10250" width="10.1796875" style="973" customWidth="1"/>
    <col min="10251" max="10252" width="12" style="973" customWidth="1"/>
    <col min="10253" max="10253" width="8.6328125" style="973" customWidth="1"/>
    <col min="10254" max="10254" width="30.453125" style="973" customWidth="1"/>
    <col min="10255" max="10255" width="9.6328125" style="973" customWidth="1"/>
    <col min="10256" max="10259" width="8.81640625" style="973" customWidth="1"/>
    <col min="10260" max="10276" width="10.36328125" style="973" customWidth="1"/>
    <col min="10277" max="10277" width="8.90625" style="973"/>
    <col min="10278" max="10278" width="12.36328125" style="973" customWidth="1"/>
    <col min="10279" max="10279" width="13.08984375" style="973" customWidth="1"/>
    <col min="10280" max="10280" width="9.08984375" style="973" customWidth="1"/>
    <col min="10281" max="10497" width="8.90625" style="973"/>
    <col min="10498" max="10498" width="14.6328125" style="973" customWidth="1"/>
    <col min="10499" max="10499" width="10" style="973" bestFit="1" customWidth="1"/>
    <col min="10500" max="10503" width="8.90625" style="973"/>
    <col min="10504" max="10504" width="10" style="973" customWidth="1"/>
    <col min="10505" max="10506" width="10.1796875" style="973" customWidth="1"/>
    <col min="10507" max="10508" width="12" style="973" customWidth="1"/>
    <col min="10509" max="10509" width="8.6328125" style="973" customWidth="1"/>
    <col min="10510" max="10510" width="30.453125" style="973" customWidth="1"/>
    <col min="10511" max="10511" width="9.6328125" style="973" customWidth="1"/>
    <col min="10512" max="10515" width="8.81640625" style="973" customWidth="1"/>
    <col min="10516" max="10532" width="10.36328125" style="973" customWidth="1"/>
    <col min="10533" max="10533" width="8.90625" style="973"/>
    <col min="10534" max="10534" width="12.36328125" style="973" customWidth="1"/>
    <col min="10535" max="10535" width="13.08984375" style="973" customWidth="1"/>
    <col min="10536" max="10536" width="9.08984375" style="973" customWidth="1"/>
    <col min="10537" max="10753" width="8.90625" style="973"/>
    <col min="10754" max="10754" width="14.6328125" style="973" customWidth="1"/>
    <col min="10755" max="10755" width="10" style="973" bestFit="1" customWidth="1"/>
    <col min="10756" max="10759" width="8.90625" style="973"/>
    <col min="10760" max="10760" width="10" style="973" customWidth="1"/>
    <col min="10761" max="10762" width="10.1796875" style="973" customWidth="1"/>
    <col min="10763" max="10764" width="12" style="973" customWidth="1"/>
    <col min="10765" max="10765" width="8.6328125" style="973" customWidth="1"/>
    <col min="10766" max="10766" width="30.453125" style="973" customWidth="1"/>
    <col min="10767" max="10767" width="9.6328125" style="973" customWidth="1"/>
    <col min="10768" max="10771" width="8.81640625" style="973" customWidth="1"/>
    <col min="10772" max="10788" width="10.36328125" style="973" customWidth="1"/>
    <col min="10789" max="10789" width="8.90625" style="973"/>
    <col min="10790" max="10790" width="12.36328125" style="973" customWidth="1"/>
    <col min="10791" max="10791" width="13.08984375" style="973" customWidth="1"/>
    <col min="10792" max="10792" width="9.08984375" style="973" customWidth="1"/>
    <col min="10793" max="11009" width="8.90625" style="973"/>
    <col min="11010" max="11010" width="14.6328125" style="973" customWidth="1"/>
    <col min="11011" max="11011" width="10" style="973" bestFit="1" customWidth="1"/>
    <col min="11012" max="11015" width="8.90625" style="973"/>
    <col min="11016" max="11016" width="10" style="973" customWidth="1"/>
    <col min="11017" max="11018" width="10.1796875" style="973" customWidth="1"/>
    <col min="11019" max="11020" width="12" style="973" customWidth="1"/>
    <col min="11021" max="11021" width="8.6328125" style="973" customWidth="1"/>
    <col min="11022" max="11022" width="30.453125" style="973" customWidth="1"/>
    <col min="11023" max="11023" width="9.6328125" style="973" customWidth="1"/>
    <col min="11024" max="11027" width="8.81640625" style="973" customWidth="1"/>
    <col min="11028" max="11044" width="10.36328125" style="973" customWidth="1"/>
    <col min="11045" max="11045" width="8.90625" style="973"/>
    <col min="11046" max="11046" width="12.36328125" style="973" customWidth="1"/>
    <col min="11047" max="11047" width="13.08984375" style="973" customWidth="1"/>
    <col min="11048" max="11048" width="9.08984375" style="973" customWidth="1"/>
    <col min="11049" max="11265" width="8.90625" style="973"/>
    <col min="11266" max="11266" width="14.6328125" style="973" customWidth="1"/>
    <col min="11267" max="11267" width="10" style="973" bestFit="1" customWidth="1"/>
    <col min="11268" max="11271" width="8.90625" style="973"/>
    <col min="11272" max="11272" width="10" style="973" customWidth="1"/>
    <col min="11273" max="11274" width="10.1796875" style="973" customWidth="1"/>
    <col min="11275" max="11276" width="12" style="973" customWidth="1"/>
    <col min="11277" max="11277" width="8.6328125" style="973" customWidth="1"/>
    <col min="11278" max="11278" width="30.453125" style="973" customWidth="1"/>
    <col min="11279" max="11279" width="9.6328125" style="973" customWidth="1"/>
    <col min="11280" max="11283" width="8.81640625" style="973" customWidth="1"/>
    <col min="11284" max="11300" width="10.36328125" style="973" customWidth="1"/>
    <col min="11301" max="11301" width="8.90625" style="973"/>
    <col min="11302" max="11302" width="12.36328125" style="973" customWidth="1"/>
    <col min="11303" max="11303" width="13.08984375" style="973" customWidth="1"/>
    <col min="11304" max="11304" width="9.08984375" style="973" customWidth="1"/>
    <col min="11305" max="11521" width="8.90625" style="973"/>
    <col min="11522" max="11522" width="14.6328125" style="973" customWidth="1"/>
    <col min="11523" max="11523" width="10" style="973" bestFit="1" customWidth="1"/>
    <col min="11524" max="11527" width="8.90625" style="973"/>
    <col min="11528" max="11528" width="10" style="973" customWidth="1"/>
    <col min="11529" max="11530" width="10.1796875" style="973" customWidth="1"/>
    <col min="11531" max="11532" width="12" style="973" customWidth="1"/>
    <col min="11533" max="11533" width="8.6328125" style="973" customWidth="1"/>
    <col min="11534" max="11534" width="30.453125" style="973" customWidth="1"/>
    <col min="11535" max="11535" width="9.6328125" style="973" customWidth="1"/>
    <col min="11536" max="11539" width="8.81640625" style="973" customWidth="1"/>
    <col min="11540" max="11556" width="10.36328125" style="973" customWidth="1"/>
    <col min="11557" max="11557" width="8.90625" style="973"/>
    <col min="11558" max="11558" width="12.36328125" style="973" customWidth="1"/>
    <col min="11559" max="11559" width="13.08984375" style="973" customWidth="1"/>
    <col min="11560" max="11560" width="9.08984375" style="973" customWidth="1"/>
    <col min="11561" max="11777" width="8.90625" style="973"/>
    <col min="11778" max="11778" width="14.6328125" style="973" customWidth="1"/>
    <col min="11779" max="11779" width="10" style="973" bestFit="1" customWidth="1"/>
    <col min="11780" max="11783" width="8.90625" style="973"/>
    <col min="11784" max="11784" width="10" style="973" customWidth="1"/>
    <col min="11785" max="11786" width="10.1796875" style="973" customWidth="1"/>
    <col min="11787" max="11788" width="12" style="973" customWidth="1"/>
    <col min="11789" max="11789" width="8.6328125" style="973" customWidth="1"/>
    <col min="11790" max="11790" width="30.453125" style="973" customWidth="1"/>
    <col min="11791" max="11791" width="9.6328125" style="973" customWidth="1"/>
    <col min="11792" max="11795" width="8.81640625" style="973" customWidth="1"/>
    <col min="11796" max="11812" width="10.36328125" style="973" customWidth="1"/>
    <col min="11813" max="11813" width="8.90625" style="973"/>
    <col min="11814" max="11814" width="12.36328125" style="973" customWidth="1"/>
    <col min="11815" max="11815" width="13.08984375" style="973" customWidth="1"/>
    <col min="11816" max="11816" width="9.08984375" style="973" customWidth="1"/>
    <col min="11817" max="12033" width="8.90625" style="973"/>
    <col min="12034" max="12034" width="14.6328125" style="973" customWidth="1"/>
    <col min="12035" max="12035" width="10" style="973" bestFit="1" customWidth="1"/>
    <col min="12036" max="12039" width="8.90625" style="973"/>
    <col min="12040" max="12040" width="10" style="973" customWidth="1"/>
    <col min="12041" max="12042" width="10.1796875" style="973" customWidth="1"/>
    <col min="12043" max="12044" width="12" style="973" customWidth="1"/>
    <col min="12045" max="12045" width="8.6328125" style="973" customWidth="1"/>
    <col min="12046" max="12046" width="30.453125" style="973" customWidth="1"/>
    <col min="12047" max="12047" width="9.6328125" style="973" customWidth="1"/>
    <col min="12048" max="12051" width="8.81640625" style="973" customWidth="1"/>
    <col min="12052" max="12068" width="10.36328125" style="973" customWidth="1"/>
    <col min="12069" max="12069" width="8.90625" style="973"/>
    <col min="12070" max="12070" width="12.36328125" style="973" customWidth="1"/>
    <col min="12071" max="12071" width="13.08984375" style="973" customWidth="1"/>
    <col min="12072" max="12072" width="9.08984375" style="973" customWidth="1"/>
    <col min="12073" max="12289" width="8.90625" style="973"/>
    <col min="12290" max="12290" width="14.6328125" style="973" customWidth="1"/>
    <col min="12291" max="12291" width="10" style="973" bestFit="1" customWidth="1"/>
    <col min="12292" max="12295" width="8.90625" style="973"/>
    <col min="12296" max="12296" width="10" style="973" customWidth="1"/>
    <col min="12297" max="12298" width="10.1796875" style="973" customWidth="1"/>
    <col min="12299" max="12300" width="12" style="973" customWidth="1"/>
    <col min="12301" max="12301" width="8.6328125" style="973" customWidth="1"/>
    <col min="12302" max="12302" width="30.453125" style="973" customWidth="1"/>
    <col min="12303" max="12303" width="9.6328125" style="973" customWidth="1"/>
    <col min="12304" max="12307" width="8.81640625" style="973" customWidth="1"/>
    <col min="12308" max="12324" width="10.36328125" style="973" customWidth="1"/>
    <col min="12325" max="12325" width="8.90625" style="973"/>
    <col min="12326" max="12326" width="12.36328125" style="973" customWidth="1"/>
    <col min="12327" max="12327" width="13.08984375" style="973" customWidth="1"/>
    <col min="12328" max="12328" width="9.08984375" style="973" customWidth="1"/>
    <col min="12329" max="12545" width="8.90625" style="973"/>
    <col min="12546" max="12546" width="14.6328125" style="973" customWidth="1"/>
    <col min="12547" max="12547" width="10" style="973" bestFit="1" customWidth="1"/>
    <col min="12548" max="12551" width="8.90625" style="973"/>
    <col min="12552" max="12552" width="10" style="973" customWidth="1"/>
    <col min="12553" max="12554" width="10.1796875" style="973" customWidth="1"/>
    <col min="12555" max="12556" width="12" style="973" customWidth="1"/>
    <col min="12557" max="12557" width="8.6328125" style="973" customWidth="1"/>
    <col min="12558" max="12558" width="30.453125" style="973" customWidth="1"/>
    <col min="12559" max="12559" width="9.6328125" style="973" customWidth="1"/>
    <col min="12560" max="12563" width="8.81640625" style="973" customWidth="1"/>
    <col min="12564" max="12580" width="10.36328125" style="973" customWidth="1"/>
    <col min="12581" max="12581" width="8.90625" style="973"/>
    <col min="12582" max="12582" width="12.36328125" style="973" customWidth="1"/>
    <col min="12583" max="12583" width="13.08984375" style="973" customWidth="1"/>
    <col min="12584" max="12584" width="9.08984375" style="973" customWidth="1"/>
    <col min="12585" max="12801" width="8.90625" style="973"/>
    <col min="12802" max="12802" width="14.6328125" style="973" customWidth="1"/>
    <col min="12803" max="12803" width="10" style="973" bestFit="1" customWidth="1"/>
    <col min="12804" max="12807" width="8.90625" style="973"/>
    <col min="12808" max="12808" width="10" style="973" customWidth="1"/>
    <col min="12809" max="12810" width="10.1796875" style="973" customWidth="1"/>
    <col min="12811" max="12812" width="12" style="973" customWidth="1"/>
    <col min="12813" max="12813" width="8.6328125" style="973" customWidth="1"/>
    <col min="12814" max="12814" width="30.453125" style="973" customWidth="1"/>
    <col min="12815" max="12815" width="9.6328125" style="973" customWidth="1"/>
    <col min="12816" max="12819" width="8.81640625" style="973" customWidth="1"/>
    <col min="12820" max="12836" width="10.36328125" style="973" customWidth="1"/>
    <col min="12837" max="12837" width="8.90625" style="973"/>
    <col min="12838" max="12838" width="12.36328125" style="973" customWidth="1"/>
    <col min="12839" max="12839" width="13.08984375" style="973" customWidth="1"/>
    <col min="12840" max="12840" width="9.08984375" style="973" customWidth="1"/>
    <col min="12841" max="13057" width="8.90625" style="973"/>
    <col min="13058" max="13058" width="14.6328125" style="973" customWidth="1"/>
    <col min="13059" max="13059" width="10" style="973" bestFit="1" customWidth="1"/>
    <col min="13060" max="13063" width="8.90625" style="973"/>
    <col min="13064" max="13064" width="10" style="973" customWidth="1"/>
    <col min="13065" max="13066" width="10.1796875" style="973" customWidth="1"/>
    <col min="13067" max="13068" width="12" style="973" customWidth="1"/>
    <col min="13069" max="13069" width="8.6328125" style="973" customWidth="1"/>
    <col min="13070" max="13070" width="30.453125" style="973" customWidth="1"/>
    <col min="13071" max="13071" width="9.6328125" style="973" customWidth="1"/>
    <col min="13072" max="13075" width="8.81640625" style="973" customWidth="1"/>
    <col min="13076" max="13092" width="10.36328125" style="973" customWidth="1"/>
    <col min="13093" max="13093" width="8.90625" style="973"/>
    <col min="13094" max="13094" width="12.36328125" style="973" customWidth="1"/>
    <col min="13095" max="13095" width="13.08984375" style="973" customWidth="1"/>
    <col min="13096" max="13096" width="9.08984375" style="973" customWidth="1"/>
    <col min="13097" max="13313" width="8.90625" style="973"/>
    <col min="13314" max="13314" width="14.6328125" style="973" customWidth="1"/>
    <col min="13315" max="13315" width="10" style="973" bestFit="1" customWidth="1"/>
    <col min="13316" max="13319" width="8.90625" style="973"/>
    <col min="13320" max="13320" width="10" style="973" customWidth="1"/>
    <col min="13321" max="13322" width="10.1796875" style="973" customWidth="1"/>
    <col min="13323" max="13324" width="12" style="973" customWidth="1"/>
    <col min="13325" max="13325" width="8.6328125" style="973" customWidth="1"/>
    <col min="13326" max="13326" width="30.453125" style="973" customWidth="1"/>
    <col min="13327" max="13327" width="9.6328125" style="973" customWidth="1"/>
    <col min="13328" max="13331" width="8.81640625" style="973" customWidth="1"/>
    <col min="13332" max="13348" width="10.36328125" style="973" customWidth="1"/>
    <col min="13349" max="13349" width="8.90625" style="973"/>
    <col min="13350" max="13350" width="12.36328125" style="973" customWidth="1"/>
    <col min="13351" max="13351" width="13.08984375" style="973" customWidth="1"/>
    <col min="13352" max="13352" width="9.08984375" style="973" customWidth="1"/>
    <col min="13353" max="13569" width="8.90625" style="973"/>
    <col min="13570" max="13570" width="14.6328125" style="973" customWidth="1"/>
    <col min="13571" max="13571" width="10" style="973" bestFit="1" customWidth="1"/>
    <col min="13572" max="13575" width="8.90625" style="973"/>
    <col min="13576" max="13576" width="10" style="973" customWidth="1"/>
    <col min="13577" max="13578" width="10.1796875" style="973" customWidth="1"/>
    <col min="13579" max="13580" width="12" style="973" customWidth="1"/>
    <col min="13581" max="13581" width="8.6328125" style="973" customWidth="1"/>
    <col min="13582" max="13582" width="30.453125" style="973" customWidth="1"/>
    <col min="13583" max="13583" width="9.6328125" style="973" customWidth="1"/>
    <col min="13584" max="13587" width="8.81640625" style="973" customWidth="1"/>
    <col min="13588" max="13604" width="10.36328125" style="973" customWidth="1"/>
    <col min="13605" max="13605" width="8.90625" style="973"/>
    <col min="13606" max="13606" width="12.36328125" style="973" customWidth="1"/>
    <col min="13607" max="13607" width="13.08984375" style="973" customWidth="1"/>
    <col min="13608" max="13608" width="9.08984375" style="973" customWidth="1"/>
    <col min="13609" max="13825" width="8.90625" style="973"/>
    <col min="13826" max="13826" width="14.6328125" style="973" customWidth="1"/>
    <col min="13827" max="13827" width="10" style="973" bestFit="1" customWidth="1"/>
    <col min="13828" max="13831" width="8.90625" style="973"/>
    <col min="13832" max="13832" width="10" style="973" customWidth="1"/>
    <col min="13833" max="13834" width="10.1796875" style="973" customWidth="1"/>
    <col min="13835" max="13836" width="12" style="973" customWidth="1"/>
    <col min="13837" max="13837" width="8.6328125" style="973" customWidth="1"/>
    <col min="13838" max="13838" width="30.453125" style="973" customWidth="1"/>
    <col min="13839" max="13839" width="9.6328125" style="973" customWidth="1"/>
    <col min="13840" max="13843" width="8.81640625" style="973" customWidth="1"/>
    <col min="13844" max="13860" width="10.36328125" style="973" customWidth="1"/>
    <col min="13861" max="13861" width="8.90625" style="973"/>
    <col min="13862" max="13862" width="12.36328125" style="973" customWidth="1"/>
    <col min="13863" max="13863" width="13.08984375" style="973" customWidth="1"/>
    <col min="13864" max="13864" width="9.08984375" style="973" customWidth="1"/>
    <col min="13865" max="14081" width="8.90625" style="973"/>
    <col min="14082" max="14082" width="14.6328125" style="973" customWidth="1"/>
    <col min="14083" max="14083" width="10" style="973" bestFit="1" customWidth="1"/>
    <col min="14084" max="14087" width="8.90625" style="973"/>
    <col min="14088" max="14088" width="10" style="973" customWidth="1"/>
    <col min="14089" max="14090" width="10.1796875" style="973" customWidth="1"/>
    <col min="14091" max="14092" width="12" style="973" customWidth="1"/>
    <col min="14093" max="14093" width="8.6328125" style="973" customWidth="1"/>
    <col min="14094" max="14094" width="30.453125" style="973" customWidth="1"/>
    <col min="14095" max="14095" width="9.6328125" style="973" customWidth="1"/>
    <col min="14096" max="14099" width="8.81640625" style="973" customWidth="1"/>
    <col min="14100" max="14116" width="10.36328125" style="973" customWidth="1"/>
    <col min="14117" max="14117" width="8.90625" style="973"/>
    <col min="14118" max="14118" width="12.36328125" style="973" customWidth="1"/>
    <col min="14119" max="14119" width="13.08984375" style="973" customWidth="1"/>
    <col min="14120" max="14120" width="9.08984375" style="973" customWidth="1"/>
    <col min="14121" max="14337" width="8.90625" style="973"/>
    <col min="14338" max="14338" width="14.6328125" style="973" customWidth="1"/>
    <col min="14339" max="14339" width="10" style="973" bestFit="1" customWidth="1"/>
    <col min="14340" max="14343" width="8.90625" style="973"/>
    <col min="14344" max="14344" width="10" style="973" customWidth="1"/>
    <col min="14345" max="14346" width="10.1796875" style="973" customWidth="1"/>
    <col min="14347" max="14348" width="12" style="973" customWidth="1"/>
    <col min="14349" max="14349" width="8.6328125" style="973" customWidth="1"/>
    <col min="14350" max="14350" width="30.453125" style="973" customWidth="1"/>
    <col min="14351" max="14351" width="9.6328125" style="973" customWidth="1"/>
    <col min="14352" max="14355" width="8.81640625" style="973" customWidth="1"/>
    <col min="14356" max="14372" width="10.36328125" style="973" customWidth="1"/>
    <col min="14373" max="14373" width="8.90625" style="973"/>
    <col min="14374" max="14374" width="12.36328125" style="973" customWidth="1"/>
    <col min="14375" max="14375" width="13.08984375" style="973" customWidth="1"/>
    <col min="14376" max="14376" width="9.08984375" style="973" customWidth="1"/>
    <col min="14377" max="14593" width="8.90625" style="973"/>
    <col min="14594" max="14594" width="14.6328125" style="973" customWidth="1"/>
    <col min="14595" max="14595" width="10" style="973" bestFit="1" customWidth="1"/>
    <col min="14596" max="14599" width="8.90625" style="973"/>
    <col min="14600" max="14600" width="10" style="973" customWidth="1"/>
    <col min="14601" max="14602" width="10.1796875" style="973" customWidth="1"/>
    <col min="14603" max="14604" width="12" style="973" customWidth="1"/>
    <col min="14605" max="14605" width="8.6328125" style="973" customWidth="1"/>
    <col min="14606" max="14606" width="30.453125" style="973" customWidth="1"/>
    <col min="14607" max="14607" width="9.6328125" style="973" customWidth="1"/>
    <col min="14608" max="14611" width="8.81640625" style="973" customWidth="1"/>
    <col min="14612" max="14628" width="10.36328125" style="973" customWidth="1"/>
    <col min="14629" max="14629" width="8.90625" style="973"/>
    <col min="14630" max="14630" width="12.36328125" style="973" customWidth="1"/>
    <col min="14631" max="14631" width="13.08984375" style="973" customWidth="1"/>
    <col min="14632" max="14632" width="9.08984375" style="973" customWidth="1"/>
    <col min="14633" max="14849" width="8.90625" style="973"/>
    <col min="14850" max="14850" width="14.6328125" style="973" customWidth="1"/>
    <col min="14851" max="14851" width="10" style="973" bestFit="1" customWidth="1"/>
    <col min="14852" max="14855" width="8.90625" style="973"/>
    <col min="14856" max="14856" width="10" style="973" customWidth="1"/>
    <col min="14857" max="14858" width="10.1796875" style="973" customWidth="1"/>
    <col min="14859" max="14860" width="12" style="973" customWidth="1"/>
    <col min="14861" max="14861" width="8.6328125" style="973" customWidth="1"/>
    <col min="14862" max="14862" width="30.453125" style="973" customWidth="1"/>
    <col min="14863" max="14863" width="9.6328125" style="973" customWidth="1"/>
    <col min="14864" max="14867" width="8.81640625" style="973" customWidth="1"/>
    <col min="14868" max="14884" width="10.36328125" style="973" customWidth="1"/>
    <col min="14885" max="14885" width="8.90625" style="973"/>
    <col min="14886" max="14886" width="12.36328125" style="973" customWidth="1"/>
    <col min="14887" max="14887" width="13.08984375" style="973" customWidth="1"/>
    <col min="14888" max="14888" width="9.08984375" style="973" customWidth="1"/>
    <col min="14889" max="15105" width="8.90625" style="973"/>
    <col min="15106" max="15106" width="14.6328125" style="973" customWidth="1"/>
    <col min="15107" max="15107" width="10" style="973" bestFit="1" customWidth="1"/>
    <col min="15108" max="15111" width="8.90625" style="973"/>
    <col min="15112" max="15112" width="10" style="973" customWidth="1"/>
    <col min="15113" max="15114" width="10.1796875" style="973" customWidth="1"/>
    <col min="15115" max="15116" width="12" style="973" customWidth="1"/>
    <col min="15117" max="15117" width="8.6328125" style="973" customWidth="1"/>
    <col min="15118" max="15118" width="30.453125" style="973" customWidth="1"/>
    <col min="15119" max="15119" width="9.6328125" style="973" customWidth="1"/>
    <col min="15120" max="15123" width="8.81640625" style="973" customWidth="1"/>
    <col min="15124" max="15140" width="10.36328125" style="973" customWidth="1"/>
    <col min="15141" max="15141" width="8.90625" style="973"/>
    <col min="15142" max="15142" width="12.36328125" style="973" customWidth="1"/>
    <col min="15143" max="15143" width="13.08984375" style="973" customWidth="1"/>
    <col min="15144" max="15144" width="9.08984375" style="973" customWidth="1"/>
    <col min="15145" max="15361" width="8.90625" style="973"/>
    <col min="15362" max="15362" width="14.6328125" style="973" customWidth="1"/>
    <col min="15363" max="15363" width="10" style="973" bestFit="1" customWidth="1"/>
    <col min="15364" max="15367" width="8.90625" style="973"/>
    <col min="15368" max="15368" width="10" style="973" customWidth="1"/>
    <col min="15369" max="15370" width="10.1796875" style="973" customWidth="1"/>
    <col min="15371" max="15372" width="12" style="973" customWidth="1"/>
    <col min="15373" max="15373" width="8.6328125" style="973" customWidth="1"/>
    <col min="15374" max="15374" width="30.453125" style="973" customWidth="1"/>
    <col min="15375" max="15375" width="9.6328125" style="973" customWidth="1"/>
    <col min="15376" max="15379" width="8.81640625" style="973" customWidth="1"/>
    <col min="15380" max="15396" width="10.36328125" style="973" customWidth="1"/>
    <col min="15397" max="15397" width="8.90625" style="973"/>
    <col min="15398" max="15398" width="12.36328125" style="973" customWidth="1"/>
    <col min="15399" max="15399" width="13.08984375" style="973" customWidth="1"/>
    <col min="15400" max="15400" width="9.08984375" style="973" customWidth="1"/>
    <col min="15401" max="15617" width="8.90625" style="973"/>
    <col min="15618" max="15618" width="14.6328125" style="973" customWidth="1"/>
    <col min="15619" max="15619" width="10" style="973" bestFit="1" customWidth="1"/>
    <col min="15620" max="15623" width="8.90625" style="973"/>
    <col min="15624" max="15624" width="10" style="973" customWidth="1"/>
    <col min="15625" max="15626" width="10.1796875" style="973" customWidth="1"/>
    <col min="15627" max="15628" width="12" style="973" customWidth="1"/>
    <col min="15629" max="15629" width="8.6328125" style="973" customWidth="1"/>
    <col min="15630" max="15630" width="30.453125" style="973" customWidth="1"/>
    <col min="15631" max="15631" width="9.6328125" style="973" customWidth="1"/>
    <col min="15632" max="15635" width="8.81640625" style="973" customWidth="1"/>
    <col min="15636" max="15652" width="10.36328125" style="973" customWidth="1"/>
    <col min="15653" max="15653" width="8.90625" style="973"/>
    <col min="15654" max="15654" width="12.36328125" style="973" customWidth="1"/>
    <col min="15655" max="15655" width="13.08984375" style="973" customWidth="1"/>
    <col min="15656" max="15656" width="9.08984375" style="973" customWidth="1"/>
    <col min="15657" max="15873" width="8.90625" style="973"/>
    <col min="15874" max="15874" width="14.6328125" style="973" customWidth="1"/>
    <col min="15875" max="15875" width="10" style="973" bestFit="1" customWidth="1"/>
    <col min="15876" max="15879" width="8.90625" style="973"/>
    <col min="15880" max="15880" width="10" style="973" customWidth="1"/>
    <col min="15881" max="15882" width="10.1796875" style="973" customWidth="1"/>
    <col min="15883" max="15884" width="12" style="973" customWidth="1"/>
    <col min="15885" max="15885" width="8.6328125" style="973" customWidth="1"/>
    <col min="15886" max="15886" width="30.453125" style="973" customWidth="1"/>
    <col min="15887" max="15887" width="9.6328125" style="973" customWidth="1"/>
    <col min="15888" max="15891" width="8.81640625" style="973" customWidth="1"/>
    <col min="15892" max="15908" width="10.36328125" style="973" customWidth="1"/>
    <col min="15909" max="15909" width="8.90625" style="973"/>
    <col min="15910" max="15910" width="12.36328125" style="973" customWidth="1"/>
    <col min="15911" max="15911" width="13.08984375" style="973" customWidth="1"/>
    <col min="15912" max="15912" width="9.08984375" style="973" customWidth="1"/>
    <col min="15913" max="16129" width="8.90625" style="973"/>
    <col min="16130" max="16130" width="14.6328125" style="973" customWidth="1"/>
    <col min="16131" max="16131" width="10" style="973" bestFit="1" customWidth="1"/>
    <col min="16132" max="16135" width="8.90625" style="973"/>
    <col min="16136" max="16136" width="10" style="973" customWidth="1"/>
    <col min="16137" max="16138" width="10.1796875" style="973" customWidth="1"/>
    <col min="16139" max="16140" width="12" style="973" customWidth="1"/>
    <col min="16141" max="16141" width="8.6328125" style="973" customWidth="1"/>
    <col min="16142" max="16142" width="30.453125" style="973" customWidth="1"/>
    <col min="16143" max="16143" width="9.6328125" style="973" customWidth="1"/>
    <col min="16144" max="16147" width="8.81640625" style="973" customWidth="1"/>
    <col min="16148" max="16164" width="10.36328125" style="973" customWidth="1"/>
    <col min="16165" max="16165" width="8.90625" style="973"/>
    <col min="16166" max="16166" width="12.36328125" style="973" customWidth="1"/>
    <col min="16167" max="16167" width="13.08984375" style="973" customWidth="1"/>
    <col min="16168" max="16168" width="9.08984375" style="973" customWidth="1"/>
    <col min="16169" max="16384" width="8.90625" style="973"/>
  </cols>
  <sheetData>
    <row r="5" spans="1:64" ht="20.100000000000001" customHeight="1">
      <c r="B5" s="974" t="s">
        <v>852</v>
      </c>
      <c r="N5" s="975" t="s">
        <v>876</v>
      </c>
      <c r="Y5" s="974" t="s">
        <v>853</v>
      </c>
      <c r="AI5" s="975" t="s">
        <v>854</v>
      </c>
    </row>
    <row r="6" spans="1:64" ht="20.100000000000001" customHeight="1">
      <c r="B6" s="976" t="s">
        <v>24</v>
      </c>
      <c r="C6" s="976" t="s">
        <v>25</v>
      </c>
      <c r="D6" s="973" t="s">
        <v>211</v>
      </c>
      <c r="E6" s="973" t="s">
        <v>212</v>
      </c>
      <c r="F6" s="976" t="s">
        <v>18</v>
      </c>
      <c r="G6" s="973" t="s">
        <v>26</v>
      </c>
      <c r="H6" s="2384" t="s">
        <v>213</v>
      </c>
      <c r="I6" s="2384"/>
      <c r="J6" s="976" t="s">
        <v>438</v>
      </c>
      <c r="K6" s="976" t="s">
        <v>855</v>
      </c>
      <c r="L6" s="976"/>
      <c r="N6" s="975" t="str">
        <f>CC!C3</f>
        <v>Extension of mixer bay and replacement of 02 nos mixer cranes 125+30t, span 28 m in SMS-2</v>
      </c>
      <c r="AI6" s="975" t="e">
        <f>#REF!</f>
        <v>#REF!</v>
      </c>
      <c r="AN6" s="977"/>
      <c r="AO6" s="122"/>
    </row>
    <row r="7" spans="1:64" ht="20.100000000000001" customHeight="1">
      <c r="C7" s="976" t="s">
        <v>28</v>
      </c>
      <c r="D7" s="973" t="s">
        <v>214</v>
      </c>
      <c r="E7" s="973" t="s">
        <v>215</v>
      </c>
      <c r="F7" s="978" t="s">
        <v>382</v>
      </c>
      <c r="G7" s="973" t="s">
        <v>856</v>
      </c>
      <c r="H7" s="976" t="s">
        <v>199</v>
      </c>
      <c r="I7" s="976" t="s">
        <v>29</v>
      </c>
      <c r="J7" s="976"/>
      <c r="K7" s="976" t="s">
        <v>857</v>
      </c>
      <c r="L7" s="976"/>
      <c r="O7" s="979"/>
      <c r="P7" s="979"/>
      <c r="Q7" s="979"/>
      <c r="R7" s="980"/>
      <c r="S7" s="979"/>
      <c r="T7" s="979"/>
      <c r="U7" s="979"/>
      <c r="V7" s="979"/>
      <c r="W7" s="979"/>
      <c r="X7" s="979"/>
      <c r="Y7" s="979"/>
      <c r="Z7" s="979"/>
      <c r="AA7" s="979"/>
      <c r="AB7" s="979"/>
      <c r="AC7" s="979"/>
    </row>
    <row r="8" spans="1:64" ht="20.100000000000001" customHeight="1">
      <c r="B8" s="981" t="s">
        <v>4</v>
      </c>
      <c r="C8" s="981" t="s">
        <v>4</v>
      </c>
      <c r="D8" s="981" t="s">
        <v>4</v>
      </c>
      <c r="E8" s="981" t="s">
        <v>4</v>
      </c>
      <c r="F8" s="981" t="s">
        <v>4</v>
      </c>
      <c r="G8" s="981" t="s">
        <v>4</v>
      </c>
      <c r="H8" s="981" t="s">
        <v>4</v>
      </c>
      <c r="I8" s="981" t="s">
        <v>4</v>
      </c>
      <c r="J8" s="981"/>
      <c r="K8" s="981"/>
      <c r="L8" s="981"/>
      <c r="N8" s="1069" t="s">
        <v>219</v>
      </c>
      <c r="O8" s="979"/>
      <c r="P8" s="979"/>
      <c r="Q8" s="979"/>
      <c r="R8" s="983"/>
      <c r="S8" s="979"/>
      <c r="T8" s="979"/>
      <c r="U8" s="979"/>
      <c r="V8" s="979"/>
      <c r="W8" s="979"/>
      <c r="X8" s="979"/>
      <c r="Y8" s="979"/>
      <c r="AA8" s="979"/>
      <c r="AB8" s="979"/>
      <c r="AC8" s="979"/>
      <c r="AJ8" s="982" t="s">
        <v>858</v>
      </c>
      <c r="AO8" s="944"/>
      <c r="AP8" s="944"/>
      <c r="AQ8" s="944"/>
      <c r="AR8" s="944"/>
      <c r="AS8" s="944"/>
      <c r="AT8" s="944"/>
      <c r="AU8" s="944"/>
      <c r="AV8" s="944"/>
      <c r="AW8" s="944"/>
    </row>
    <row r="9" spans="1:64" ht="20.100000000000001" customHeight="1">
      <c r="A9" s="984"/>
      <c r="N9" s="985" t="s">
        <v>220</v>
      </c>
      <c r="O9" s="986" t="s">
        <v>221</v>
      </c>
      <c r="P9" s="986" t="s">
        <v>222</v>
      </c>
      <c r="Q9" s="986" t="s">
        <v>223</v>
      </c>
      <c r="R9" s="986" t="s">
        <v>224</v>
      </c>
      <c r="S9" s="986" t="s">
        <v>225</v>
      </c>
      <c r="T9" s="986" t="s">
        <v>226</v>
      </c>
      <c r="U9" s="986" t="s">
        <v>227</v>
      </c>
      <c r="V9" s="986" t="s">
        <v>228</v>
      </c>
      <c r="W9" s="986" t="s">
        <v>229</v>
      </c>
      <c r="X9" s="986" t="s">
        <v>230</v>
      </c>
      <c r="Y9" s="986" t="s">
        <v>231</v>
      </c>
      <c r="Z9" s="986" t="s">
        <v>232</v>
      </c>
      <c r="AA9" s="986" t="s">
        <v>233</v>
      </c>
      <c r="AB9" s="986" t="s">
        <v>234</v>
      </c>
      <c r="AC9" s="986" t="s">
        <v>235</v>
      </c>
      <c r="AD9" s="986" t="s">
        <v>236</v>
      </c>
      <c r="AE9" s="986" t="s">
        <v>237</v>
      </c>
      <c r="AF9" s="986" t="s">
        <v>238</v>
      </c>
      <c r="AG9" s="986" t="s">
        <v>239</v>
      </c>
      <c r="AH9" s="986" t="s">
        <v>240</v>
      </c>
      <c r="AI9" s="986" t="s">
        <v>241</v>
      </c>
      <c r="AJ9" s="986" t="s">
        <v>242</v>
      </c>
      <c r="AK9" s="986" t="s">
        <v>337</v>
      </c>
      <c r="AM9" s="1066" t="s">
        <v>859</v>
      </c>
    </row>
    <row r="10" spans="1:64" ht="20.100000000000001" customHeight="1">
      <c r="B10" s="976" t="s">
        <v>874</v>
      </c>
      <c r="C10" s="973">
        <f>CC!BI9</f>
        <v>26.087379971317201</v>
      </c>
      <c r="D10" s="973">
        <f>'[18]capcost(GST)'!BK10</f>
        <v>0</v>
      </c>
      <c r="E10" s="973">
        <f>CC!BK9</f>
        <v>26.087379971317201</v>
      </c>
      <c r="F10" s="973">
        <f>CC!BL9</f>
        <v>1.3043689985658602</v>
      </c>
      <c r="G10" s="973">
        <f>C10+F10</f>
        <v>27.391748969883061</v>
      </c>
      <c r="H10" s="973">
        <f>D10</f>
        <v>0</v>
      </c>
      <c r="I10" s="973">
        <f>E10+F10</f>
        <v>27.391748969883061</v>
      </c>
      <c r="N10" s="988" t="s">
        <v>244</v>
      </c>
      <c r="O10" s="986"/>
      <c r="P10" s="138"/>
      <c r="Q10" s="138">
        <f>70%*6/12*0</f>
        <v>0</v>
      </c>
      <c r="R10" s="138">
        <f>80%</f>
        <v>0.8</v>
      </c>
      <c r="S10" s="138">
        <v>0.9</v>
      </c>
      <c r="T10" s="138">
        <v>1</v>
      </c>
      <c r="U10" s="138">
        <v>1</v>
      </c>
      <c r="V10" s="138">
        <v>1</v>
      </c>
      <c r="W10" s="138">
        <v>1</v>
      </c>
      <c r="X10" s="138">
        <v>1</v>
      </c>
      <c r="Y10" s="138">
        <v>1</v>
      </c>
      <c r="Z10" s="138">
        <v>1</v>
      </c>
      <c r="AA10" s="138">
        <v>1</v>
      </c>
      <c r="AB10" s="138">
        <v>1</v>
      </c>
      <c r="AC10" s="138">
        <v>1</v>
      </c>
      <c r="AD10" s="138">
        <v>1</v>
      </c>
      <c r="AE10" s="138">
        <v>1</v>
      </c>
      <c r="AF10" s="138">
        <v>1</v>
      </c>
      <c r="AG10" s="138">
        <v>1</v>
      </c>
      <c r="AH10" s="138">
        <v>1</v>
      </c>
      <c r="AI10" s="138">
        <v>1</v>
      </c>
      <c r="AJ10" s="138">
        <v>1</v>
      </c>
      <c r="AK10" s="138">
        <v>1</v>
      </c>
      <c r="AN10" s="989">
        <v>0.15</v>
      </c>
    </row>
    <row r="11" spans="1:64" ht="20.100000000000001" customHeight="1">
      <c r="B11" s="976" t="s">
        <v>871</v>
      </c>
      <c r="C11" s="973">
        <f>CC!BI10</f>
        <v>26.087379971317201</v>
      </c>
      <c r="D11" s="973">
        <f>'[18]capcost(GST)'!BK11</f>
        <v>0</v>
      </c>
      <c r="E11" s="973">
        <f>CC!BK10</f>
        <v>26.087379971317201</v>
      </c>
      <c r="F11" s="973">
        <f>CC!BL10</f>
        <v>2.2826457474902551</v>
      </c>
      <c r="G11" s="973">
        <f t="shared" ref="G11:G14" si="0">C11+F11</f>
        <v>28.370025718807454</v>
      </c>
      <c r="H11" s="973">
        <f>D11</f>
        <v>0</v>
      </c>
      <c r="I11" s="973">
        <f>E11+F11</f>
        <v>28.370025718807454</v>
      </c>
      <c r="N11" s="979" t="s">
        <v>860</v>
      </c>
      <c r="O11" s="979">
        <v>0</v>
      </c>
      <c r="P11" s="979">
        <v>0</v>
      </c>
      <c r="Q11" s="979">
        <f>+$D$17*Q10</f>
        <v>0</v>
      </c>
      <c r="R11" s="979">
        <f>+$D$17*R10*11/12</f>
        <v>277.63738946164017</v>
      </c>
      <c r="S11" s="979">
        <f t="shared" ref="S11:AJ11" si="1">+$D$17*S10</f>
        <v>340.7367961574675</v>
      </c>
      <c r="T11" s="979">
        <f t="shared" si="1"/>
        <v>378.59644017496385</v>
      </c>
      <c r="U11" s="979">
        <f t="shared" si="1"/>
        <v>378.59644017496385</v>
      </c>
      <c r="V11" s="979">
        <f t="shared" si="1"/>
        <v>378.59644017496385</v>
      </c>
      <c r="W11" s="979">
        <f t="shared" si="1"/>
        <v>378.59644017496385</v>
      </c>
      <c r="X11" s="979">
        <f t="shared" si="1"/>
        <v>378.59644017496385</v>
      </c>
      <c r="Y11" s="979">
        <f t="shared" si="1"/>
        <v>378.59644017496385</v>
      </c>
      <c r="Z11" s="979">
        <f t="shared" si="1"/>
        <v>378.59644017496385</v>
      </c>
      <c r="AA11" s="979">
        <f t="shared" si="1"/>
        <v>378.59644017496385</v>
      </c>
      <c r="AB11" s="979">
        <f t="shared" si="1"/>
        <v>378.59644017496385</v>
      </c>
      <c r="AC11" s="979">
        <f t="shared" si="1"/>
        <v>378.59644017496385</v>
      </c>
      <c r="AD11" s="979">
        <f t="shared" si="1"/>
        <v>378.59644017496385</v>
      </c>
      <c r="AE11" s="979">
        <f t="shared" si="1"/>
        <v>378.59644017496385</v>
      </c>
      <c r="AF11" s="979">
        <f t="shared" si="1"/>
        <v>378.59644017496385</v>
      </c>
      <c r="AG11" s="979">
        <f t="shared" si="1"/>
        <v>378.59644017496385</v>
      </c>
      <c r="AH11" s="979">
        <f t="shared" si="1"/>
        <v>378.59644017496385</v>
      </c>
      <c r="AI11" s="979">
        <f t="shared" si="1"/>
        <v>378.59644017496385</v>
      </c>
      <c r="AJ11" s="979">
        <f t="shared" si="1"/>
        <v>378.59644017496385</v>
      </c>
      <c r="AK11" s="979">
        <f>+$D$17*AK10</f>
        <v>378.59644017496385</v>
      </c>
      <c r="AM11" s="973" t="s">
        <v>861</v>
      </c>
      <c r="AN11" s="990">
        <v>1</v>
      </c>
      <c r="AO11" s="991">
        <v>2</v>
      </c>
      <c r="AP11" s="991">
        <v>3</v>
      </c>
      <c r="AQ11" s="991">
        <v>4</v>
      </c>
      <c r="AR11" s="991">
        <v>5</v>
      </c>
      <c r="AS11" s="991">
        <v>6</v>
      </c>
      <c r="AT11" s="991">
        <v>7</v>
      </c>
      <c r="AU11" s="991">
        <v>8</v>
      </c>
      <c r="AV11" s="991">
        <v>9</v>
      </c>
      <c r="AW11" s="991">
        <v>10</v>
      </c>
      <c r="AX11" s="991">
        <v>11</v>
      </c>
      <c r="AY11" s="991">
        <v>12</v>
      </c>
      <c r="AZ11" s="991">
        <v>13</v>
      </c>
      <c r="BA11" s="991">
        <v>14</v>
      </c>
      <c r="BB11" s="991">
        <v>15</v>
      </c>
      <c r="BC11" s="991">
        <v>16</v>
      </c>
      <c r="BD11" s="991">
        <v>17</v>
      </c>
      <c r="BE11" s="991">
        <v>18</v>
      </c>
      <c r="BF11" s="991">
        <v>19</v>
      </c>
      <c r="BG11" s="991">
        <v>20</v>
      </c>
      <c r="BH11" s="991">
        <v>21</v>
      </c>
      <c r="BI11" s="992">
        <v>22</v>
      </c>
      <c r="BJ11" s="992">
        <v>23</v>
      </c>
    </row>
    <row r="12" spans="1:64" ht="20.100000000000001" customHeight="1">
      <c r="B12" s="976" t="s">
        <v>872</v>
      </c>
      <c r="C12" s="973">
        <f>CC!BI11</f>
        <v>0</v>
      </c>
      <c r="D12" s="973">
        <f>'[18]capcost(GST)'!BK12</f>
        <v>0</v>
      </c>
      <c r="E12" s="973">
        <f>CC!BK11</f>
        <v>0</v>
      </c>
      <c r="F12" s="973">
        <f>CC!BL11</f>
        <v>0</v>
      </c>
      <c r="G12" s="973">
        <f t="shared" si="0"/>
        <v>0</v>
      </c>
      <c r="H12" s="973">
        <f>D12</f>
        <v>0</v>
      </c>
      <c r="I12" s="973">
        <f>E12+F12</f>
        <v>0</v>
      </c>
      <c r="N12" s="979" t="s">
        <v>332</v>
      </c>
      <c r="O12" s="979">
        <f>+O32</f>
        <v>0</v>
      </c>
      <c r="P12" s="979">
        <f>+P32</f>
        <v>0</v>
      </c>
      <c r="Q12" s="979"/>
      <c r="R12" s="979">
        <f t="shared" ref="R12:AK12" si="2">+R32</f>
        <v>5.6429056051382771</v>
      </c>
      <c r="S12" s="979">
        <f t="shared" si="2"/>
        <v>6.1558970237872117</v>
      </c>
      <c r="T12" s="979">
        <f t="shared" si="2"/>
        <v>5.5403073214084912</v>
      </c>
      <c r="U12" s="979">
        <f t="shared" si="2"/>
        <v>4.9247176190297699</v>
      </c>
      <c r="V12" s="979">
        <f t="shared" si="2"/>
        <v>4.3091279166510486</v>
      </c>
      <c r="W12" s="979">
        <f t="shared" si="2"/>
        <v>3.6935382142723272</v>
      </c>
      <c r="X12" s="979">
        <f t="shared" si="2"/>
        <v>3.0779485118936059</v>
      </c>
      <c r="Y12" s="979">
        <f t="shared" si="2"/>
        <v>2.4623588095148849</v>
      </c>
      <c r="Z12" s="979">
        <f t="shared" si="2"/>
        <v>1.8467691071361636</v>
      </c>
      <c r="AA12" s="979">
        <f t="shared" si="2"/>
        <v>1.2311794047574425</v>
      </c>
      <c r="AB12" s="979">
        <f t="shared" si="2"/>
        <v>0.61558970237872124</v>
      </c>
      <c r="AC12" s="979">
        <f t="shared" si="2"/>
        <v>0</v>
      </c>
      <c r="AD12" s="979">
        <f t="shared" si="2"/>
        <v>0</v>
      </c>
      <c r="AE12" s="979">
        <f t="shared" si="2"/>
        <v>0</v>
      </c>
      <c r="AF12" s="979">
        <f t="shared" si="2"/>
        <v>0</v>
      </c>
      <c r="AG12" s="979">
        <f t="shared" si="2"/>
        <v>0</v>
      </c>
      <c r="AH12" s="979">
        <f t="shared" si="2"/>
        <v>0</v>
      </c>
      <c r="AI12" s="979">
        <f t="shared" si="2"/>
        <v>0</v>
      </c>
      <c r="AJ12" s="979">
        <f t="shared" si="2"/>
        <v>0</v>
      </c>
      <c r="AK12" s="979">
        <f t="shared" si="2"/>
        <v>0</v>
      </c>
      <c r="AM12" s="973" t="s">
        <v>862</v>
      </c>
      <c r="AN12" s="973">
        <f>+K15</f>
        <v>54.023816893072535</v>
      </c>
      <c r="AO12" s="973">
        <f>+AN14</f>
        <v>45.920244359111656</v>
      </c>
      <c r="AP12" s="973">
        <f t="shared" ref="AP12:BG12" si="3">+AO14</f>
        <v>39.032207705244907</v>
      </c>
      <c r="AQ12" s="973">
        <f t="shared" si="3"/>
        <v>33.177376549458174</v>
      </c>
      <c r="AR12" s="973">
        <f t="shared" si="3"/>
        <v>28.20077006703945</v>
      </c>
      <c r="AS12" s="973">
        <f t="shared" si="3"/>
        <v>23.970654556983533</v>
      </c>
      <c r="AT12" s="973">
        <f t="shared" si="3"/>
        <v>20.375056373436003</v>
      </c>
      <c r="AU12" s="973">
        <f t="shared" si="3"/>
        <v>17.318797917420603</v>
      </c>
      <c r="AV12" s="973">
        <f t="shared" si="3"/>
        <v>14.720978229807514</v>
      </c>
      <c r="AW12" s="973">
        <f t="shared" si="3"/>
        <v>12.512831495336387</v>
      </c>
      <c r="AX12" s="973">
        <f t="shared" si="3"/>
        <v>10.635906771035929</v>
      </c>
      <c r="AY12" s="973">
        <f t="shared" si="3"/>
        <v>9.0405207553805393</v>
      </c>
      <c r="AZ12" s="973">
        <f t="shared" si="3"/>
        <v>7.6844426420734582</v>
      </c>
      <c r="BA12" s="973">
        <f t="shared" si="3"/>
        <v>6.5317762457624395</v>
      </c>
      <c r="BB12" s="973">
        <f t="shared" si="3"/>
        <v>5.5520098088980738</v>
      </c>
      <c r="BC12" s="973">
        <f t="shared" si="3"/>
        <v>4.7192083375633631</v>
      </c>
      <c r="BD12" s="973">
        <f t="shared" si="3"/>
        <v>4.0113270869288584</v>
      </c>
      <c r="BE12" s="973">
        <f t="shared" si="3"/>
        <v>3.4096280238895296</v>
      </c>
      <c r="BF12" s="973">
        <f t="shared" si="3"/>
        <v>2.8981838203060999</v>
      </c>
      <c r="BG12" s="993">
        <f t="shared" si="3"/>
        <v>2.7011908446536363</v>
      </c>
      <c r="BH12" s="973">
        <f>+BG14</f>
        <v>2.7011908446536363</v>
      </c>
      <c r="BI12" s="973">
        <f>+BH14</f>
        <v>2.7011908446536363</v>
      </c>
      <c r="BJ12" s="973">
        <f>+BI14</f>
        <v>2.7011908446536363</v>
      </c>
      <c r="BL12" s="973" t="s">
        <v>863</v>
      </c>
    </row>
    <row r="13" spans="1:64" ht="20.100000000000001" customHeight="1">
      <c r="B13" s="973" t="s">
        <v>873</v>
      </c>
      <c r="C13" s="973">
        <f>CC!BI12</f>
        <v>0</v>
      </c>
      <c r="E13" s="973">
        <f>CC!BK12</f>
        <v>0</v>
      </c>
      <c r="F13" s="973">
        <f>CC!BL12</f>
        <v>0</v>
      </c>
      <c r="G13" s="973">
        <f t="shared" si="0"/>
        <v>0</v>
      </c>
      <c r="I13" s="973">
        <f>E13+F13</f>
        <v>0</v>
      </c>
      <c r="N13" s="979" t="s">
        <v>301</v>
      </c>
      <c r="O13" s="979">
        <v>0</v>
      </c>
      <c r="P13" s="979">
        <v>0</v>
      </c>
      <c r="Q13" s="979"/>
      <c r="R13" s="979">
        <f>AN13</f>
        <v>8.1035725339608806</v>
      </c>
      <c r="S13" s="979">
        <f>AO13</f>
        <v>6.8880366538667479</v>
      </c>
      <c r="T13" s="979">
        <f t="shared" ref="T13:AI13" si="4">AP13</f>
        <v>5.8548311557867363</v>
      </c>
      <c r="U13" s="979">
        <f t="shared" si="4"/>
        <v>4.9766064824187257</v>
      </c>
      <c r="V13" s="979">
        <f t="shared" si="4"/>
        <v>4.2301155100559171</v>
      </c>
      <c r="W13" s="979">
        <f t="shared" si="4"/>
        <v>3.5955981835475299</v>
      </c>
      <c r="X13" s="979">
        <f t="shared" si="4"/>
        <v>3.0562584560154002</v>
      </c>
      <c r="Y13" s="979">
        <f t="shared" si="4"/>
        <v>2.5978196876130903</v>
      </c>
      <c r="Z13" s="979">
        <f t="shared" si="4"/>
        <v>2.2081467344711272</v>
      </c>
      <c r="AA13" s="979">
        <f t="shared" si="4"/>
        <v>1.8769247243004581</v>
      </c>
      <c r="AB13" s="979">
        <f t="shared" si="4"/>
        <v>1.5953860156553892</v>
      </c>
      <c r="AC13" s="979">
        <f t="shared" si="4"/>
        <v>1.3560781133070809</v>
      </c>
      <c r="AD13" s="979">
        <f t="shared" si="4"/>
        <v>1.1526663963110186</v>
      </c>
      <c r="AE13" s="979">
        <f t="shared" si="4"/>
        <v>0.97976643686436593</v>
      </c>
      <c r="AF13" s="979">
        <f t="shared" si="4"/>
        <v>0.83280147133471105</v>
      </c>
      <c r="AG13" s="979">
        <f t="shared" si="4"/>
        <v>0.70788125063450447</v>
      </c>
      <c r="AH13" s="979">
        <f t="shared" si="4"/>
        <v>0.60169906303932874</v>
      </c>
      <c r="AI13" s="979">
        <f t="shared" si="4"/>
        <v>0.51144420358342946</v>
      </c>
      <c r="AJ13" s="1065">
        <f>BF13</f>
        <v>0.19699297565246354</v>
      </c>
      <c r="AL13" s="979">
        <f>SUM(O13:AK13)</f>
        <v>51.322626048418904</v>
      </c>
      <c r="AM13" s="973" t="s">
        <v>865</v>
      </c>
      <c r="AN13" s="993">
        <f>+AN12*AN10</f>
        <v>8.1035725339608806</v>
      </c>
      <c r="AO13" s="993">
        <f>+AO12*$AN$10</f>
        <v>6.8880366538667479</v>
      </c>
      <c r="AP13" s="993">
        <f t="shared" ref="AP13:BE13" si="5">+AP12*$AN$10</f>
        <v>5.8548311557867363</v>
      </c>
      <c r="AQ13" s="993">
        <f t="shared" si="5"/>
        <v>4.9766064824187257</v>
      </c>
      <c r="AR13" s="993">
        <f t="shared" si="5"/>
        <v>4.2301155100559171</v>
      </c>
      <c r="AS13" s="993">
        <f t="shared" si="5"/>
        <v>3.5955981835475299</v>
      </c>
      <c r="AT13" s="993">
        <f t="shared" si="5"/>
        <v>3.0562584560154002</v>
      </c>
      <c r="AU13" s="993">
        <f t="shared" si="5"/>
        <v>2.5978196876130903</v>
      </c>
      <c r="AV13" s="993">
        <f t="shared" si="5"/>
        <v>2.2081467344711272</v>
      </c>
      <c r="AW13" s="993">
        <f t="shared" si="5"/>
        <v>1.8769247243004581</v>
      </c>
      <c r="AX13" s="993">
        <f t="shared" si="5"/>
        <v>1.5953860156553892</v>
      </c>
      <c r="AY13" s="993">
        <f t="shared" si="5"/>
        <v>1.3560781133070809</v>
      </c>
      <c r="AZ13" s="993">
        <f t="shared" si="5"/>
        <v>1.1526663963110186</v>
      </c>
      <c r="BA13" s="993">
        <f t="shared" si="5"/>
        <v>0.97976643686436593</v>
      </c>
      <c r="BB13" s="993">
        <f t="shared" si="5"/>
        <v>0.83280147133471105</v>
      </c>
      <c r="BC13" s="993">
        <f t="shared" si="5"/>
        <v>0.70788125063450447</v>
      </c>
      <c r="BD13" s="993">
        <f t="shared" si="5"/>
        <v>0.60169906303932874</v>
      </c>
      <c r="BE13" s="993">
        <f t="shared" si="5"/>
        <v>0.51144420358342946</v>
      </c>
      <c r="BF13" s="1067">
        <f>AN12*0.95-SUM(AN13:BE13)</f>
        <v>0.19699297565246354</v>
      </c>
      <c r="BG13" s="973">
        <f>AN12*0.95-SUM(AN13:BF13)</f>
        <v>0</v>
      </c>
      <c r="BH13" s="993"/>
      <c r="BI13" s="993"/>
      <c r="BK13" s="1064">
        <f>SUM(AN13:BJ13)</f>
        <v>51.322626048418904</v>
      </c>
      <c r="BL13" s="973">
        <f>+K15*0.95</f>
        <v>51.322626048418904</v>
      </c>
    </row>
    <row r="14" spans="1:64" ht="20.100000000000001" customHeight="1">
      <c r="B14" s="994" t="s">
        <v>864</v>
      </c>
      <c r="C14" s="973">
        <f>CC!BI13</f>
        <v>5.797195549181601</v>
      </c>
      <c r="D14" s="973">
        <f>'[18]capcost(GST)'!BK14</f>
        <v>0</v>
      </c>
      <c r="E14" s="973">
        <f>CC!BK13</f>
        <v>5.797195549181601</v>
      </c>
      <c r="F14" s="973">
        <f>CC!BL13</f>
        <v>0</v>
      </c>
      <c r="G14" s="973">
        <f t="shared" si="0"/>
        <v>5.797195549181601</v>
      </c>
      <c r="H14" s="973">
        <f>D14</f>
        <v>0</v>
      </c>
      <c r="I14" s="973">
        <f>E14+F14</f>
        <v>5.797195549181601</v>
      </c>
      <c r="J14" s="995"/>
      <c r="K14" s="995"/>
      <c r="N14" s="979" t="s">
        <v>250</v>
      </c>
      <c r="O14" s="979">
        <v>0</v>
      </c>
      <c r="P14" s="979">
        <f t="shared" ref="P14:AI14" si="6">+P11-P12-P13</f>
        <v>0</v>
      </c>
      <c r="Q14" s="979">
        <f t="shared" si="6"/>
        <v>0</v>
      </c>
      <c r="R14" s="979">
        <f t="shared" si="6"/>
        <v>263.89091132254106</v>
      </c>
      <c r="S14" s="979">
        <f t="shared" si="6"/>
        <v>327.69286247981358</v>
      </c>
      <c r="T14" s="979">
        <f t="shared" si="6"/>
        <v>367.20130169776866</v>
      </c>
      <c r="U14" s="979">
        <f t="shared" si="6"/>
        <v>368.69511607351535</v>
      </c>
      <c r="V14" s="979">
        <f t="shared" si="6"/>
        <v>370.0571967482569</v>
      </c>
      <c r="W14" s="979">
        <f t="shared" si="6"/>
        <v>371.307303777144</v>
      </c>
      <c r="X14" s="979">
        <f t="shared" si="6"/>
        <v>372.46223320705479</v>
      </c>
      <c r="Y14" s="979">
        <f t="shared" si="6"/>
        <v>373.53626167783585</v>
      </c>
      <c r="Z14" s="979">
        <f t="shared" si="6"/>
        <v>374.54152433335656</v>
      </c>
      <c r="AA14" s="979">
        <f t="shared" si="6"/>
        <v>375.48833604590595</v>
      </c>
      <c r="AB14" s="979">
        <f t="shared" si="6"/>
        <v>376.38546445692975</v>
      </c>
      <c r="AC14" s="979">
        <f t="shared" si="6"/>
        <v>377.24036206165675</v>
      </c>
      <c r="AD14" s="979">
        <f t="shared" si="6"/>
        <v>377.44377377865283</v>
      </c>
      <c r="AE14" s="979">
        <f t="shared" si="6"/>
        <v>377.61667373809951</v>
      </c>
      <c r="AF14" s="979">
        <f t="shared" si="6"/>
        <v>377.76363870362911</v>
      </c>
      <c r="AG14" s="979">
        <f t="shared" si="6"/>
        <v>377.88855892432935</v>
      </c>
      <c r="AH14" s="979">
        <f t="shared" si="6"/>
        <v>377.9947411119245</v>
      </c>
      <c r="AI14" s="979">
        <f t="shared" si="6"/>
        <v>378.08499597138041</v>
      </c>
      <c r="AJ14" s="979">
        <f>+AJ11-AJ12-AJ13</f>
        <v>378.3994471993114</v>
      </c>
      <c r="AK14" s="979">
        <f>+AK11-AK12-AK13</f>
        <v>378.59644017496385</v>
      </c>
      <c r="AM14" s="973" t="s">
        <v>866</v>
      </c>
      <c r="AN14" s="993">
        <f>+AN12-AN13</f>
        <v>45.920244359111656</v>
      </c>
      <c r="AO14" s="993">
        <f>+AO12-AO13</f>
        <v>39.032207705244907</v>
      </c>
      <c r="AP14" s="993">
        <f t="shared" ref="AP14:BG14" si="7">+AP12-AP13</f>
        <v>33.177376549458174</v>
      </c>
      <c r="AQ14" s="993">
        <f t="shared" si="7"/>
        <v>28.20077006703945</v>
      </c>
      <c r="AR14" s="993">
        <f t="shared" si="7"/>
        <v>23.970654556983533</v>
      </c>
      <c r="AS14" s="993">
        <f t="shared" si="7"/>
        <v>20.375056373436003</v>
      </c>
      <c r="AT14" s="993">
        <f t="shared" si="7"/>
        <v>17.318797917420603</v>
      </c>
      <c r="AU14" s="993">
        <f t="shared" si="7"/>
        <v>14.720978229807514</v>
      </c>
      <c r="AV14" s="993">
        <f t="shared" si="7"/>
        <v>12.512831495336387</v>
      </c>
      <c r="AW14" s="993">
        <f t="shared" si="7"/>
        <v>10.635906771035929</v>
      </c>
      <c r="AX14" s="993">
        <f t="shared" si="7"/>
        <v>9.0405207553805393</v>
      </c>
      <c r="AY14" s="993">
        <f t="shared" si="7"/>
        <v>7.6844426420734582</v>
      </c>
      <c r="AZ14" s="993">
        <f t="shared" si="7"/>
        <v>6.5317762457624395</v>
      </c>
      <c r="BA14" s="993">
        <f t="shared" si="7"/>
        <v>5.5520098088980738</v>
      </c>
      <c r="BB14" s="993">
        <f t="shared" si="7"/>
        <v>4.7192083375633631</v>
      </c>
      <c r="BC14" s="993">
        <f t="shared" si="7"/>
        <v>4.0113270869288584</v>
      </c>
      <c r="BD14" s="993">
        <f t="shared" si="7"/>
        <v>3.4096280238895296</v>
      </c>
      <c r="BE14" s="993">
        <f t="shared" si="7"/>
        <v>2.8981838203060999</v>
      </c>
      <c r="BF14" s="993">
        <f t="shared" si="7"/>
        <v>2.7011908446536363</v>
      </c>
      <c r="BG14" s="993">
        <f t="shared" si="7"/>
        <v>2.7011908446536363</v>
      </c>
      <c r="BH14" s="993">
        <f>+BH12-BH13</f>
        <v>2.7011908446536363</v>
      </c>
      <c r="BI14" s="993">
        <f>+BI12-BI13</f>
        <v>2.7011908446536363</v>
      </c>
      <c r="BJ14" s="993">
        <f>+BJ12-BJ13</f>
        <v>2.7011908446536363</v>
      </c>
    </row>
    <row r="15" spans="1:64" ht="20.100000000000001" customHeight="1">
      <c r="B15" s="996" t="s">
        <v>9</v>
      </c>
      <c r="C15" s="993">
        <f t="shared" ref="C15:I15" si="8">SUM(C10:C14)</f>
        <v>57.971955491816004</v>
      </c>
      <c r="D15" s="993">
        <f t="shared" si="8"/>
        <v>0</v>
      </c>
      <c r="E15" s="993">
        <f t="shared" si="8"/>
        <v>57.971955491816004</v>
      </c>
      <c r="F15" s="993">
        <f t="shared" si="8"/>
        <v>3.5870147460561155</v>
      </c>
      <c r="G15" s="993">
        <f t="shared" si="8"/>
        <v>61.558970237872117</v>
      </c>
      <c r="H15" s="993">
        <f t="shared" si="8"/>
        <v>0</v>
      </c>
      <c r="I15" s="993">
        <f t="shared" si="8"/>
        <v>61.558970237872117</v>
      </c>
      <c r="J15" s="993">
        <f>CC!BM15</f>
        <v>7.5351533447995847</v>
      </c>
      <c r="K15" s="993">
        <f>+G15-J15</f>
        <v>54.023816893072535</v>
      </c>
      <c r="M15" s="1063">
        <f>0.22*1.1*1.04</f>
        <v>0.25168000000000001</v>
      </c>
      <c r="N15" s="979" t="s">
        <v>331</v>
      </c>
      <c r="O15" s="979">
        <f>IF(+O14*$M$15*$M$16&gt;0,O14*$M$15*$M$16,0)</f>
        <v>0</v>
      </c>
      <c r="P15" s="979">
        <f>IF(+P14*$M$15*$M$16&gt;0,P14*$M$15*$M$16,0)</f>
        <v>0</v>
      </c>
      <c r="Q15" s="979">
        <f t="shared" ref="Q15:AI15" si="9">IF(+Q14*$M$15*$M$16&gt;0,Q14*$M$15*$M$16,0)</f>
        <v>0</v>
      </c>
      <c r="R15" s="979">
        <f t="shared" si="9"/>
        <v>66.416064561657137</v>
      </c>
      <c r="S15" s="979">
        <f t="shared" si="9"/>
        <v>82.473739628919489</v>
      </c>
      <c r="T15" s="979">
        <f t="shared" si="9"/>
        <v>92.417223611294418</v>
      </c>
      <c r="U15" s="979">
        <f t="shared" si="9"/>
        <v>92.793186813382349</v>
      </c>
      <c r="V15" s="979">
        <f t="shared" si="9"/>
        <v>93.135995277601296</v>
      </c>
      <c r="W15" s="979">
        <f t="shared" si="9"/>
        <v>93.450622214631608</v>
      </c>
      <c r="X15" s="979">
        <f t="shared" si="9"/>
        <v>93.741294853551551</v>
      </c>
      <c r="Y15" s="979">
        <f t="shared" si="9"/>
        <v>94.01160633907773</v>
      </c>
      <c r="Z15" s="979">
        <f t="shared" si="9"/>
        <v>94.264610844219192</v>
      </c>
      <c r="AA15" s="979">
        <f t="shared" si="9"/>
        <v>94.502904416033616</v>
      </c>
      <c r="AB15" s="979">
        <f t="shared" si="9"/>
        <v>94.728693694520089</v>
      </c>
      <c r="AC15" s="979">
        <f t="shared" si="9"/>
        <v>94.943854323677783</v>
      </c>
      <c r="AD15" s="979">
        <f t="shared" si="9"/>
        <v>94.995048984611344</v>
      </c>
      <c r="AE15" s="979">
        <f t="shared" si="9"/>
        <v>95.038564446404891</v>
      </c>
      <c r="AF15" s="979">
        <f t="shared" si="9"/>
        <v>95.075552588929384</v>
      </c>
      <c r="AG15" s="979">
        <f t="shared" si="9"/>
        <v>95.106992510075216</v>
      </c>
      <c r="AH15" s="979">
        <f t="shared" si="9"/>
        <v>95.133716443049167</v>
      </c>
      <c r="AI15" s="979">
        <f t="shared" si="9"/>
        <v>95.156431786077022</v>
      </c>
      <c r="AJ15" s="979">
        <f>IF(+AJ14*$M$15*$M$16&gt;0,AJ14*$M$15*$M$16,0)</f>
        <v>95.235572871122699</v>
      </c>
      <c r="AK15" s="979">
        <f>IF(+AK14*$M$15*$M$16&gt;0,AK14*$M$15*$M$16,0)</f>
        <v>95.285152063234904</v>
      </c>
      <c r="AO15" s="944"/>
      <c r="AP15" s="944"/>
      <c r="AQ15" s="944"/>
      <c r="AR15" s="944"/>
      <c r="AS15" s="944"/>
      <c r="AT15" s="944"/>
      <c r="AU15" s="944"/>
      <c r="AV15" s="944"/>
      <c r="AW15" s="944"/>
    </row>
    <row r="16" spans="1:64" ht="20.100000000000001" customHeight="1">
      <c r="A16" s="997"/>
      <c r="H16" s="981"/>
      <c r="I16" s="981"/>
      <c r="J16" s="981"/>
      <c r="K16" s="981"/>
      <c r="M16" s="1064">
        <v>1</v>
      </c>
      <c r="O16" s="979"/>
      <c r="P16" s="979"/>
      <c r="Q16" s="979"/>
      <c r="R16" s="979"/>
      <c r="S16" s="979"/>
      <c r="T16" s="979"/>
      <c r="U16" s="979"/>
      <c r="V16" s="979"/>
      <c r="W16" s="979"/>
      <c r="X16" s="979"/>
      <c r="Y16" s="979"/>
      <c r="Z16" s="979"/>
      <c r="AA16" s="979"/>
      <c r="AB16" s="979"/>
      <c r="AC16" s="979"/>
      <c r="AD16" s="979"/>
      <c r="AE16" s="979"/>
      <c r="AF16" s="979"/>
      <c r="AG16" s="979"/>
      <c r="AH16" s="979"/>
      <c r="AI16" s="979"/>
      <c r="AJ16" s="979"/>
      <c r="AK16" s="979"/>
      <c r="AN16" s="973">
        <f>AN12*0.95</f>
        <v>51.322626048418904</v>
      </c>
      <c r="AO16" s="944"/>
      <c r="AP16" s="944"/>
      <c r="AQ16" s="944"/>
      <c r="AR16" s="944"/>
      <c r="AS16" s="944"/>
      <c r="AT16" s="944"/>
      <c r="AU16" s="944"/>
      <c r="AV16" s="944"/>
      <c r="AW16" s="944"/>
    </row>
    <row r="17" spans="1:49" ht="20.100000000000001" customHeight="1">
      <c r="A17" s="997"/>
      <c r="B17" s="998" t="s">
        <v>295</v>
      </c>
      <c r="C17" s="999" t="s">
        <v>831</v>
      </c>
      <c r="D17" s="1000">
        <f>'Gross Margin'!G18</f>
        <v>378.59644017496385</v>
      </c>
      <c r="N17" s="979" t="s">
        <v>251</v>
      </c>
      <c r="O17" s="979">
        <v>0</v>
      </c>
      <c r="P17" s="979">
        <f>+P14-P15</f>
        <v>0</v>
      </c>
      <c r="Q17" s="979">
        <f t="shared" ref="Q17:AK17" si="10">+Q14-Q15</f>
        <v>0</v>
      </c>
      <c r="R17" s="979">
        <f t="shared" si="10"/>
        <v>197.47484676088391</v>
      </c>
      <c r="S17" s="979">
        <f t="shared" si="10"/>
        <v>245.21912285089411</v>
      </c>
      <c r="T17" s="979">
        <f t="shared" si="10"/>
        <v>274.78407808647421</v>
      </c>
      <c r="U17" s="979">
        <f t="shared" si="10"/>
        <v>275.90192926013299</v>
      </c>
      <c r="V17" s="979">
        <f t="shared" si="10"/>
        <v>276.9212014706556</v>
      </c>
      <c r="W17" s="979">
        <f t="shared" si="10"/>
        <v>277.85668156251239</v>
      </c>
      <c r="X17" s="979">
        <f t="shared" si="10"/>
        <v>278.72093835350324</v>
      </c>
      <c r="Y17" s="979">
        <f t="shared" si="10"/>
        <v>279.52465533875812</v>
      </c>
      <c r="Z17" s="979">
        <f t="shared" si="10"/>
        <v>280.27691348913737</v>
      </c>
      <c r="AA17" s="979">
        <f t="shared" si="10"/>
        <v>280.98543162987232</v>
      </c>
      <c r="AB17" s="979">
        <f t="shared" si="10"/>
        <v>281.65677076240968</v>
      </c>
      <c r="AC17" s="979">
        <f t="shared" si="10"/>
        <v>282.29650773797897</v>
      </c>
      <c r="AD17" s="979">
        <f t="shared" si="10"/>
        <v>282.44872479404148</v>
      </c>
      <c r="AE17" s="979">
        <f t="shared" si="10"/>
        <v>282.5781092916946</v>
      </c>
      <c r="AF17" s="979">
        <f t="shared" si="10"/>
        <v>282.68808611469973</v>
      </c>
      <c r="AG17" s="979">
        <f t="shared" si="10"/>
        <v>282.78156641425414</v>
      </c>
      <c r="AH17" s="979">
        <f>+AH14-AH15</f>
        <v>282.8610246688753</v>
      </c>
      <c r="AI17" s="979">
        <f t="shared" si="10"/>
        <v>282.9285641853034</v>
      </c>
      <c r="AJ17" s="979">
        <f t="shared" si="10"/>
        <v>283.16387432818868</v>
      </c>
      <c r="AK17" s="979">
        <f t="shared" si="10"/>
        <v>283.31128811172891</v>
      </c>
      <c r="AO17" s="944"/>
      <c r="AP17" s="944"/>
      <c r="AQ17" s="944"/>
      <c r="AR17" s="944"/>
      <c r="AS17" s="944"/>
      <c r="AT17" s="944"/>
    </row>
    <row r="18" spans="1:49" ht="20.100000000000001" customHeight="1">
      <c r="A18" s="997"/>
      <c r="B18" s="1001"/>
      <c r="C18" s="976"/>
      <c r="F18" s="976"/>
      <c r="N18" s="1002" t="s">
        <v>252</v>
      </c>
      <c r="O18" s="1002">
        <v>0</v>
      </c>
      <c r="P18" s="1002">
        <f>+P17</f>
        <v>0</v>
      </c>
      <c r="Q18" s="1002">
        <f>+Q17+P18</f>
        <v>0</v>
      </c>
      <c r="R18" s="1002">
        <f t="shared" ref="R18:AK18" si="11">+R17+Q18</f>
        <v>197.47484676088391</v>
      </c>
      <c r="S18" s="1002">
        <f t="shared" si="11"/>
        <v>442.69396961177802</v>
      </c>
      <c r="T18" s="1002">
        <f t="shared" si="11"/>
        <v>717.47804769825223</v>
      </c>
      <c r="U18" s="1002">
        <f t="shared" si="11"/>
        <v>993.37997695838521</v>
      </c>
      <c r="V18" s="1002">
        <f t="shared" si="11"/>
        <v>1270.3011784290409</v>
      </c>
      <c r="W18" s="1002">
        <f t="shared" si="11"/>
        <v>1548.1578599915533</v>
      </c>
      <c r="X18" s="1002">
        <f t="shared" si="11"/>
        <v>1826.8787983450566</v>
      </c>
      <c r="Y18" s="1002">
        <f t="shared" si="11"/>
        <v>2106.4034536838149</v>
      </c>
      <c r="Z18" s="1002">
        <f t="shared" si="11"/>
        <v>2386.6803671729522</v>
      </c>
      <c r="AA18" s="1002">
        <f t="shared" si="11"/>
        <v>2667.6657988028246</v>
      </c>
      <c r="AB18" s="1002">
        <f t="shared" si="11"/>
        <v>2949.3225695652345</v>
      </c>
      <c r="AC18" s="1002">
        <f t="shared" si="11"/>
        <v>3231.6190773032135</v>
      </c>
      <c r="AD18" s="1002">
        <f t="shared" si="11"/>
        <v>3514.067802097255</v>
      </c>
      <c r="AE18" s="1002">
        <f t="shared" si="11"/>
        <v>3796.6459113889496</v>
      </c>
      <c r="AF18" s="1002">
        <f t="shared" si="11"/>
        <v>4079.3339975036492</v>
      </c>
      <c r="AG18" s="1002">
        <f t="shared" si="11"/>
        <v>4362.1155639179033</v>
      </c>
      <c r="AH18" s="1002">
        <f t="shared" si="11"/>
        <v>4644.9765885867782</v>
      </c>
      <c r="AI18" s="1002">
        <f>+AI17+AG18</f>
        <v>4645.0441281032063</v>
      </c>
      <c r="AJ18" s="1002">
        <f t="shared" si="11"/>
        <v>4928.2080024313946</v>
      </c>
      <c r="AK18" s="1002">
        <f t="shared" si="11"/>
        <v>5211.5192905431231</v>
      </c>
      <c r="AO18" s="944"/>
      <c r="AP18" s="944"/>
      <c r="AQ18" s="944"/>
      <c r="AR18" s="944"/>
      <c r="AS18" s="944"/>
      <c r="AT18" s="944"/>
      <c r="AU18" s="944"/>
      <c r="AV18" s="944"/>
      <c r="AW18" s="944"/>
    </row>
    <row r="19" spans="1:49" ht="20.100000000000001" customHeight="1">
      <c r="AK19" s="979"/>
      <c r="AO19" s="944"/>
      <c r="AP19" s="944"/>
      <c r="AQ19" s="944"/>
      <c r="AR19" s="944"/>
      <c r="AS19" s="944"/>
      <c r="AT19" s="944"/>
    </row>
    <row r="20" spans="1:49" ht="20.100000000000001" customHeight="1">
      <c r="H20" s="2384"/>
      <c r="I20" s="2384"/>
      <c r="J20" s="976"/>
      <c r="K20" s="976"/>
      <c r="N20" s="1068" t="s">
        <v>255</v>
      </c>
      <c r="O20" s="979"/>
      <c r="P20" s="979"/>
      <c r="Q20" s="979"/>
      <c r="R20" s="979"/>
      <c r="S20" s="979"/>
      <c r="T20" s="979"/>
      <c r="U20" s="979"/>
      <c r="V20" s="979"/>
      <c r="W20" s="979"/>
      <c r="X20" s="979"/>
      <c r="Y20" s="979"/>
      <c r="Z20" s="979"/>
      <c r="AA20" s="979"/>
      <c r="AB20" s="979"/>
      <c r="AC20" s="979"/>
      <c r="AK20" s="979"/>
      <c r="AO20" s="944"/>
      <c r="AP20" s="944"/>
      <c r="AQ20" s="944"/>
      <c r="AR20" s="944"/>
      <c r="AS20" s="944"/>
      <c r="AT20" s="944"/>
      <c r="AU20" s="944"/>
      <c r="AV20" s="944"/>
      <c r="AW20" s="944"/>
    </row>
    <row r="21" spans="1:49" ht="20.100000000000001" customHeight="1">
      <c r="H21" s="976"/>
      <c r="I21" s="976"/>
      <c r="J21" s="976"/>
      <c r="K21" s="976"/>
      <c r="N21" s="1003"/>
      <c r="O21" s="979"/>
      <c r="P21" s="979"/>
      <c r="Q21" s="979"/>
      <c r="R21" s="979"/>
      <c r="S21" s="979"/>
      <c r="T21" s="979"/>
      <c r="U21" s="979"/>
      <c r="V21" s="979">
        <f>+V8</f>
        <v>0</v>
      </c>
      <c r="X21" s="979"/>
      <c r="Y21" s="979"/>
      <c r="Z21" s="979"/>
      <c r="AA21" s="979"/>
      <c r="AB21" s="979"/>
      <c r="AC21" s="979"/>
      <c r="AI21" s="973">
        <f>+V21</f>
        <v>0</v>
      </c>
      <c r="AK21" s="979"/>
      <c r="AO21" s="944"/>
      <c r="AP21" s="944"/>
      <c r="AQ21" s="944"/>
      <c r="AR21" s="944"/>
      <c r="AS21" s="944"/>
      <c r="AT21" s="944"/>
      <c r="AU21" s="944"/>
      <c r="AV21" s="944"/>
      <c r="AW21" s="944"/>
    </row>
    <row r="22" spans="1:49" ht="20.100000000000001" customHeight="1">
      <c r="H22" s="976"/>
      <c r="I22" s="976"/>
      <c r="J22" s="976"/>
      <c r="K22" s="976"/>
      <c r="N22" s="1070" t="s">
        <v>894</v>
      </c>
      <c r="O22" s="1004" t="str">
        <f t="shared" ref="O22:AJ22" si="12">+O9</f>
        <v>Yr 1</v>
      </c>
      <c r="P22" s="1004" t="str">
        <f t="shared" si="12"/>
        <v>Yr 2</v>
      </c>
      <c r="Q22" s="1004" t="str">
        <f t="shared" si="12"/>
        <v>Yr 3</v>
      </c>
      <c r="R22" s="1004" t="str">
        <f t="shared" si="12"/>
        <v>Yr 4</v>
      </c>
      <c r="S22" s="1004" t="str">
        <f t="shared" si="12"/>
        <v>Yr 5</v>
      </c>
      <c r="T22" s="1004" t="str">
        <f t="shared" si="12"/>
        <v>Yr 6</v>
      </c>
      <c r="U22" s="1004" t="str">
        <f t="shared" si="12"/>
        <v>Yr 7</v>
      </c>
      <c r="V22" s="1004" t="str">
        <f t="shared" si="12"/>
        <v>Yr 8</v>
      </c>
      <c r="W22" s="1004" t="str">
        <f t="shared" si="12"/>
        <v>Yr 9</v>
      </c>
      <c r="X22" s="1004" t="str">
        <f t="shared" si="12"/>
        <v>Yr 10</v>
      </c>
      <c r="Y22" s="1004" t="str">
        <f t="shared" si="12"/>
        <v>Yr 11</v>
      </c>
      <c r="Z22" s="1004" t="str">
        <f t="shared" si="12"/>
        <v>Yr 12</v>
      </c>
      <c r="AA22" s="1004" t="str">
        <f t="shared" si="12"/>
        <v>Yr 13</v>
      </c>
      <c r="AB22" s="1004" t="str">
        <f t="shared" si="12"/>
        <v>Yr 14</v>
      </c>
      <c r="AC22" s="1004" t="str">
        <f t="shared" si="12"/>
        <v>Yr 15</v>
      </c>
      <c r="AD22" s="1004" t="str">
        <f t="shared" si="12"/>
        <v>Yr 16</v>
      </c>
      <c r="AE22" s="1004" t="str">
        <f t="shared" si="12"/>
        <v>Yr 17</v>
      </c>
      <c r="AF22" s="1004" t="str">
        <f t="shared" si="12"/>
        <v>Yr 18</v>
      </c>
      <c r="AG22" s="1004" t="str">
        <f t="shared" si="12"/>
        <v>Yr 19</v>
      </c>
      <c r="AH22" s="1004" t="str">
        <f>+AH9</f>
        <v>Yr 20</v>
      </c>
      <c r="AI22" s="1004" t="str">
        <f t="shared" si="12"/>
        <v>Yr 21</v>
      </c>
      <c r="AJ22" s="1005" t="str">
        <f t="shared" si="12"/>
        <v>Yr 22</v>
      </c>
      <c r="AK22" s="986" t="s">
        <v>337</v>
      </c>
    </row>
    <row r="23" spans="1:49" ht="20.100000000000001" customHeight="1">
      <c r="H23" s="981"/>
      <c r="I23" s="981"/>
      <c r="J23" s="981"/>
      <c r="K23" s="981"/>
      <c r="N23" s="979" t="s">
        <v>257</v>
      </c>
      <c r="O23" s="979">
        <v>0</v>
      </c>
      <c r="P23" s="979">
        <f>+P11</f>
        <v>0</v>
      </c>
      <c r="Q23" s="979">
        <f t="shared" ref="Q23:AK23" si="13">+Q11</f>
        <v>0</v>
      </c>
      <c r="R23" s="979">
        <f t="shared" si="13"/>
        <v>277.63738946164017</v>
      </c>
      <c r="S23" s="979">
        <f t="shared" si="13"/>
        <v>340.7367961574675</v>
      </c>
      <c r="T23" s="979">
        <f t="shared" si="13"/>
        <v>378.59644017496385</v>
      </c>
      <c r="U23" s="979">
        <f t="shared" si="13"/>
        <v>378.59644017496385</v>
      </c>
      <c r="V23" s="979">
        <f t="shared" si="13"/>
        <v>378.59644017496385</v>
      </c>
      <c r="W23" s="979">
        <f t="shared" si="13"/>
        <v>378.59644017496385</v>
      </c>
      <c r="X23" s="979">
        <f t="shared" si="13"/>
        <v>378.59644017496385</v>
      </c>
      <c r="Y23" s="979">
        <f t="shared" si="13"/>
        <v>378.59644017496385</v>
      </c>
      <c r="Z23" s="979">
        <f t="shared" si="13"/>
        <v>378.59644017496385</v>
      </c>
      <c r="AA23" s="979">
        <f t="shared" si="13"/>
        <v>378.59644017496385</v>
      </c>
      <c r="AB23" s="979">
        <f t="shared" si="13"/>
        <v>378.59644017496385</v>
      </c>
      <c r="AC23" s="979">
        <f t="shared" si="13"/>
        <v>378.59644017496385</v>
      </c>
      <c r="AD23" s="979">
        <f t="shared" si="13"/>
        <v>378.59644017496385</v>
      </c>
      <c r="AE23" s="979">
        <f t="shared" si="13"/>
        <v>378.59644017496385</v>
      </c>
      <c r="AF23" s="979">
        <f t="shared" si="13"/>
        <v>378.59644017496385</v>
      </c>
      <c r="AG23" s="979">
        <f t="shared" si="13"/>
        <v>378.59644017496385</v>
      </c>
      <c r="AH23" s="979">
        <f>+AH11</f>
        <v>378.59644017496385</v>
      </c>
      <c r="AI23" s="979">
        <f t="shared" si="13"/>
        <v>378.59644017496385</v>
      </c>
      <c r="AJ23" s="979">
        <f t="shared" si="13"/>
        <v>378.59644017496385</v>
      </c>
      <c r="AK23" s="979">
        <f t="shared" si="13"/>
        <v>378.59644017496385</v>
      </c>
      <c r="AL23" s="979">
        <f>SUM(O23:AJ23)</f>
        <v>7054.5136685934958</v>
      </c>
    </row>
    <row r="24" spans="1:49" ht="20.100000000000001" customHeight="1">
      <c r="M24" s="973">
        <f>SUM(O24:R24)</f>
        <v>0</v>
      </c>
      <c r="N24" s="979" t="s">
        <v>258</v>
      </c>
      <c r="O24" s="979">
        <f>+H10</f>
        <v>0</v>
      </c>
      <c r="P24" s="979">
        <f>+H11+H14*0</f>
        <v>0</v>
      </c>
      <c r="Q24" s="979">
        <f>H14+H12</f>
        <v>0</v>
      </c>
      <c r="R24" s="979">
        <v>0</v>
      </c>
      <c r="S24" s="979">
        <v>0</v>
      </c>
      <c r="T24" s="979">
        <v>0</v>
      </c>
      <c r="U24" s="979">
        <v>0</v>
      </c>
      <c r="V24" s="979">
        <v>0</v>
      </c>
      <c r="W24" s="979">
        <v>0</v>
      </c>
      <c r="X24" s="979">
        <v>0</v>
      </c>
      <c r="Y24" s="979">
        <v>0</v>
      </c>
      <c r="Z24" s="979">
        <v>0</v>
      </c>
      <c r="AA24" s="979">
        <v>0</v>
      </c>
      <c r="AB24" s="979">
        <v>0</v>
      </c>
      <c r="AC24" s="979">
        <v>0</v>
      </c>
      <c r="AD24" s="979">
        <v>0</v>
      </c>
      <c r="AE24" s="979">
        <v>0</v>
      </c>
      <c r="AF24" s="979">
        <v>0</v>
      </c>
      <c r="AG24" s="979">
        <v>0</v>
      </c>
      <c r="AH24" s="979">
        <v>0</v>
      </c>
      <c r="AI24" s="979">
        <v>0</v>
      </c>
      <c r="AJ24" s="979">
        <v>0</v>
      </c>
      <c r="AL24" s="979">
        <f>SUM(O24:AJ24)</f>
        <v>0</v>
      </c>
    </row>
    <row r="25" spans="1:49" ht="20.100000000000001" customHeight="1">
      <c r="A25" s="997"/>
      <c r="C25" s="976"/>
      <c r="F25" s="978"/>
      <c r="M25" s="973">
        <f>SUM(O25:R25)</f>
        <v>61.558970237872117</v>
      </c>
      <c r="N25" s="979" t="s">
        <v>867</v>
      </c>
      <c r="O25" s="979">
        <f>+I10</f>
        <v>27.391748969883061</v>
      </c>
      <c r="P25" s="979">
        <f>+I11</f>
        <v>28.370025718807454</v>
      </c>
      <c r="Q25" s="979">
        <f>I12</f>
        <v>0</v>
      </c>
      <c r="R25" s="979">
        <f>I13+I14</f>
        <v>5.797195549181601</v>
      </c>
      <c r="S25" s="979">
        <v>0</v>
      </c>
      <c r="T25" s="979">
        <v>0</v>
      </c>
      <c r="U25" s="979">
        <v>0</v>
      </c>
      <c r="V25" s="979">
        <v>0</v>
      </c>
      <c r="W25" s="979">
        <v>0</v>
      </c>
      <c r="X25" s="979">
        <v>0</v>
      </c>
      <c r="Y25" s="979">
        <v>0</v>
      </c>
      <c r="Z25" s="979">
        <v>0</v>
      </c>
      <c r="AA25" s="979">
        <v>0</v>
      </c>
      <c r="AB25" s="979">
        <v>0</v>
      </c>
      <c r="AC25" s="979">
        <v>0</v>
      </c>
      <c r="AD25" s="979">
        <v>0</v>
      </c>
      <c r="AE25" s="979">
        <v>0</v>
      </c>
      <c r="AF25" s="979">
        <v>0</v>
      </c>
      <c r="AG25" s="979">
        <v>0</v>
      </c>
      <c r="AH25" s="979">
        <v>0</v>
      </c>
      <c r="AI25" s="979">
        <v>0</v>
      </c>
      <c r="AJ25" s="979">
        <v>0</v>
      </c>
      <c r="AL25" s="979">
        <f>SUM(O25:AJ25)</f>
        <v>61.558970237872117</v>
      </c>
    </row>
    <row r="26" spans="1:49" ht="20.100000000000001" customHeight="1">
      <c r="A26" s="997"/>
      <c r="G26" s="981"/>
      <c r="M26" s="993">
        <f>+M25+M24</f>
        <v>61.558970237872117</v>
      </c>
      <c r="N26" s="988" t="s">
        <v>9</v>
      </c>
      <c r="O26" s="988">
        <f>SUM(O23:O25)</f>
        <v>27.391748969883061</v>
      </c>
      <c r="P26" s="988">
        <f t="shared" ref="P26:AK26" si="14">SUM(P23:P25)</f>
        <v>28.370025718807454</v>
      </c>
      <c r="Q26" s="988">
        <f t="shared" si="14"/>
        <v>0</v>
      </c>
      <c r="R26" s="988">
        <f t="shared" si="14"/>
        <v>283.43458501082176</v>
      </c>
      <c r="S26" s="988">
        <f t="shared" si="14"/>
        <v>340.7367961574675</v>
      </c>
      <c r="T26" s="988">
        <f t="shared" si="14"/>
        <v>378.59644017496385</v>
      </c>
      <c r="U26" s="988">
        <f t="shared" si="14"/>
        <v>378.59644017496385</v>
      </c>
      <c r="V26" s="988">
        <f t="shared" si="14"/>
        <v>378.59644017496385</v>
      </c>
      <c r="W26" s="988">
        <f t="shared" si="14"/>
        <v>378.59644017496385</v>
      </c>
      <c r="X26" s="988">
        <f t="shared" si="14"/>
        <v>378.59644017496385</v>
      </c>
      <c r="Y26" s="988">
        <f t="shared" si="14"/>
        <v>378.59644017496385</v>
      </c>
      <c r="Z26" s="988">
        <f t="shared" si="14"/>
        <v>378.59644017496385</v>
      </c>
      <c r="AA26" s="988">
        <f t="shared" si="14"/>
        <v>378.59644017496385</v>
      </c>
      <c r="AB26" s="988">
        <f t="shared" si="14"/>
        <v>378.59644017496385</v>
      </c>
      <c r="AC26" s="988">
        <f t="shared" si="14"/>
        <v>378.59644017496385</v>
      </c>
      <c r="AD26" s="988">
        <f t="shared" si="14"/>
        <v>378.59644017496385</v>
      </c>
      <c r="AE26" s="988">
        <f t="shared" si="14"/>
        <v>378.59644017496385</v>
      </c>
      <c r="AF26" s="988">
        <f t="shared" si="14"/>
        <v>378.59644017496385</v>
      </c>
      <c r="AG26" s="988">
        <f t="shared" si="14"/>
        <v>378.59644017496385</v>
      </c>
      <c r="AH26" s="988">
        <f t="shared" si="14"/>
        <v>378.59644017496385</v>
      </c>
      <c r="AI26" s="988">
        <f t="shared" si="14"/>
        <v>378.59644017496385</v>
      </c>
      <c r="AJ26" s="988">
        <f t="shared" si="14"/>
        <v>378.59644017496385</v>
      </c>
      <c r="AK26" s="988">
        <f t="shared" si="14"/>
        <v>378.59644017496385</v>
      </c>
      <c r="AL26" s="979">
        <f>SUM(O26:AJ26)</f>
        <v>7116.0726388313687</v>
      </c>
    </row>
    <row r="27" spans="1:49" ht="20.100000000000001" customHeight="1">
      <c r="A27" s="997"/>
      <c r="B27" s="981"/>
      <c r="C27" s="976"/>
      <c r="D27" s="976"/>
      <c r="E27" s="976"/>
      <c r="F27" s="976"/>
      <c r="AL27" s="979"/>
    </row>
    <row r="28" spans="1:49" ht="20.100000000000001" customHeight="1">
      <c r="A28" s="997"/>
      <c r="C28" s="997"/>
      <c r="H28" s="981"/>
      <c r="I28" s="981"/>
      <c r="J28" s="981"/>
      <c r="K28" s="981"/>
      <c r="N28" s="982" t="s">
        <v>895</v>
      </c>
      <c r="O28" s="979"/>
      <c r="P28" s="979"/>
      <c r="Q28" s="979"/>
      <c r="R28" s="979"/>
      <c r="S28" s="979"/>
      <c r="T28" s="979"/>
      <c r="U28" s="1006"/>
      <c r="V28" s="979"/>
      <c r="W28" s="979"/>
      <c r="X28" s="979"/>
      <c r="Y28" s="979"/>
      <c r="Z28" s="979"/>
      <c r="AA28" s="979"/>
      <c r="AB28" s="979"/>
      <c r="AC28" s="979"/>
      <c r="AD28" s="979"/>
      <c r="AE28" s="979"/>
      <c r="AF28" s="979"/>
      <c r="AG28" s="979"/>
      <c r="AH28" s="979"/>
      <c r="AI28" s="979"/>
      <c r="AJ28" s="979"/>
      <c r="AL28" s="979">
        <f>SUM(O28:AJ28)</f>
        <v>0</v>
      </c>
    </row>
    <row r="29" spans="1:49" ht="20.100000000000001" customHeight="1">
      <c r="A29" s="997"/>
      <c r="B29" s="976"/>
      <c r="N29" s="979" t="s">
        <v>260</v>
      </c>
      <c r="O29" s="979"/>
      <c r="P29" s="979"/>
      <c r="Q29" s="979"/>
      <c r="R29" s="979"/>
      <c r="S29" s="979"/>
      <c r="T29" s="979"/>
      <c r="U29" s="979"/>
      <c r="V29" s="979"/>
      <c r="W29" s="979"/>
      <c r="X29" s="979"/>
      <c r="Y29" s="979"/>
      <c r="Z29" s="979"/>
      <c r="AA29" s="979"/>
      <c r="AB29" s="979"/>
      <c r="AC29" s="979"/>
      <c r="AD29" s="979"/>
      <c r="AE29" s="979"/>
      <c r="AF29" s="979"/>
      <c r="AG29" s="979"/>
      <c r="AH29" s="979"/>
      <c r="AI29" s="979"/>
      <c r="AJ29" s="979"/>
      <c r="AL29" s="979"/>
    </row>
    <row r="30" spans="1:49" ht="20.100000000000001" customHeight="1">
      <c r="A30" s="997"/>
      <c r="B30" s="1001"/>
      <c r="H30" s="981"/>
      <c r="I30" s="981"/>
      <c r="J30" s="981"/>
      <c r="K30" s="981"/>
      <c r="M30" s="973">
        <f>SUM(O30:Q30)</f>
        <v>0</v>
      </c>
      <c r="N30" s="979" t="s">
        <v>261</v>
      </c>
      <c r="O30" s="979">
        <f t="shared" ref="O30:Q31" si="15">+O24</f>
        <v>0</v>
      </c>
      <c r="P30" s="979">
        <f t="shared" si="15"/>
        <v>0</v>
      </c>
      <c r="Q30" s="979">
        <f t="shared" si="15"/>
        <v>0</v>
      </c>
      <c r="R30" s="979">
        <v>0</v>
      </c>
      <c r="S30" s="979"/>
      <c r="T30" s="979">
        <v>0</v>
      </c>
      <c r="U30" s="979">
        <v>0</v>
      </c>
      <c r="V30" s="979">
        <v>0</v>
      </c>
      <c r="W30" s="979">
        <v>0</v>
      </c>
      <c r="X30" s="979">
        <v>0</v>
      </c>
      <c r="Y30" s="979">
        <v>0</v>
      </c>
      <c r="Z30" s="979">
        <v>0</v>
      </c>
      <c r="AA30" s="979">
        <v>0</v>
      </c>
      <c r="AB30" s="979">
        <v>0</v>
      </c>
      <c r="AC30" s="979">
        <v>0</v>
      </c>
      <c r="AD30" s="979">
        <v>0</v>
      </c>
      <c r="AE30" s="979">
        <v>0</v>
      </c>
      <c r="AF30" s="979">
        <v>0</v>
      </c>
      <c r="AG30" s="979">
        <v>0</v>
      </c>
      <c r="AH30" s="979">
        <v>0</v>
      </c>
      <c r="AI30" s="979">
        <v>0</v>
      </c>
      <c r="AJ30" s="979">
        <v>0</v>
      </c>
      <c r="AL30" s="979">
        <f t="shared" ref="AL30:AL36" si="16">SUM(O30:AJ30)</f>
        <v>0</v>
      </c>
    </row>
    <row r="31" spans="1:49" ht="20.100000000000001" customHeight="1">
      <c r="A31" s="997"/>
      <c r="B31" s="976"/>
      <c r="G31" s="981"/>
      <c r="K31" s="1064" t="s">
        <v>898</v>
      </c>
      <c r="M31" s="973">
        <f>SUM(O31:R31)</f>
        <v>61.558970237872117</v>
      </c>
      <c r="N31" s="979" t="s">
        <v>262</v>
      </c>
      <c r="O31" s="979">
        <f t="shared" si="15"/>
        <v>27.391748969883061</v>
      </c>
      <c r="P31" s="979">
        <f t="shared" si="15"/>
        <v>28.370025718807454</v>
      </c>
      <c r="Q31" s="979">
        <f t="shared" si="15"/>
        <v>0</v>
      </c>
      <c r="R31" s="979">
        <f>R25</f>
        <v>5.797195549181601</v>
      </c>
      <c r="S31" s="979">
        <v>0</v>
      </c>
      <c r="T31" s="979">
        <v>0</v>
      </c>
      <c r="U31" s="979">
        <v>0</v>
      </c>
      <c r="V31" s="979">
        <v>0</v>
      </c>
      <c r="W31" s="979">
        <v>0</v>
      </c>
      <c r="X31" s="979">
        <v>0</v>
      </c>
      <c r="Y31" s="979">
        <v>0</v>
      </c>
      <c r="Z31" s="979">
        <v>0</v>
      </c>
      <c r="AA31" s="979">
        <v>0</v>
      </c>
      <c r="AB31" s="979">
        <v>0</v>
      </c>
      <c r="AC31" s="979">
        <v>0</v>
      </c>
      <c r="AD31" s="979">
        <v>0</v>
      </c>
      <c r="AE31" s="979">
        <v>0</v>
      </c>
      <c r="AF31" s="979">
        <v>0</v>
      </c>
      <c r="AG31" s="979">
        <v>0</v>
      </c>
      <c r="AH31" s="979">
        <v>0</v>
      </c>
      <c r="AI31" s="979">
        <v>0</v>
      </c>
      <c r="AJ31" s="979">
        <v>0</v>
      </c>
      <c r="AL31" s="979">
        <f t="shared" si="16"/>
        <v>61.558970237872117</v>
      </c>
    </row>
    <row r="32" spans="1:49" ht="20.100000000000001" customHeight="1">
      <c r="A32" s="997"/>
      <c r="M32" s="11">
        <v>0.1</v>
      </c>
      <c r="N32" s="1071" t="s">
        <v>896</v>
      </c>
      <c r="O32" s="979">
        <f>+AO15</f>
        <v>0</v>
      </c>
      <c r="P32" s="979">
        <v>0</v>
      </c>
      <c r="R32" s="979">
        <f>($M$25-SUM(Q33:$Q$33))*$M$32*11/12</f>
        <v>5.6429056051382771</v>
      </c>
      <c r="S32" s="979">
        <f>($M$25-SUM($Q33:R$33))*$M$32</f>
        <v>6.1558970237872117</v>
      </c>
      <c r="T32" s="979">
        <f>($M$25-SUM($Q33:S$33))*$M$32</f>
        <v>5.5403073214084912</v>
      </c>
      <c r="U32" s="979">
        <f>($M$25-SUM($Q33:T$33))*$M$32</f>
        <v>4.9247176190297699</v>
      </c>
      <c r="V32" s="979">
        <f>($M$25-SUM($Q33:U$33))*$M$32</f>
        <v>4.3091279166510486</v>
      </c>
      <c r="W32" s="979">
        <f>($M$25-SUM($Q33:V$33))*$M$32</f>
        <v>3.6935382142723272</v>
      </c>
      <c r="X32" s="979">
        <f>($M$25-SUM($Q33:W$33))*$M$32</f>
        <v>3.0779485118936059</v>
      </c>
      <c r="Y32" s="979">
        <f>($M$25-SUM($Q33:X$33))*$M$32</f>
        <v>2.4623588095148849</v>
      </c>
      <c r="Z32" s="979">
        <f>($M$25-SUM($Q33:Y$33))*$M$32</f>
        <v>1.8467691071361636</v>
      </c>
      <c r="AA32" s="979">
        <f>($M$25-SUM($Q33:Z$33))*$M$32</f>
        <v>1.2311794047574425</v>
      </c>
      <c r="AB32" s="979">
        <f>($M$25-SUM($Q33:AA$33))*$M$32</f>
        <v>0.61558970237872124</v>
      </c>
      <c r="AC32" s="979"/>
      <c r="AD32" s="979"/>
      <c r="AE32" s="979">
        <v>0</v>
      </c>
      <c r="AF32" s="979">
        <v>0</v>
      </c>
      <c r="AG32" s="979">
        <v>0</v>
      </c>
      <c r="AH32" s="979">
        <v>0</v>
      </c>
      <c r="AI32" s="979">
        <v>0</v>
      </c>
      <c r="AJ32" s="979">
        <v>0</v>
      </c>
      <c r="AL32" s="979">
        <f t="shared" si="16"/>
        <v>39.500339235967935</v>
      </c>
    </row>
    <row r="33" spans="1:41" ht="20.100000000000001" customHeight="1">
      <c r="A33" s="997"/>
      <c r="B33" s="981"/>
      <c r="C33" s="981"/>
      <c r="D33" s="981"/>
      <c r="E33" s="981"/>
      <c r="G33" s="981"/>
      <c r="M33" s="973">
        <f>SUM(P33:AB33)</f>
        <v>61.558970237872117</v>
      </c>
      <c r="N33" s="1071" t="s">
        <v>897</v>
      </c>
      <c r="O33" s="979">
        <f>+AO18</f>
        <v>0</v>
      </c>
      <c r="P33" s="979">
        <v>0</v>
      </c>
      <c r="Q33" s="979">
        <f>+$M$31/8*0</f>
        <v>0</v>
      </c>
      <c r="R33" s="979"/>
      <c r="S33" s="979">
        <f>+$M$31/10</f>
        <v>6.1558970237872117</v>
      </c>
      <c r="T33" s="979">
        <f t="shared" ref="T33:AB33" si="17">+$M$31/10</f>
        <v>6.1558970237872117</v>
      </c>
      <c r="U33" s="979">
        <f t="shared" si="17"/>
        <v>6.1558970237872117</v>
      </c>
      <c r="V33" s="979">
        <f t="shared" si="17"/>
        <v>6.1558970237872117</v>
      </c>
      <c r="W33" s="979">
        <f t="shared" si="17"/>
        <v>6.1558970237872117</v>
      </c>
      <c r="X33" s="979">
        <f t="shared" si="17"/>
        <v>6.1558970237872117</v>
      </c>
      <c r="Y33" s="979">
        <f t="shared" si="17"/>
        <v>6.1558970237872117</v>
      </c>
      <c r="Z33" s="979">
        <f t="shared" si="17"/>
        <v>6.1558970237872117</v>
      </c>
      <c r="AA33" s="979">
        <f t="shared" si="17"/>
        <v>6.1558970237872117</v>
      </c>
      <c r="AB33" s="979">
        <f t="shared" si="17"/>
        <v>6.1558970237872117</v>
      </c>
      <c r="AC33" s="979">
        <v>0</v>
      </c>
      <c r="AD33" s="979">
        <v>0</v>
      </c>
      <c r="AE33" s="979">
        <v>0</v>
      </c>
      <c r="AF33" s="979">
        <v>0</v>
      </c>
      <c r="AG33" s="979">
        <v>0</v>
      </c>
      <c r="AH33" s="979">
        <v>0</v>
      </c>
      <c r="AI33" s="979">
        <v>0</v>
      </c>
      <c r="AJ33" s="979">
        <v>0</v>
      </c>
      <c r="AL33" s="979">
        <f t="shared" si="16"/>
        <v>61.558970237872117</v>
      </c>
    </row>
    <row r="34" spans="1:41" ht="20.100000000000001" customHeight="1">
      <c r="A34" s="997"/>
      <c r="N34" s="1002" t="s">
        <v>267</v>
      </c>
      <c r="O34" s="1002">
        <f>+O15</f>
        <v>0</v>
      </c>
      <c r="P34" s="1002">
        <f t="shared" ref="P34:AK34" si="18">+P15</f>
        <v>0</v>
      </c>
      <c r="Q34" s="1002">
        <f t="shared" si="18"/>
        <v>0</v>
      </c>
      <c r="R34" s="1002">
        <f t="shared" si="18"/>
        <v>66.416064561657137</v>
      </c>
      <c r="S34" s="1002">
        <f t="shared" si="18"/>
        <v>82.473739628919489</v>
      </c>
      <c r="T34" s="1002">
        <f t="shared" si="18"/>
        <v>92.417223611294418</v>
      </c>
      <c r="U34" s="1002">
        <f t="shared" si="18"/>
        <v>92.793186813382349</v>
      </c>
      <c r="V34" s="1002">
        <f t="shared" si="18"/>
        <v>93.135995277601296</v>
      </c>
      <c r="W34" s="1002">
        <f t="shared" si="18"/>
        <v>93.450622214631608</v>
      </c>
      <c r="X34" s="1002">
        <f t="shared" si="18"/>
        <v>93.741294853551551</v>
      </c>
      <c r="Y34" s="1002">
        <f t="shared" si="18"/>
        <v>94.01160633907773</v>
      </c>
      <c r="Z34" s="1002">
        <f t="shared" si="18"/>
        <v>94.264610844219192</v>
      </c>
      <c r="AA34" s="1002">
        <f t="shared" si="18"/>
        <v>94.502904416033616</v>
      </c>
      <c r="AB34" s="1002">
        <f t="shared" si="18"/>
        <v>94.728693694520089</v>
      </c>
      <c r="AC34" s="1002">
        <f t="shared" si="18"/>
        <v>94.943854323677783</v>
      </c>
      <c r="AD34" s="1002">
        <f t="shared" si="18"/>
        <v>94.995048984611344</v>
      </c>
      <c r="AE34" s="1002">
        <f t="shared" si="18"/>
        <v>95.038564446404891</v>
      </c>
      <c r="AF34" s="1002">
        <f t="shared" si="18"/>
        <v>95.075552588929384</v>
      </c>
      <c r="AG34" s="1002">
        <f t="shared" si="18"/>
        <v>95.106992510075216</v>
      </c>
      <c r="AH34" s="1002">
        <f>+AH15</f>
        <v>95.133716443049167</v>
      </c>
      <c r="AI34" s="1002">
        <f t="shared" si="18"/>
        <v>95.156431786077022</v>
      </c>
      <c r="AJ34" s="1002">
        <f t="shared" si="18"/>
        <v>95.235572871122699</v>
      </c>
      <c r="AK34" s="1002">
        <f t="shared" si="18"/>
        <v>95.285152063234904</v>
      </c>
      <c r="AL34" s="979">
        <f t="shared" si="16"/>
        <v>1752.6216762088363</v>
      </c>
    </row>
    <row r="35" spans="1:41" ht="20.100000000000001" customHeight="1">
      <c r="A35" s="997"/>
      <c r="B35" s="1001"/>
      <c r="C35" s="976"/>
      <c r="F35" s="1007"/>
      <c r="N35" s="979" t="s">
        <v>9</v>
      </c>
      <c r="O35" s="979">
        <f t="shared" ref="O35:AJ35" si="19">SUM(O29:O34)</f>
        <v>27.391748969883061</v>
      </c>
      <c r="P35" s="979">
        <f t="shared" si="19"/>
        <v>28.370025718807454</v>
      </c>
      <c r="Q35" s="979">
        <f t="shared" si="19"/>
        <v>0</v>
      </c>
      <c r="R35" s="979">
        <f t="shared" si="19"/>
        <v>77.856165715977014</v>
      </c>
      <c r="S35" s="979">
        <f t="shared" si="19"/>
        <v>94.785533676493912</v>
      </c>
      <c r="T35" s="979">
        <f t="shared" si="19"/>
        <v>104.11342795649011</v>
      </c>
      <c r="U35" s="979">
        <f t="shared" si="19"/>
        <v>103.87380145619933</v>
      </c>
      <c r="V35" s="979">
        <f t="shared" si="19"/>
        <v>103.60102021803955</v>
      </c>
      <c r="W35" s="979">
        <f t="shared" si="19"/>
        <v>103.30005745269115</v>
      </c>
      <c r="X35" s="979">
        <f t="shared" si="19"/>
        <v>102.97514038923237</v>
      </c>
      <c r="Y35" s="979">
        <f t="shared" si="19"/>
        <v>102.62986217237983</v>
      </c>
      <c r="Z35" s="979">
        <f t="shared" si="19"/>
        <v>102.26727697514256</v>
      </c>
      <c r="AA35" s="979">
        <f t="shared" si="19"/>
        <v>101.88998084457828</v>
      </c>
      <c r="AB35" s="979">
        <f t="shared" si="19"/>
        <v>101.50018042068602</v>
      </c>
      <c r="AC35" s="979">
        <f t="shared" si="19"/>
        <v>94.943854323677783</v>
      </c>
      <c r="AD35" s="979">
        <f t="shared" si="19"/>
        <v>94.995048984611344</v>
      </c>
      <c r="AE35" s="979">
        <f t="shared" si="19"/>
        <v>95.038564446404891</v>
      </c>
      <c r="AF35" s="979">
        <f t="shared" si="19"/>
        <v>95.075552588929384</v>
      </c>
      <c r="AG35" s="979">
        <f t="shared" si="19"/>
        <v>95.106992510075216</v>
      </c>
      <c r="AH35" s="979">
        <f t="shared" si="19"/>
        <v>95.133716443049167</v>
      </c>
      <c r="AI35" s="979">
        <f t="shared" si="19"/>
        <v>95.156431786077022</v>
      </c>
      <c r="AJ35" s="979">
        <f t="shared" si="19"/>
        <v>95.235572871122699</v>
      </c>
      <c r="AK35" s="979">
        <f>SUM(AK29:AK34)</f>
        <v>95.285152063234904</v>
      </c>
      <c r="AL35" s="979">
        <f t="shared" si="16"/>
        <v>1915.2399559205485</v>
      </c>
    </row>
    <row r="36" spans="1:41" ht="20.100000000000001" customHeight="1" thickBot="1">
      <c r="N36" s="1008" t="s">
        <v>268</v>
      </c>
      <c r="O36" s="1009">
        <f t="shared" ref="O36:AJ36" si="20">+O26-O35</f>
        <v>0</v>
      </c>
      <c r="P36" s="1009">
        <f t="shared" si="20"/>
        <v>0</v>
      </c>
      <c r="Q36" s="1009">
        <f t="shared" si="20"/>
        <v>0</v>
      </c>
      <c r="R36" s="1009">
        <f t="shared" si="20"/>
        <v>205.57841929484476</v>
      </c>
      <c r="S36" s="1009">
        <f t="shared" si="20"/>
        <v>245.95126248097358</v>
      </c>
      <c r="T36" s="1009">
        <f t="shared" si="20"/>
        <v>274.48301221847373</v>
      </c>
      <c r="U36" s="1009">
        <f t="shared" si="20"/>
        <v>274.72263871876453</v>
      </c>
      <c r="V36" s="1009">
        <f t="shared" si="20"/>
        <v>274.99541995692431</v>
      </c>
      <c r="W36" s="1009">
        <f t="shared" si="20"/>
        <v>275.29638272227271</v>
      </c>
      <c r="X36" s="1009">
        <f t="shared" si="20"/>
        <v>275.62129978573148</v>
      </c>
      <c r="Y36" s="1009">
        <f t="shared" si="20"/>
        <v>275.96657800258401</v>
      </c>
      <c r="Z36" s="1009">
        <f t="shared" si="20"/>
        <v>276.32916319982127</v>
      </c>
      <c r="AA36" s="1009">
        <f t="shared" si="20"/>
        <v>276.70645933038554</v>
      </c>
      <c r="AB36" s="1009">
        <f t="shared" si="20"/>
        <v>277.09625975427781</v>
      </c>
      <c r="AC36" s="1009">
        <f t="shared" si="20"/>
        <v>283.65258585128606</v>
      </c>
      <c r="AD36" s="1009">
        <f t="shared" si="20"/>
        <v>283.6013911903525</v>
      </c>
      <c r="AE36" s="1009">
        <f t="shared" si="20"/>
        <v>283.55787572855894</v>
      </c>
      <c r="AF36" s="1009">
        <f t="shared" si="20"/>
        <v>283.52088758603446</v>
      </c>
      <c r="AG36" s="1009">
        <f t="shared" si="20"/>
        <v>283.48944766488864</v>
      </c>
      <c r="AH36" s="1009">
        <f t="shared" si="20"/>
        <v>283.46272373191471</v>
      </c>
      <c r="AI36" s="1009">
        <f t="shared" si="20"/>
        <v>283.44000838888684</v>
      </c>
      <c r="AJ36" s="1009">
        <f t="shared" si="20"/>
        <v>283.36086730384113</v>
      </c>
      <c r="AK36" s="1009">
        <f>+AK26-AK35</f>
        <v>283.31128811172891</v>
      </c>
      <c r="AL36" s="979">
        <f t="shared" si="16"/>
        <v>5200.8326829108155</v>
      </c>
    </row>
    <row r="37" spans="1:41" ht="20.100000000000001" customHeight="1" thickBot="1">
      <c r="N37" s="1010" t="s">
        <v>269</v>
      </c>
      <c r="O37" s="1011">
        <f>SUM($O$36:O36)</f>
        <v>0</v>
      </c>
      <c r="P37" s="1011">
        <f>SUM($O$36:P36)</f>
        <v>0</v>
      </c>
      <c r="Q37" s="1011">
        <f>SUM($O$36:Q36)</f>
        <v>0</v>
      </c>
      <c r="R37" s="1011">
        <f>SUM($O$36:R36)</f>
        <v>205.57841929484476</v>
      </c>
      <c r="S37" s="1011">
        <f>SUM($O$36:S36)</f>
        <v>451.52968177581835</v>
      </c>
      <c r="T37" s="1011">
        <f>SUM($O$36:T36)</f>
        <v>726.01269399429202</v>
      </c>
      <c r="U37" s="1011">
        <f>SUM($O$36:U36)</f>
        <v>1000.7353327130566</v>
      </c>
      <c r="V37" s="1011">
        <f>SUM($O$36:V36)</f>
        <v>1275.7307526699808</v>
      </c>
      <c r="W37" s="1011">
        <f>SUM($O$36:W36)</f>
        <v>1551.0271353922535</v>
      </c>
      <c r="X37" s="1011">
        <f>SUM($O$36:X36)</f>
        <v>1826.648435177985</v>
      </c>
      <c r="Y37" s="1011">
        <f>SUM($O$36:Y36)</f>
        <v>2102.6150131805689</v>
      </c>
      <c r="Z37" s="1011">
        <f>SUM($O$36:Z36)</f>
        <v>2378.9441763803902</v>
      </c>
      <c r="AA37" s="1011">
        <f>SUM($O$36:AA36)</f>
        <v>2655.6506357107755</v>
      </c>
      <c r="AB37" s="1011">
        <f>SUM($O$36:AB36)</f>
        <v>2932.7468954650535</v>
      </c>
      <c r="AC37" s="1011">
        <f>SUM($O$36:AC36)</f>
        <v>3216.3994813163395</v>
      </c>
      <c r="AD37" s="1011">
        <f>SUM($O$36:AD36)</f>
        <v>3500.0008725066918</v>
      </c>
      <c r="AE37" s="1011">
        <f>SUM($O$36:AE36)</f>
        <v>3783.5587482352507</v>
      </c>
      <c r="AF37" s="1011">
        <f>SUM($O$36:AF36)</f>
        <v>4067.0796358212851</v>
      </c>
      <c r="AG37" s="1011">
        <f>SUM($O$36:AG36)</f>
        <v>4350.5690834861734</v>
      </c>
      <c r="AH37" s="1011">
        <f>SUM($O$36:AH36)</f>
        <v>4634.031807218088</v>
      </c>
      <c r="AI37" s="1011">
        <f>SUM($O$36:AI36)</f>
        <v>4917.4718156069748</v>
      </c>
      <c r="AJ37" s="1011">
        <f>SUM($O$36:AJ36)</f>
        <v>5200.8326829108155</v>
      </c>
      <c r="AK37" s="1011">
        <f>SUM($O$36:AK36)</f>
        <v>5484.1439710225441</v>
      </c>
      <c r="AL37" s="979"/>
    </row>
    <row r="38" spans="1:41" ht="20.100000000000001" customHeight="1">
      <c r="W38" s="973">
        <f>+W19</f>
        <v>0</v>
      </c>
      <c r="AI38" s="973">
        <f>+W38</f>
        <v>0</v>
      </c>
    </row>
    <row r="39" spans="1:41" ht="20.100000000000001" customHeight="1">
      <c r="N39" s="974" t="s">
        <v>271</v>
      </c>
      <c r="AL39" s="979"/>
    </row>
    <row r="40" spans="1:41" ht="20.100000000000001" customHeight="1">
      <c r="B40" s="976"/>
      <c r="N40" s="975"/>
      <c r="V40" s="973">
        <f>+V21</f>
        <v>0</v>
      </c>
      <c r="AI40" s="973">
        <f>+V40</f>
        <v>0</v>
      </c>
      <c r="AL40" s="979"/>
    </row>
    <row r="41" spans="1:41" ht="20.100000000000001" customHeight="1">
      <c r="B41" s="981"/>
      <c r="C41" s="981"/>
      <c r="D41" s="981"/>
      <c r="E41" s="981"/>
      <c r="F41" s="981"/>
      <c r="G41" s="981"/>
      <c r="N41" s="1012" t="s">
        <v>8</v>
      </c>
      <c r="O41" s="986" t="str">
        <f t="shared" ref="O41:AI41" si="21">+O9</f>
        <v>Yr 1</v>
      </c>
      <c r="P41" s="986" t="str">
        <f t="shared" si="21"/>
        <v>Yr 2</v>
      </c>
      <c r="Q41" s="986" t="str">
        <f t="shared" si="21"/>
        <v>Yr 3</v>
      </c>
      <c r="R41" s="986" t="str">
        <f t="shared" si="21"/>
        <v>Yr 4</v>
      </c>
      <c r="S41" s="986" t="str">
        <f t="shared" si="21"/>
        <v>Yr 5</v>
      </c>
      <c r="T41" s="986" t="str">
        <f t="shared" si="21"/>
        <v>Yr 6</v>
      </c>
      <c r="U41" s="986" t="str">
        <f t="shared" si="21"/>
        <v>Yr 7</v>
      </c>
      <c r="V41" s="986" t="str">
        <f t="shared" si="21"/>
        <v>Yr 8</v>
      </c>
      <c r="W41" s="986" t="str">
        <f t="shared" si="21"/>
        <v>Yr 9</v>
      </c>
      <c r="X41" s="986" t="str">
        <f t="shared" si="21"/>
        <v>Yr 10</v>
      </c>
      <c r="Y41" s="986" t="str">
        <f t="shared" si="21"/>
        <v>Yr 11</v>
      </c>
      <c r="Z41" s="986" t="str">
        <f t="shared" si="21"/>
        <v>Yr 12</v>
      </c>
      <c r="AA41" s="986" t="str">
        <f t="shared" si="21"/>
        <v>Yr 13</v>
      </c>
      <c r="AB41" s="986" t="str">
        <f t="shared" si="21"/>
        <v>Yr 14</v>
      </c>
      <c r="AC41" s="986" t="str">
        <f t="shared" si="21"/>
        <v>Yr 15</v>
      </c>
      <c r="AD41" s="986" t="str">
        <f t="shared" si="21"/>
        <v>Yr 16</v>
      </c>
      <c r="AE41" s="986" t="str">
        <f t="shared" si="21"/>
        <v>Yr 17</v>
      </c>
      <c r="AF41" s="986" t="str">
        <f t="shared" si="21"/>
        <v>Yr 18</v>
      </c>
      <c r="AG41" s="986" t="str">
        <f t="shared" si="21"/>
        <v>Yr 19</v>
      </c>
      <c r="AH41" s="986" t="str">
        <f>+AH9</f>
        <v>Yr 20</v>
      </c>
      <c r="AI41" s="986" t="str">
        <f t="shared" si="21"/>
        <v>Yr 21</v>
      </c>
      <c r="AJ41" s="986" t="str">
        <f>+AJ9</f>
        <v>Yr 22</v>
      </c>
      <c r="AK41" s="986" t="str">
        <f>+AK9</f>
        <v>Yr 23</v>
      </c>
      <c r="AL41" s="1013" t="s">
        <v>177</v>
      </c>
      <c r="AM41" s="976" t="s">
        <v>868</v>
      </c>
      <c r="AN41" s="976" t="s">
        <v>868</v>
      </c>
      <c r="AO41" s="976" t="s">
        <v>159</v>
      </c>
    </row>
    <row r="42" spans="1:41" ht="20.100000000000001" customHeight="1">
      <c r="M42" s="1007" t="s">
        <v>93</v>
      </c>
      <c r="N42" s="1072" t="s">
        <v>274</v>
      </c>
      <c r="O42" s="1014"/>
      <c r="P42" s="1014"/>
      <c r="Q42" s="1014"/>
      <c r="R42" s="1014"/>
      <c r="S42" s="1014"/>
      <c r="T42" s="1014"/>
      <c r="U42" s="1014"/>
      <c r="V42" s="1014"/>
      <c r="W42" s="1014"/>
      <c r="X42" s="1014"/>
      <c r="Y42" s="1014"/>
      <c r="Z42" s="1014"/>
      <c r="AA42" s="1014"/>
      <c r="AB42" s="1014"/>
      <c r="AC42" s="1014"/>
      <c r="AD42" s="1014"/>
      <c r="AE42" s="1014"/>
      <c r="AF42" s="1014"/>
      <c r="AG42" s="1014"/>
      <c r="AH42" s="1014"/>
      <c r="AI42" s="1014"/>
      <c r="AJ42" s="1014"/>
      <c r="AL42" s="1013"/>
      <c r="AM42" s="976"/>
      <c r="AN42" s="976"/>
      <c r="AO42" s="976"/>
    </row>
    <row r="43" spans="1:41" ht="20.100000000000001" customHeight="1">
      <c r="B43" s="981"/>
      <c r="C43" s="981"/>
      <c r="D43" s="981"/>
      <c r="E43" s="981"/>
      <c r="F43" s="981"/>
      <c r="G43" s="981"/>
      <c r="K43" s="973">
        <f>+C15</f>
        <v>57.971955491816004</v>
      </c>
      <c r="L43" s="973">
        <f>SUM(O43:R43)</f>
        <v>57.971955491816004</v>
      </c>
      <c r="M43" s="997">
        <v>1</v>
      </c>
      <c r="N43" s="1064" t="s">
        <v>275</v>
      </c>
      <c r="O43" s="973">
        <f>+C10</f>
        <v>26.087379971317201</v>
      </c>
      <c r="P43" s="973">
        <f>+C11</f>
        <v>26.087379971317201</v>
      </c>
      <c r="Q43" s="973">
        <f>+C12</f>
        <v>0</v>
      </c>
      <c r="R43" s="973">
        <f>C13+C14</f>
        <v>5.797195549181601</v>
      </c>
      <c r="S43" s="973">
        <f t="shared" ref="S43:AJ43" si="22">+S30+S31</f>
        <v>0</v>
      </c>
      <c r="T43" s="973">
        <f t="shared" si="22"/>
        <v>0</v>
      </c>
      <c r="U43" s="973">
        <f t="shared" si="22"/>
        <v>0</v>
      </c>
      <c r="V43" s="973">
        <f t="shared" si="22"/>
        <v>0</v>
      </c>
      <c r="W43" s="973">
        <f t="shared" si="22"/>
        <v>0</v>
      </c>
      <c r="X43" s="973">
        <f t="shared" si="22"/>
        <v>0</v>
      </c>
      <c r="Y43" s="973">
        <f t="shared" si="22"/>
        <v>0</v>
      </c>
      <c r="Z43" s="973">
        <f t="shared" si="22"/>
        <v>0</v>
      </c>
      <c r="AA43" s="973">
        <f t="shared" si="22"/>
        <v>0</v>
      </c>
      <c r="AB43" s="973">
        <f t="shared" si="22"/>
        <v>0</v>
      </c>
      <c r="AC43" s="973">
        <f t="shared" si="22"/>
        <v>0</v>
      </c>
      <c r="AD43" s="973">
        <f t="shared" si="22"/>
        <v>0</v>
      </c>
      <c r="AE43" s="973">
        <f t="shared" si="22"/>
        <v>0</v>
      </c>
      <c r="AF43" s="973">
        <f t="shared" si="22"/>
        <v>0</v>
      </c>
      <c r="AG43" s="973">
        <f t="shared" si="22"/>
        <v>0</v>
      </c>
      <c r="AH43" s="973">
        <f>+AH30+AH31</f>
        <v>0</v>
      </c>
      <c r="AI43" s="973">
        <f t="shared" si="22"/>
        <v>0</v>
      </c>
      <c r="AJ43" s="973">
        <f t="shared" si="22"/>
        <v>0</v>
      </c>
      <c r="AL43" s="979"/>
    </row>
    <row r="44" spans="1:41" ht="20.100000000000001" customHeight="1">
      <c r="M44" s="997">
        <v>2</v>
      </c>
      <c r="N44" s="973" t="s">
        <v>267</v>
      </c>
      <c r="O44" s="973">
        <f t="shared" ref="O44:AJ44" si="23">+O15</f>
        <v>0</v>
      </c>
      <c r="P44" s="973">
        <f t="shared" si="23"/>
        <v>0</v>
      </c>
      <c r="Q44" s="973">
        <f t="shared" si="23"/>
        <v>0</v>
      </c>
      <c r="R44" s="973">
        <f t="shared" si="23"/>
        <v>66.416064561657137</v>
      </c>
      <c r="S44" s="973">
        <f t="shared" si="23"/>
        <v>82.473739628919489</v>
      </c>
      <c r="T44" s="973">
        <f t="shared" si="23"/>
        <v>92.417223611294418</v>
      </c>
      <c r="U44" s="973">
        <f t="shared" si="23"/>
        <v>92.793186813382349</v>
      </c>
      <c r="V44" s="973">
        <f t="shared" si="23"/>
        <v>93.135995277601296</v>
      </c>
      <c r="W44" s="973">
        <f t="shared" si="23"/>
        <v>93.450622214631608</v>
      </c>
      <c r="X44" s="973">
        <f t="shared" si="23"/>
        <v>93.741294853551551</v>
      </c>
      <c r="Y44" s="973">
        <f t="shared" si="23"/>
        <v>94.01160633907773</v>
      </c>
      <c r="Z44" s="973">
        <f t="shared" si="23"/>
        <v>94.264610844219192</v>
      </c>
      <c r="AA44" s="973">
        <f t="shared" si="23"/>
        <v>94.502904416033616</v>
      </c>
      <c r="AB44" s="973">
        <f t="shared" si="23"/>
        <v>94.728693694520089</v>
      </c>
      <c r="AC44" s="973">
        <f t="shared" si="23"/>
        <v>94.943854323677783</v>
      </c>
      <c r="AD44" s="973">
        <f t="shared" si="23"/>
        <v>94.995048984611344</v>
      </c>
      <c r="AE44" s="973">
        <f t="shared" si="23"/>
        <v>95.038564446404891</v>
      </c>
      <c r="AF44" s="973">
        <f t="shared" si="23"/>
        <v>95.075552588929384</v>
      </c>
      <c r="AG44" s="973">
        <f t="shared" si="23"/>
        <v>95.106992510075216</v>
      </c>
      <c r="AH44" s="973">
        <f>+AH15</f>
        <v>95.133716443049167</v>
      </c>
      <c r="AI44" s="973">
        <f t="shared" si="23"/>
        <v>95.156431786077022</v>
      </c>
      <c r="AJ44" s="973">
        <f t="shared" si="23"/>
        <v>95.235572871122699</v>
      </c>
      <c r="AK44" s="973">
        <f>+AK15</f>
        <v>95.285152063234904</v>
      </c>
      <c r="AL44" s="979"/>
    </row>
    <row r="45" spans="1:41" ht="20.100000000000001" customHeight="1">
      <c r="B45" s="974"/>
      <c r="M45" s="997"/>
      <c r="N45" s="1015" t="s">
        <v>869</v>
      </c>
      <c r="O45" s="973">
        <f t="shared" ref="O45:AI45" si="24">SUM(O43:O44)</f>
        <v>26.087379971317201</v>
      </c>
      <c r="P45" s="973">
        <f t="shared" si="24"/>
        <v>26.087379971317201</v>
      </c>
      <c r="Q45" s="973">
        <f t="shared" si="24"/>
        <v>0</v>
      </c>
      <c r="R45" s="973">
        <f t="shared" si="24"/>
        <v>72.213260110838732</v>
      </c>
      <c r="S45" s="973">
        <f t="shared" si="24"/>
        <v>82.473739628919489</v>
      </c>
      <c r="T45" s="973">
        <f t="shared" si="24"/>
        <v>92.417223611294418</v>
      </c>
      <c r="U45" s="973">
        <f t="shared" si="24"/>
        <v>92.793186813382349</v>
      </c>
      <c r="V45" s="973">
        <f t="shared" si="24"/>
        <v>93.135995277601296</v>
      </c>
      <c r="W45" s="973">
        <f t="shared" si="24"/>
        <v>93.450622214631608</v>
      </c>
      <c r="X45" s="973">
        <f t="shared" si="24"/>
        <v>93.741294853551551</v>
      </c>
      <c r="Y45" s="973">
        <f t="shared" si="24"/>
        <v>94.01160633907773</v>
      </c>
      <c r="Z45" s="973">
        <f t="shared" si="24"/>
        <v>94.264610844219192</v>
      </c>
      <c r="AA45" s="973">
        <f t="shared" si="24"/>
        <v>94.502904416033616</v>
      </c>
      <c r="AB45" s="973">
        <f t="shared" si="24"/>
        <v>94.728693694520089</v>
      </c>
      <c r="AC45" s="973">
        <f t="shared" si="24"/>
        <v>94.943854323677783</v>
      </c>
      <c r="AD45" s="973">
        <f t="shared" si="24"/>
        <v>94.995048984611344</v>
      </c>
      <c r="AE45" s="973">
        <f t="shared" si="24"/>
        <v>95.038564446404891</v>
      </c>
      <c r="AF45" s="973">
        <f t="shared" si="24"/>
        <v>95.075552588929384</v>
      </c>
      <c r="AG45" s="973">
        <f t="shared" si="24"/>
        <v>95.106992510075216</v>
      </c>
      <c r="AH45" s="973">
        <f t="shared" si="24"/>
        <v>95.133716443049167</v>
      </c>
      <c r="AI45" s="973">
        <f t="shared" si="24"/>
        <v>95.156431786077022</v>
      </c>
      <c r="AJ45" s="973">
        <f>SUM(AJ43:AJ44)</f>
        <v>95.235572871122699</v>
      </c>
      <c r="AK45" s="973">
        <f>SUM(AK43:AK44)</f>
        <v>95.285152063234904</v>
      </c>
      <c r="AL45" s="979"/>
    </row>
    <row r="46" spans="1:41" ht="20.100000000000001" customHeight="1">
      <c r="B46" s="976"/>
      <c r="C46" s="976"/>
      <c r="F46" s="976"/>
      <c r="M46" s="1007" t="s">
        <v>94</v>
      </c>
      <c r="N46" s="1072" t="s">
        <v>276</v>
      </c>
      <c r="AL46" s="979"/>
    </row>
    <row r="47" spans="1:41" ht="20.100000000000001" customHeight="1">
      <c r="C47" s="976"/>
      <c r="F47" s="978"/>
      <c r="M47" s="997">
        <v>1</v>
      </c>
      <c r="N47" s="973" t="s">
        <v>277</v>
      </c>
      <c r="O47" s="973">
        <f>+O23</f>
        <v>0</v>
      </c>
      <c r="P47" s="973">
        <f t="shared" ref="P47:AJ47" si="25">+P23</f>
        <v>0</v>
      </c>
      <c r="Q47" s="973">
        <f t="shared" si="25"/>
        <v>0</v>
      </c>
      <c r="R47" s="973">
        <f t="shared" si="25"/>
        <v>277.63738946164017</v>
      </c>
      <c r="S47" s="973">
        <f t="shared" si="25"/>
        <v>340.7367961574675</v>
      </c>
      <c r="T47" s="973">
        <f t="shared" si="25"/>
        <v>378.59644017496385</v>
      </c>
      <c r="U47" s="973">
        <f t="shared" si="25"/>
        <v>378.59644017496385</v>
      </c>
      <c r="V47" s="973">
        <f t="shared" si="25"/>
        <v>378.59644017496385</v>
      </c>
      <c r="W47" s="973">
        <f t="shared" si="25"/>
        <v>378.59644017496385</v>
      </c>
      <c r="X47" s="973">
        <f t="shared" si="25"/>
        <v>378.59644017496385</v>
      </c>
      <c r="Y47" s="973">
        <f t="shared" si="25"/>
        <v>378.59644017496385</v>
      </c>
      <c r="Z47" s="973">
        <f t="shared" si="25"/>
        <v>378.59644017496385</v>
      </c>
      <c r="AA47" s="973">
        <f t="shared" si="25"/>
        <v>378.59644017496385</v>
      </c>
      <c r="AB47" s="973">
        <f t="shared" si="25"/>
        <v>378.59644017496385</v>
      </c>
      <c r="AC47" s="973">
        <f t="shared" si="25"/>
        <v>378.59644017496385</v>
      </c>
      <c r="AD47" s="973">
        <f t="shared" si="25"/>
        <v>378.59644017496385</v>
      </c>
      <c r="AE47" s="973">
        <f t="shared" si="25"/>
        <v>378.59644017496385</v>
      </c>
      <c r="AF47" s="973">
        <f t="shared" si="25"/>
        <v>378.59644017496385</v>
      </c>
      <c r="AG47" s="973">
        <f t="shared" si="25"/>
        <v>378.59644017496385</v>
      </c>
      <c r="AH47" s="973">
        <f>+AH23</f>
        <v>378.59644017496385</v>
      </c>
      <c r="AI47" s="973">
        <f t="shared" si="25"/>
        <v>378.59644017496385</v>
      </c>
      <c r="AJ47" s="973">
        <f t="shared" si="25"/>
        <v>378.59644017496385</v>
      </c>
      <c r="AK47" s="973">
        <f>+AK23</f>
        <v>378.59644017496385</v>
      </c>
      <c r="AL47" s="979"/>
    </row>
    <row r="48" spans="1:41" ht="20.100000000000001" customHeight="1">
      <c r="C48" s="976"/>
      <c r="F48" s="978"/>
      <c r="L48" s="973">
        <f>SUM(O48:V48)</f>
        <v>7.5351533447995847</v>
      </c>
      <c r="M48" s="997">
        <v>2</v>
      </c>
      <c r="N48" s="1064" t="s">
        <v>875</v>
      </c>
      <c r="R48" s="1064">
        <f>$J$15/2</f>
        <v>3.7675766723997923</v>
      </c>
      <c r="S48" s="1064">
        <f>$J$15/2</f>
        <v>3.7675766723997923</v>
      </c>
      <c r="AK48" s="973">
        <f>AN12*0.05</f>
        <v>2.701190844653627</v>
      </c>
      <c r="AL48" s="979"/>
    </row>
    <row r="49" spans="2:40" ht="20.100000000000001" customHeight="1">
      <c r="C49" s="976"/>
      <c r="F49" s="978"/>
      <c r="M49" s="997"/>
      <c r="N49" s="1015" t="s">
        <v>870</v>
      </c>
      <c r="O49" s="973">
        <f>SUM(O47:O48)</f>
        <v>0</v>
      </c>
      <c r="P49" s="973">
        <f t="shared" ref="P49:AJ49" si="26">SUM(P47:P48)</f>
        <v>0</v>
      </c>
      <c r="Q49" s="973">
        <f t="shared" si="26"/>
        <v>0</v>
      </c>
      <c r="R49" s="973">
        <f>SUM(R47:R48)</f>
        <v>281.40496613403997</v>
      </c>
      <c r="S49" s="973">
        <f t="shared" si="26"/>
        <v>344.50437282986729</v>
      </c>
      <c r="T49" s="973">
        <f t="shared" si="26"/>
        <v>378.59644017496385</v>
      </c>
      <c r="U49" s="973">
        <f t="shared" si="26"/>
        <v>378.59644017496385</v>
      </c>
      <c r="V49" s="973">
        <f t="shared" si="26"/>
        <v>378.59644017496385</v>
      </c>
      <c r="W49" s="973">
        <f t="shared" si="26"/>
        <v>378.59644017496385</v>
      </c>
      <c r="X49" s="973">
        <f t="shared" si="26"/>
        <v>378.59644017496385</v>
      </c>
      <c r="Y49" s="973">
        <f t="shared" si="26"/>
        <v>378.59644017496385</v>
      </c>
      <c r="Z49" s="973">
        <f t="shared" si="26"/>
        <v>378.59644017496385</v>
      </c>
      <c r="AA49" s="973">
        <f t="shared" si="26"/>
        <v>378.59644017496385</v>
      </c>
      <c r="AB49" s="973">
        <f t="shared" si="26"/>
        <v>378.59644017496385</v>
      </c>
      <c r="AC49" s="973">
        <f t="shared" si="26"/>
        <v>378.59644017496385</v>
      </c>
      <c r="AD49" s="973">
        <f t="shared" si="26"/>
        <v>378.59644017496385</v>
      </c>
      <c r="AE49" s="973">
        <f t="shared" si="26"/>
        <v>378.59644017496385</v>
      </c>
      <c r="AF49" s="973">
        <f t="shared" si="26"/>
        <v>378.59644017496385</v>
      </c>
      <c r="AG49" s="973">
        <f t="shared" si="26"/>
        <v>378.59644017496385</v>
      </c>
      <c r="AH49" s="973">
        <f t="shared" si="26"/>
        <v>378.59644017496385</v>
      </c>
      <c r="AI49" s="973">
        <f t="shared" si="26"/>
        <v>378.59644017496385</v>
      </c>
      <c r="AJ49" s="973">
        <f t="shared" si="26"/>
        <v>378.59644017496385</v>
      </c>
      <c r="AK49" s="973">
        <f>SUM(AK47:AK48)</f>
        <v>381.29763101961748</v>
      </c>
      <c r="AL49" s="979"/>
    </row>
    <row r="50" spans="2:40" ht="20.100000000000001" customHeight="1">
      <c r="D50" s="981"/>
      <c r="E50" s="981"/>
      <c r="F50" s="981"/>
      <c r="G50" s="981"/>
      <c r="M50" s="1007" t="s">
        <v>95</v>
      </c>
      <c r="N50" s="975" t="s">
        <v>278</v>
      </c>
      <c r="AL50" s="979"/>
    </row>
    <row r="51" spans="2:40" s="1016" customFormat="1" ht="20.100000000000001" customHeight="1">
      <c r="B51" s="1017"/>
      <c r="M51" s="945">
        <v>1</v>
      </c>
      <c r="N51" s="1016" t="s">
        <v>279</v>
      </c>
      <c r="O51" s="1016">
        <f t="shared" ref="O51:AJ51" si="27">+O49-O45+O44</f>
        <v>-26.087379971317201</v>
      </c>
      <c r="P51" s="1016">
        <f t="shared" si="27"/>
        <v>-26.087379971317201</v>
      </c>
      <c r="Q51" s="1016">
        <f t="shared" si="27"/>
        <v>0</v>
      </c>
      <c r="R51" s="1016">
        <f t="shared" si="27"/>
        <v>275.60777058485837</v>
      </c>
      <c r="S51" s="1016">
        <f t="shared" si="27"/>
        <v>344.50437282986729</v>
      </c>
      <c r="T51" s="1016">
        <f t="shared" si="27"/>
        <v>378.59644017496385</v>
      </c>
      <c r="U51" s="1016">
        <f t="shared" si="27"/>
        <v>378.59644017496385</v>
      </c>
      <c r="V51" s="1016">
        <f t="shared" si="27"/>
        <v>378.59644017496385</v>
      </c>
      <c r="W51" s="1016">
        <f t="shared" si="27"/>
        <v>378.59644017496385</v>
      </c>
      <c r="X51" s="1016">
        <f t="shared" si="27"/>
        <v>378.59644017496385</v>
      </c>
      <c r="Y51" s="1016">
        <f t="shared" si="27"/>
        <v>378.59644017496385</v>
      </c>
      <c r="Z51" s="1016">
        <f t="shared" si="27"/>
        <v>378.59644017496385</v>
      </c>
      <c r="AA51" s="1016">
        <f t="shared" si="27"/>
        <v>378.59644017496385</v>
      </c>
      <c r="AB51" s="1016">
        <f t="shared" si="27"/>
        <v>378.59644017496385</v>
      </c>
      <c r="AC51" s="1016">
        <f t="shared" si="27"/>
        <v>378.59644017496385</v>
      </c>
      <c r="AD51" s="1016">
        <f t="shared" si="27"/>
        <v>378.59644017496385</v>
      </c>
      <c r="AE51" s="1016">
        <f t="shared" si="27"/>
        <v>378.59644017496385</v>
      </c>
      <c r="AF51" s="1016">
        <f t="shared" si="27"/>
        <v>378.59644017496385</v>
      </c>
      <c r="AG51" s="1016">
        <f t="shared" si="27"/>
        <v>378.59644017496385</v>
      </c>
      <c r="AH51" s="1016">
        <f t="shared" si="27"/>
        <v>378.59644017496385</v>
      </c>
      <c r="AI51" s="1016">
        <f t="shared" si="27"/>
        <v>378.59644017496385</v>
      </c>
      <c r="AJ51" s="1016">
        <f t="shared" si="27"/>
        <v>378.59644017496385</v>
      </c>
      <c r="AK51" s="1016">
        <f>+AK49-AK45+AK44</f>
        <v>381.29763101961748</v>
      </c>
      <c r="AL51" s="1018"/>
      <c r="AM51" s="1019"/>
      <c r="AN51" s="1019"/>
    </row>
    <row r="52" spans="2:40" s="1016" customFormat="1" ht="20.100000000000001" customHeight="1">
      <c r="B52" s="1017"/>
      <c r="M52" s="945">
        <v>2</v>
      </c>
      <c r="N52" s="1016" t="s">
        <v>280</v>
      </c>
      <c r="O52" s="1016">
        <f>+O49-O45</f>
        <v>-26.087379971317201</v>
      </c>
      <c r="P52" s="1016">
        <f t="shared" ref="P52:AJ52" si="28">+P49-P45</f>
        <v>-26.087379971317201</v>
      </c>
      <c r="Q52" s="1016">
        <f t="shared" si="28"/>
        <v>0</v>
      </c>
      <c r="R52" s="1016">
        <f t="shared" si="28"/>
        <v>209.19170602320122</v>
      </c>
      <c r="S52" s="1016">
        <f t="shared" si="28"/>
        <v>262.03063320094782</v>
      </c>
      <c r="T52" s="1016">
        <f t="shared" si="28"/>
        <v>286.17921656366946</v>
      </c>
      <c r="U52" s="1016">
        <f t="shared" si="28"/>
        <v>285.80325336158148</v>
      </c>
      <c r="V52" s="1016">
        <f t="shared" si="28"/>
        <v>285.46044489736255</v>
      </c>
      <c r="W52" s="1016">
        <f t="shared" si="28"/>
        <v>285.14581796033224</v>
      </c>
      <c r="X52" s="1016">
        <f t="shared" si="28"/>
        <v>284.85514532141229</v>
      </c>
      <c r="Y52" s="1016">
        <f t="shared" si="28"/>
        <v>284.58483383588612</v>
      </c>
      <c r="Z52" s="1016">
        <f t="shared" si="28"/>
        <v>284.33182933074465</v>
      </c>
      <c r="AA52" s="1016">
        <f t="shared" si="28"/>
        <v>284.09353575893022</v>
      </c>
      <c r="AB52" s="1016">
        <f t="shared" si="28"/>
        <v>283.86774648044377</v>
      </c>
      <c r="AC52" s="1016">
        <f t="shared" si="28"/>
        <v>283.65258585128606</v>
      </c>
      <c r="AD52" s="1016">
        <f t="shared" si="28"/>
        <v>283.6013911903525</v>
      </c>
      <c r="AE52" s="1016">
        <f t="shared" si="28"/>
        <v>283.55787572855894</v>
      </c>
      <c r="AF52" s="1016">
        <f t="shared" si="28"/>
        <v>283.52088758603446</v>
      </c>
      <c r="AG52" s="1016">
        <f t="shared" si="28"/>
        <v>283.48944766488864</v>
      </c>
      <c r="AH52" s="1016">
        <f>+AH49-AH45</f>
        <v>283.46272373191471</v>
      </c>
      <c r="AI52" s="1016">
        <f t="shared" si="28"/>
        <v>283.44000838888684</v>
      </c>
      <c r="AJ52" s="1016">
        <f t="shared" si="28"/>
        <v>283.36086730384113</v>
      </c>
      <c r="AK52" s="1016">
        <f>+AK49-AK45</f>
        <v>286.01247895638255</v>
      </c>
      <c r="AL52" s="1018"/>
      <c r="AM52" s="1019"/>
    </row>
    <row r="53" spans="2:40" ht="20.100000000000001" customHeight="1">
      <c r="B53" s="976"/>
      <c r="M53" s="1007" t="s">
        <v>281</v>
      </c>
      <c r="N53" s="975" t="s">
        <v>380</v>
      </c>
      <c r="AK53" s="979"/>
      <c r="AM53" s="167"/>
    </row>
    <row r="54" spans="2:40" s="1016" customFormat="1" ht="20.100000000000001" customHeight="1">
      <c r="M54" s="1020">
        <v>1</v>
      </c>
      <c r="N54" s="1016" t="s">
        <v>279</v>
      </c>
      <c r="O54" s="1016">
        <f>NPV(0.1,O51:AK51)</f>
        <v>2285.1564681024029</v>
      </c>
      <c r="AK54" s="1018"/>
      <c r="AM54" s="1019"/>
    </row>
    <row r="55" spans="2:40" s="1016" customFormat="1" ht="20.100000000000001" customHeight="1">
      <c r="D55" s="1021"/>
      <c r="E55" s="1021"/>
      <c r="F55" s="1021"/>
      <c r="G55" s="1021"/>
      <c r="M55" s="945">
        <v>2</v>
      </c>
      <c r="N55" s="1016" t="s">
        <v>282</v>
      </c>
      <c r="O55" s="1016">
        <f>NPV(0.1,O52:AK52)</f>
        <v>1710.0751748531022</v>
      </c>
      <c r="AK55" s="1018"/>
      <c r="AM55" s="1019"/>
    </row>
    <row r="56" spans="2:40" ht="20.100000000000001" customHeight="1">
      <c r="B56" s="974"/>
      <c r="M56" s="1007" t="s">
        <v>283</v>
      </c>
      <c r="N56" s="975" t="s">
        <v>160</v>
      </c>
      <c r="AK56" s="979"/>
      <c r="AM56" s="167"/>
    </row>
    <row r="57" spans="2:40" s="1016" customFormat="1" ht="20.100000000000001" customHeight="1">
      <c r="B57" s="1017"/>
      <c r="C57" s="1017"/>
      <c r="E57" s="1021"/>
      <c r="F57" s="1021"/>
      <c r="G57" s="1021"/>
      <c r="M57" s="945">
        <v>1</v>
      </c>
      <c r="N57" s="1016" t="s">
        <v>279</v>
      </c>
      <c r="O57" s="1022">
        <f>IRR(O51:AK51)</f>
        <v>1.4273466435952864</v>
      </c>
      <c r="AK57" s="1018"/>
      <c r="AM57" s="1019"/>
    </row>
    <row r="58" spans="2:40" s="1016" customFormat="1" ht="20.100000000000001" customHeight="1">
      <c r="C58" s="1017"/>
      <c r="M58" s="945">
        <v>2</v>
      </c>
      <c r="N58" s="1016" t="s">
        <v>282</v>
      </c>
      <c r="O58" s="1022">
        <f>IRR(O52:AK52)</f>
        <v>1.2472285810923918</v>
      </c>
      <c r="P58" s="1017"/>
      <c r="AK58" s="1018"/>
    </row>
    <row r="59" spans="2:40">
      <c r="D59" s="981"/>
      <c r="M59" s="997"/>
      <c r="O59" s="168"/>
      <c r="P59" s="976"/>
    </row>
    <row r="60" spans="2:40">
      <c r="B60" s="976"/>
      <c r="N60" s="987"/>
      <c r="O60" s="1023"/>
      <c r="P60" s="1023"/>
      <c r="Q60" s="1023"/>
      <c r="R60" s="1023"/>
      <c r="S60" s="1023"/>
      <c r="T60" s="1023"/>
      <c r="U60" s="1023"/>
      <c r="V60" s="1023"/>
      <c r="W60" s="1023"/>
      <c r="X60" s="1023"/>
      <c r="Y60" s="1023"/>
      <c r="Z60" s="1023"/>
      <c r="AA60" s="1023"/>
      <c r="AB60" s="1023"/>
      <c r="AC60" s="1023"/>
      <c r="AD60" s="1023"/>
      <c r="AE60" s="1023"/>
      <c r="AF60" s="1023"/>
      <c r="AG60" s="1023"/>
      <c r="AH60" s="1023"/>
      <c r="AI60" s="1023"/>
      <c r="AJ60" s="1023"/>
      <c r="AK60" s="1023"/>
    </row>
    <row r="61" spans="2:40">
      <c r="B61" s="976"/>
    </row>
    <row r="62" spans="2:40">
      <c r="B62" s="976"/>
      <c r="AK62" s="979"/>
    </row>
    <row r="63" spans="2:40">
      <c r="B63" s="981"/>
      <c r="C63" s="981"/>
      <c r="N63" s="979"/>
      <c r="AK63" s="979"/>
    </row>
    <row r="64" spans="2:40">
      <c r="D64" s="981"/>
      <c r="N64" s="979"/>
      <c r="O64" s="979"/>
      <c r="P64" s="979"/>
      <c r="Q64" s="979"/>
      <c r="R64" s="979"/>
      <c r="S64" s="979"/>
      <c r="T64" s="979"/>
      <c r="U64" s="979"/>
      <c r="V64" s="979"/>
      <c r="W64" s="979"/>
      <c r="X64" s="979"/>
      <c r="Y64" s="979"/>
      <c r="Z64" s="979"/>
      <c r="AA64" s="979"/>
      <c r="AK64" s="979"/>
    </row>
    <row r="65" spans="2:37">
      <c r="N65" s="979"/>
      <c r="Q65" s="979"/>
      <c r="R65" s="979"/>
      <c r="S65" s="979"/>
      <c r="T65" s="979"/>
      <c r="U65" s="979"/>
      <c r="V65" s="979"/>
      <c r="W65" s="979"/>
      <c r="X65" s="979"/>
      <c r="Y65" s="979"/>
      <c r="Z65" s="979"/>
      <c r="AA65" s="979"/>
      <c r="AK65" s="979"/>
    </row>
    <row r="66" spans="2:37">
      <c r="N66" s="979"/>
      <c r="AK66" s="979"/>
    </row>
    <row r="67" spans="2:37">
      <c r="AK67" s="979"/>
    </row>
    <row r="68" spans="2:37">
      <c r="O68" s="976"/>
      <c r="P68" s="976"/>
      <c r="AK68" s="979"/>
    </row>
    <row r="69" spans="2:37">
      <c r="B69" s="981"/>
      <c r="C69" s="981"/>
      <c r="D69" s="981"/>
      <c r="O69" s="976"/>
      <c r="P69" s="976"/>
      <c r="AK69" s="979"/>
    </row>
    <row r="70" spans="2:37">
      <c r="AK70" s="979"/>
    </row>
    <row r="71" spans="2:37" ht="15.6">
      <c r="B71" s="974"/>
      <c r="M71" s="976"/>
      <c r="N71" s="1001"/>
      <c r="O71" s="976"/>
      <c r="P71" s="1015"/>
      <c r="AK71" s="979"/>
    </row>
    <row r="72" spans="2:37">
      <c r="B72" s="976"/>
      <c r="C72" s="976"/>
      <c r="M72" s="976"/>
      <c r="O72" s="976"/>
      <c r="P72" s="1015"/>
      <c r="AK72" s="979"/>
    </row>
    <row r="73" spans="2:37">
      <c r="C73" s="976"/>
      <c r="M73" s="976"/>
      <c r="N73" s="1001"/>
      <c r="O73" s="976"/>
      <c r="P73" s="1015"/>
      <c r="AK73" s="979"/>
    </row>
    <row r="74" spans="2:37">
      <c r="B74" s="981"/>
      <c r="C74" s="981"/>
      <c r="D74" s="981"/>
      <c r="M74" s="976"/>
      <c r="O74" s="976"/>
      <c r="P74" s="1015"/>
      <c r="AK74" s="979"/>
    </row>
    <row r="75" spans="2:37">
      <c r="M75" s="976"/>
      <c r="N75" s="1001"/>
      <c r="O75" s="976"/>
      <c r="P75" s="1015"/>
      <c r="AK75" s="979"/>
    </row>
    <row r="76" spans="2:37">
      <c r="B76" s="976"/>
      <c r="M76" s="976"/>
      <c r="O76" s="976"/>
      <c r="P76" s="1015"/>
      <c r="AK76" s="979"/>
    </row>
    <row r="77" spans="2:37">
      <c r="B77" s="976"/>
      <c r="M77" s="1024"/>
      <c r="N77" s="1025"/>
      <c r="O77" s="1024"/>
      <c r="P77" s="1015"/>
      <c r="AK77" s="979"/>
    </row>
    <row r="78" spans="2:37">
      <c r="B78" s="976"/>
      <c r="M78" s="1024"/>
      <c r="N78" s="1025"/>
      <c r="O78" s="1024"/>
      <c r="P78" s="1015"/>
      <c r="AK78" s="979"/>
    </row>
    <row r="79" spans="2:37">
      <c r="B79" s="981"/>
      <c r="C79" s="981"/>
      <c r="D79" s="981"/>
      <c r="M79" s="1024"/>
      <c r="N79" s="1025"/>
      <c r="O79" s="1024"/>
      <c r="P79" s="1015"/>
      <c r="AK79" s="979"/>
    </row>
    <row r="80" spans="2:37">
      <c r="M80" s="1024"/>
      <c r="N80" s="1025"/>
      <c r="O80" s="1024"/>
      <c r="P80" s="1015"/>
      <c r="AK80" s="979"/>
    </row>
    <row r="81" spans="2:37">
      <c r="B81" s="981"/>
      <c r="C81" s="981"/>
      <c r="D81" s="981"/>
      <c r="M81" s="1024"/>
      <c r="N81" s="1025"/>
      <c r="O81" s="1024"/>
      <c r="P81" s="1015"/>
      <c r="AK81" s="979"/>
    </row>
    <row r="82" spans="2:37">
      <c r="M82" s="1024"/>
      <c r="N82" s="1025"/>
      <c r="O82" s="1024"/>
      <c r="P82" s="1015"/>
      <c r="AK82" s="979"/>
    </row>
    <row r="83" spans="2:37">
      <c r="M83" s="1024"/>
      <c r="N83" s="1025"/>
      <c r="O83" s="1024"/>
      <c r="P83" s="1026"/>
      <c r="AK83" s="979"/>
    </row>
    <row r="84" spans="2:37">
      <c r="M84" s="1024"/>
      <c r="N84" s="1025"/>
      <c r="O84" s="1024"/>
      <c r="P84" s="1026"/>
      <c r="AK84" s="979"/>
    </row>
    <row r="85" spans="2:37">
      <c r="M85" s="1024"/>
      <c r="N85" s="1025"/>
      <c r="O85" s="1024"/>
      <c r="P85" s="1026"/>
      <c r="AK85" s="979"/>
    </row>
    <row r="86" spans="2:37">
      <c r="AK86" s="979"/>
    </row>
    <row r="87" spans="2:37">
      <c r="AK87" s="979"/>
    </row>
    <row r="88" spans="2:37">
      <c r="AK88" s="979"/>
    </row>
    <row r="89" spans="2:37">
      <c r="AK89" s="979"/>
    </row>
    <row r="90" spans="2:37">
      <c r="AK90" s="979"/>
    </row>
    <row r="91" spans="2:37">
      <c r="AK91" s="979"/>
    </row>
    <row r="92" spans="2:37">
      <c r="AK92" s="979"/>
    </row>
    <row r="93" spans="2:37">
      <c r="AK93" s="979"/>
    </row>
    <row r="94" spans="2:37">
      <c r="AK94" s="979"/>
    </row>
    <row r="95" spans="2:37">
      <c r="AK95" s="979"/>
    </row>
    <row r="96" spans="2:37">
      <c r="AK96" s="979"/>
    </row>
    <row r="97" spans="37:37">
      <c r="AK97" s="979"/>
    </row>
    <row r="98" spans="37:37">
      <c r="AK98" s="979"/>
    </row>
    <row r="99" spans="37:37">
      <c r="AK99" s="979"/>
    </row>
    <row r="100" spans="37:37">
      <c r="AK100" s="979"/>
    </row>
    <row r="101" spans="37:37">
      <c r="AK101" s="979"/>
    </row>
    <row r="102" spans="37:37">
      <c r="AK102" s="979"/>
    </row>
    <row r="103" spans="37:37">
      <c r="AK103" s="979"/>
    </row>
    <row r="104" spans="37:37">
      <c r="AK104" s="979"/>
    </row>
    <row r="105" spans="37:37">
      <c r="AK105" s="979"/>
    </row>
    <row r="106" spans="37:37">
      <c r="AK106" s="979"/>
    </row>
    <row r="107" spans="37:37">
      <c r="AK107" s="979"/>
    </row>
    <row r="108" spans="37:37">
      <c r="AK108" s="979"/>
    </row>
    <row r="109" spans="37:37">
      <c r="AK109" s="979"/>
    </row>
    <row r="110" spans="37:37">
      <c r="AK110" s="979"/>
    </row>
    <row r="111" spans="37:37">
      <c r="AK111" s="979"/>
    </row>
    <row r="112" spans="37:37">
      <c r="AK112" s="979"/>
    </row>
    <row r="113" spans="37:37">
      <c r="AK113" s="979"/>
    </row>
    <row r="114" spans="37:37">
      <c r="AK114" s="979"/>
    </row>
    <row r="115" spans="37:37">
      <c r="AK115" s="979"/>
    </row>
    <row r="116" spans="37:37">
      <c r="AK116" s="979"/>
    </row>
    <row r="117" spans="37:37">
      <c r="AK117" s="979"/>
    </row>
    <row r="118" spans="37:37">
      <c r="AK118" s="979"/>
    </row>
    <row r="119" spans="37:37">
      <c r="AK119" s="979"/>
    </row>
    <row r="120" spans="37:37">
      <c r="AK120" s="979"/>
    </row>
    <row r="121" spans="37:37">
      <c r="AK121" s="979"/>
    </row>
    <row r="122" spans="37:37">
      <c r="AK122" s="979"/>
    </row>
    <row r="123" spans="37:37">
      <c r="AK123" s="979"/>
    </row>
    <row r="124" spans="37:37">
      <c r="AK124" s="979"/>
    </row>
    <row r="125" spans="37:37">
      <c r="AK125" s="979"/>
    </row>
    <row r="126" spans="37:37">
      <c r="AK126" s="979"/>
    </row>
    <row r="127" spans="37:37">
      <c r="AK127" s="979"/>
    </row>
    <row r="128" spans="37:37">
      <c r="AK128" s="979"/>
    </row>
    <row r="129" spans="37:37">
      <c r="AK129" s="979"/>
    </row>
    <row r="130" spans="37:37">
      <c r="AK130" s="979"/>
    </row>
    <row r="131" spans="37:37">
      <c r="AK131" s="979"/>
    </row>
    <row r="132" spans="37:37">
      <c r="AK132" s="979"/>
    </row>
    <row r="133" spans="37:37">
      <c r="AK133" s="979"/>
    </row>
    <row r="134" spans="37:37">
      <c r="AK134" s="979"/>
    </row>
    <row r="135" spans="37:37">
      <c r="AK135" s="979"/>
    </row>
    <row r="136" spans="37:37">
      <c r="AK136" s="979"/>
    </row>
    <row r="137" spans="37:37">
      <c r="AK137" s="979"/>
    </row>
    <row r="138" spans="37:37">
      <c r="AK138" s="979"/>
    </row>
    <row r="139" spans="37:37">
      <c r="AK139" s="979"/>
    </row>
    <row r="140" spans="37:37">
      <c r="AK140" s="979"/>
    </row>
    <row r="141" spans="37:37">
      <c r="AK141" s="979"/>
    </row>
    <row r="142" spans="37:37">
      <c r="AK142" s="979"/>
    </row>
    <row r="143" spans="37:37">
      <c r="AK143" s="979"/>
    </row>
    <row r="144" spans="37:37">
      <c r="AK144" s="979"/>
    </row>
    <row r="145" spans="37:37">
      <c r="AK145" s="979"/>
    </row>
    <row r="146" spans="37:37">
      <c r="AK146" s="979"/>
    </row>
    <row r="147" spans="37:37">
      <c r="AK147" s="979"/>
    </row>
    <row r="148" spans="37:37">
      <c r="AK148" s="979"/>
    </row>
    <row r="149" spans="37:37">
      <c r="AK149" s="979"/>
    </row>
    <row r="150" spans="37:37">
      <c r="AK150" s="979"/>
    </row>
    <row r="151" spans="37:37">
      <c r="AK151" s="979"/>
    </row>
    <row r="152" spans="37:37">
      <c r="AK152" s="979"/>
    </row>
    <row r="153" spans="37:37">
      <c r="AK153" s="979"/>
    </row>
    <row r="154" spans="37:37">
      <c r="AK154" s="979"/>
    </row>
    <row r="155" spans="37:37">
      <c r="AK155" s="979"/>
    </row>
    <row r="156" spans="37:37">
      <c r="AK156" s="979"/>
    </row>
    <row r="157" spans="37:37">
      <c r="AK157" s="979"/>
    </row>
    <row r="158" spans="37:37">
      <c r="AK158" s="979"/>
    </row>
    <row r="159" spans="37:37">
      <c r="AK159" s="979"/>
    </row>
    <row r="160" spans="37:37">
      <c r="AK160" s="979"/>
    </row>
    <row r="161" spans="37:37">
      <c r="AK161" s="979"/>
    </row>
    <row r="162" spans="37:37">
      <c r="AK162" s="979"/>
    </row>
    <row r="163" spans="37:37">
      <c r="AK163" s="979"/>
    </row>
    <row r="164" spans="37:37">
      <c r="AK164" s="979"/>
    </row>
    <row r="165" spans="37:37">
      <c r="AK165" s="979"/>
    </row>
    <row r="166" spans="37:37">
      <c r="AK166" s="979"/>
    </row>
    <row r="167" spans="37:37">
      <c r="AK167" s="979"/>
    </row>
    <row r="168" spans="37:37">
      <c r="AK168" s="979"/>
    </row>
    <row r="169" spans="37:37">
      <c r="AK169" s="979"/>
    </row>
    <row r="170" spans="37:37">
      <c r="AK170" s="979"/>
    </row>
    <row r="171" spans="37:37">
      <c r="AK171" s="979"/>
    </row>
    <row r="172" spans="37:37">
      <c r="AK172" s="979"/>
    </row>
    <row r="173" spans="37:37">
      <c r="AK173" s="979"/>
    </row>
    <row r="174" spans="37:37">
      <c r="AK174" s="979"/>
    </row>
    <row r="175" spans="37:37">
      <c r="AK175" s="979"/>
    </row>
    <row r="176" spans="37:37">
      <c r="AK176" s="979"/>
    </row>
    <row r="177" spans="37:37">
      <c r="AK177" s="979"/>
    </row>
    <row r="178" spans="37:37">
      <c r="AK178" s="979"/>
    </row>
    <row r="179" spans="37:37">
      <c r="AK179" s="979"/>
    </row>
    <row r="180" spans="37:37">
      <c r="AK180" s="979"/>
    </row>
    <row r="181" spans="37:37">
      <c r="AK181" s="979"/>
    </row>
    <row r="182" spans="37:37">
      <c r="AK182" s="979"/>
    </row>
    <row r="183" spans="37:37">
      <c r="AK183" s="979"/>
    </row>
    <row r="184" spans="37:37">
      <c r="AK184" s="979"/>
    </row>
    <row r="185" spans="37:37">
      <c r="AK185" s="979"/>
    </row>
    <row r="186" spans="37:37">
      <c r="AK186" s="979"/>
    </row>
    <row r="187" spans="37:37">
      <c r="AK187" s="979"/>
    </row>
    <row r="188" spans="37:37">
      <c r="AK188" s="979"/>
    </row>
    <row r="189" spans="37:37">
      <c r="AK189" s="979"/>
    </row>
    <row r="190" spans="37:37">
      <c r="AK190" s="979"/>
    </row>
    <row r="191" spans="37:37">
      <c r="AK191" s="979"/>
    </row>
    <row r="192" spans="37:37">
      <c r="AK192" s="979"/>
    </row>
    <row r="193" spans="37:37">
      <c r="AK193" s="979"/>
    </row>
    <row r="194" spans="37:37">
      <c r="AK194" s="979"/>
    </row>
    <row r="195" spans="37:37">
      <c r="AK195" s="979"/>
    </row>
    <row r="196" spans="37:37">
      <c r="AK196" s="979"/>
    </row>
    <row r="197" spans="37:37">
      <c r="AK197" s="979"/>
    </row>
    <row r="198" spans="37:37">
      <c r="AK198" s="979"/>
    </row>
    <row r="199" spans="37:37">
      <c r="AK199" s="979"/>
    </row>
    <row r="200" spans="37:37">
      <c r="AK200" s="979"/>
    </row>
    <row r="201" spans="37:37">
      <c r="AK201" s="979"/>
    </row>
    <row r="202" spans="37:37">
      <c r="AK202" s="979"/>
    </row>
    <row r="203" spans="37:37">
      <c r="AK203" s="979"/>
    </row>
    <row r="204" spans="37:37">
      <c r="AK204" s="979"/>
    </row>
    <row r="205" spans="37:37">
      <c r="AK205" s="979"/>
    </row>
    <row r="206" spans="37:37">
      <c r="AK206" s="979"/>
    </row>
    <row r="207" spans="37:37">
      <c r="AK207" s="979"/>
    </row>
    <row r="208" spans="37:37">
      <c r="AK208" s="979"/>
    </row>
    <row r="209" spans="37:37">
      <c r="AK209" s="979"/>
    </row>
    <row r="210" spans="37:37">
      <c r="AK210" s="979"/>
    </row>
    <row r="211" spans="37:37">
      <c r="AK211" s="979"/>
    </row>
    <row r="212" spans="37:37">
      <c r="AK212" s="979"/>
    </row>
    <row r="213" spans="37:37">
      <c r="AK213" s="979"/>
    </row>
    <row r="214" spans="37:37">
      <c r="AK214" s="979"/>
    </row>
    <row r="215" spans="37:37">
      <c r="AK215" s="979"/>
    </row>
    <row r="216" spans="37:37">
      <c r="AK216" s="979"/>
    </row>
    <row r="217" spans="37:37">
      <c r="AK217" s="979"/>
    </row>
    <row r="218" spans="37:37">
      <c r="AK218" s="979"/>
    </row>
    <row r="219" spans="37:37">
      <c r="AK219" s="979"/>
    </row>
    <row r="220" spans="37:37">
      <c r="AK220" s="979"/>
    </row>
    <row r="221" spans="37:37">
      <c r="AK221" s="979"/>
    </row>
    <row r="222" spans="37:37">
      <c r="AK222" s="979"/>
    </row>
    <row r="223" spans="37:37">
      <c r="AK223" s="979"/>
    </row>
    <row r="224" spans="37:37">
      <c r="AK224" s="979"/>
    </row>
    <row r="225" spans="37:37">
      <c r="AK225" s="979"/>
    </row>
    <row r="226" spans="37:37">
      <c r="AK226" s="979"/>
    </row>
    <row r="227" spans="37:37">
      <c r="AK227" s="979"/>
    </row>
    <row r="228" spans="37:37">
      <c r="AK228" s="979"/>
    </row>
    <row r="229" spans="37:37">
      <c r="AK229" s="979"/>
    </row>
    <row r="230" spans="37:37">
      <c r="AK230" s="979"/>
    </row>
    <row r="231" spans="37:37">
      <c r="AK231" s="979"/>
    </row>
    <row r="232" spans="37:37">
      <c r="AK232" s="979"/>
    </row>
    <row r="233" spans="37:37">
      <c r="AK233" s="979"/>
    </row>
    <row r="234" spans="37:37">
      <c r="AK234" s="979"/>
    </row>
    <row r="235" spans="37:37">
      <c r="AK235" s="979"/>
    </row>
    <row r="236" spans="37:37">
      <c r="AK236" s="979"/>
    </row>
    <row r="237" spans="37:37">
      <c r="AK237" s="979"/>
    </row>
    <row r="238" spans="37:37">
      <c r="AK238" s="979"/>
    </row>
    <row r="239" spans="37:37">
      <c r="AK239" s="979"/>
    </row>
    <row r="240" spans="37:37">
      <c r="AK240" s="979"/>
    </row>
    <row r="241" spans="37:37">
      <c r="AK241" s="979"/>
    </row>
    <row r="242" spans="37:37">
      <c r="AK242" s="979"/>
    </row>
    <row r="243" spans="37:37">
      <c r="AK243" s="979"/>
    </row>
    <row r="244" spans="37:37">
      <c r="AK244" s="979"/>
    </row>
    <row r="245" spans="37:37">
      <c r="AK245" s="979"/>
    </row>
    <row r="246" spans="37:37">
      <c r="AK246" s="979"/>
    </row>
    <row r="247" spans="37:37">
      <c r="AK247" s="979"/>
    </row>
    <row r="248" spans="37:37">
      <c r="AK248" s="979"/>
    </row>
    <row r="249" spans="37:37">
      <c r="AK249" s="979"/>
    </row>
    <row r="250" spans="37:37">
      <c r="AK250" s="979"/>
    </row>
    <row r="251" spans="37:37">
      <c r="AK251" s="979"/>
    </row>
    <row r="252" spans="37:37">
      <c r="AK252" s="979"/>
    </row>
    <row r="253" spans="37:37">
      <c r="AK253" s="979"/>
    </row>
    <row r="254" spans="37:37">
      <c r="AK254" s="979"/>
    </row>
    <row r="255" spans="37:37">
      <c r="AK255" s="979"/>
    </row>
    <row r="256" spans="37:37">
      <c r="AK256" s="979"/>
    </row>
    <row r="257" spans="37:37">
      <c r="AK257" s="979"/>
    </row>
    <row r="258" spans="37:37">
      <c r="AK258" s="979"/>
    </row>
    <row r="259" spans="37:37">
      <c r="AK259" s="979"/>
    </row>
    <row r="260" spans="37:37">
      <c r="AK260" s="979"/>
    </row>
    <row r="261" spans="37:37">
      <c r="AK261" s="979"/>
    </row>
    <row r="262" spans="37:37">
      <c r="AK262" s="979"/>
    </row>
    <row r="263" spans="37:37">
      <c r="AK263" s="979"/>
    </row>
    <row r="264" spans="37:37">
      <c r="AK264" s="979"/>
    </row>
    <row r="265" spans="37:37">
      <c r="AK265" s="979"/>
    </row>
    <row r="266" spans="37:37">
      <c r="AK266" s="979"/>
    </row>
    <row r="267" spans="37:37">
      <c r="AK267" s="979"/>
    </row>
    <row r="268" spans="37:37">
      <c r="AK268" s="979"/>
    </row>
    <row r="269" spans="37:37">
      <c r="AK269" s="979"/>
    </row>
    <row r="270" spans="37:37">
      <c r="AK270" s="979"/>
    </row>
    <row r="271" spans="37:37">
      <c r="AK271" s="979"/>
    </row>
    <row r="272" spans="37:37">
      <c r="AK272" s="979"/>
    </row>
    <row r="273" spans="37:37">
      <c r="AK273" s="979"/>
    </row>
    <row r="274" spans="37:37">
      <c r="AK274" s="979"/>
    </row>
    <row r="275" spans="37:37">
      <c r="AK275" s="979"/>
    </row>
    <row r="276" spans="37:37">
      <c r="AK276" s="979"/>
    </row>
    <row r="277" spans="37:37">
      <c r="AK277" s="979"/>
    </row>
    <row r="278" spans="37:37">
      <c r="AK278" s="979"/>
    </row>
    <row r="279" spans="37:37">
      <c r="AK279" s="979"/>
    </row>
    <row r="280" spans="37:37">
      <c r="AK280" s="979"/>
    </row>
    <row r="281" spans="37:37">
      <c r="AK281" s="979"/>
    </row>
    <row r="282" spans="37:37">
      <c r="AK282" s="979"/>
    </row>
    <row r="283" spans="37:37">
      <c r="AK283" s="979"/>
    </row>
    <row r="284" spans="37:37">
      <c r="AK284" s="979"/>
    </row>
    <row r="285" spans="37:37">
      <c r="AK285" s="979"/>
    </row>
    <row r="286" spans="37:37">
      <c r="AK286" s="979"/>
    </row>
    <row r="287" spans="37:37">
      <c r="AK287" s="979"/>
    </row>
    <row r="288" spans="37:37">
      <c r="AK288" s="979"/>
    </row>
    <row r="289" spans="37:37">
      <c r="AK289" s="979"/>
    </row>
    <row r="290" spans="37:37">
      <c r="AK290" s="979"/>
    </row>
    <row r="291" spans="37:37">
      <c r="AK291" s="979"/>
    </row>
    <row r="292" spans="37:37">
      <c r="AK292" s="979"/>
    </row>
    <row r="293" spans="37:37">
      <c r="AK293" s="979"/>
    </row>
    <row r="294" spans="37:37">
      <c r="AK294" s="979"/>
    </row>
    <row r="295" spans="37:37">
      <c r="AK295" s="979"/>
    </row>
    <row r="296" spans="37:37">
      <c r="AK296" s="979"/>
    </row>
    <row r="297" spans="37:37">
      <c r="AK297" s="979"/>
    </row>
    <row r="298" spans="37:37">
      <c r="AK298" s="979"/>
    </row>
    <row r="299" spans="37:37">
      <c r="AK299" s="979"/>
    </row>
    <row r="300" spans="37:37">
      <c r="AK300" s="979"/>
    </row>
    <row r="301" spans="37:37">
      <c r="AK301" s="979"/>
    </row>
    <row r="302" spans="37:37">
      <c r="AK302" s="979"/>
    </row>
    <row r="303" spans="37:37">
      <c r="AK303" s="979"/>
    </row>
    <row r="304" spans="37:37">
      <c r="AK304" s="979"/>
    </row>
    <row r="305" spans="37:37">
      <c r="AK305" s="979"/>
    </row>
    <row r="306" spans="37:37">
      <c r="AK306" s="979"/>
    </row>
    <row r="307" spans="37:37">
      <c r="AK307" s="979"/>
    </row>
    <row r="308" spans="37:37">
      <c r="AK308" s="979"/>
    </row>
    <row r="309" spans="37:37">
      <c r="AK309" s="979"/>
    </row>
    <row r="310" spans="37:37">
      <c r="AK310" s="979"/>
    </row>
    <row r="311" spans="37:37">
      <c r="AK311" s="979"/>
    </row>
    <row r="312" spans="37:37">
      <c r="AK312" s="979"/>
    </row>
    <row r="313" spans="37:37">
      <c r="AK313" s="979"/>
    </row>
    <row r="314" spans="37:37">
      <c r="AK314" s="979"/>
    </row>
    <row r="315" spans="37:37">
      <c r="AK315" s="979"/>
    </row>
    <row r="316" spans="37:37">
      <c r="AK316" s="979"/>
    </row>
    <row r="317" spans="37:37">
      <c r="AK317" s="979"/>
    </row>
    <row r="318" spans="37:37">
      <c r="AK318" s="979"/>
    </row>
    <row r="319" spans="37:37">
      <c r="AK319" s="979"/>
    </row>
    <row r="320" spans="37:37">
      <c r="AK320" s="979"/>
    </row>
    <row r="321" spans="37:37">
      <c r="AK321" s="979"/>
    </row>
    <row r="322" spans="37:37">
      <c r="AK322" s="979"/>
    </row>
    <row r="323" spans="37:37">
      <c r="AK323" s="979"/>
    </row>
    <row r="324" spans="37:37">
      <c r="AK324" s="979"/>
    </row>
    <row r="325" spans="37:37">
      <c r="AK325" s="979"/>
    </row>
    <row r="326" spans="37:37">
      <c r="AK326" s="979"/>
    </row>
    <row r="327" spans="37:37">
      <c r="AK327" s="979"/>
    </row>
    <row r="328" spans="37:37">
      <c r="AK328" s="979"/>
    </row>
    <row r="329" spans="37:37">
      <c r="AK329" s="979"/>
    </row>
    <row r="330" spans="37:37">
      <c r="AK330" s="979"/>
    </row>
    <row r="331" spans="37:37">
      <c r="AK331" s="979"/>
    </row>
    <row r="332" spans="37:37">
      <c r="AK332" s="979"/>
    </row>
    <row r="333" spans="37:37">
      <c r="AK333" s="979"/>
    </row>
    <row r="334" spans="37:37">
      <c r="AK334" s="979"/>
    </row>
    <row r="335" spans="37:37">
      <c r="AK335" s="979"/>
    </row>
    <row r="336" spans="37:37">
      <c r="AK336" s="979"/>
    </row>
    <row r="337" spans="37:37">
      <c r="AK337" s="979"/>
    </row>
    <row r="338" spans="37:37">
      <c r="AK338" s="979"/>
    </row>
    <row r="339" spans="37:37">
      <c r="AK339" s="979"/>
    </row>
    <row r="340" spans="37:37">
      <c r="AK340" s="979"/>
    </row>
    <row r="341" spans="37:37">
      <c r="AK341" s="979"/>
    </row>
    <row r="342" spans="37:37">
      <c r="AK342" s="979"/>
    </row>
    <row r="343" spans="37:37">
      <c r="AK343" s="979"/>
    </row>
    <row r="344" spans="37:37">
      <c r="AK344" s="979"/>
    </row>
    <row r="345" spans="37:37">
      <c r="AK345" s="979"/>
    </row>
    <row r="346" spans="37:37">
      <c r="AK346" s="979"/>
    </row>
    <row r="347" spans="37:37">
      <c r="AK347" s="979"/>
    </row>
    <row r="348" spans="37:37">
      <c r="AK348" s="979"/>
    </row>
    <row r="349" spans="37:37">
      <c r="AK349" s="979"/>
    </row>
    <row r="350" spans="37:37">
      <c r="AK350" s="979"/>
    </row>
    <row r="351" spans="37:37">
      <c r="AK351" s="979"/>
    </row>
    <row r="352" spans="37:37">
      <c r="AK352" s="979"/>
    </row>
    <row r="353" spans="37:37">
      <c r="AK353" s="979"/>
    </row>
    <row r="354" spans="37:37">
      <c r="AK354" s="979"/>
    </row>
    <row r="355" spans="37:37">
      <c r="AK355" s="979"/>
    </row>
    <row r="356" spans="37:37">
      <c r="AK356" s="979"/>
    </row>
    <row r="357" spans="37:37">
      <c r="AK357" s="979"/>
    </row>
    <row r="358" spans="37:37">
      <c r="AK358" s="979"/>
    </row>
    <row r="359" spans="37:37">
      <c r="AK359" s="979"/>
    </row>
    <row r="360" spans="37:37">
      <c r="AK360" s="979"/>
    </row>
    <row r="361" spans="37:37">
      <c r="AK361" s="979"/>
    </row>
    <row r="362" spans="37:37">
      <c r="AK362" s="979"/>
    </row>
    <row r="363" spans="37:37">
      <c r="AK363" s="979"/>
    </row>
    <row r="364" spans="37:37">
      <c r="AK364" s="979"/>
    </row>
    <row r="365" spans="37:37">
      <c r="AK365" s="979"/>
    </row>
    <row r="366" spans="37:37">
      <c r="AK366" s="979"/>
    </row>
    <row r="367" spans="37:37">
      <c r="AK367" s="979"/>
    </row>
    <row r="368" spans="37:37">
      <c r="AK368" s="979"/>
    </row>
    <row r="369" spans="37:37">
      <c r="AK369" s="979"/>
    </row>
    <row r="370" spans="37:37">
      <c r="AK370" s="979"/>
    </row>
    <row r="371" spans="37:37">
      <c r="AK371" s="979"/>
    </row>
    <row r="372" spans="37:37">
      <c r="AK372" s="979"/>
    </row>
    <row r="373" spans="37:37">
      <c r="AK373" s="979"/>
    </row>
    <row r="374" spans="37:37">
      <c r="AK374" s="979"/>
    </row>
    <row r="375" spans="37:37">
      <c r="AK375" s="979"/>
    </row>
    <row r="376" spans="37:37">
      <c r="AK376" s="979"/>
    </row>
    <row r="377" spans="37:37">
      <c r="AK377" s="979"/>
    </row>
    <row r="378" spans="37:37">
      <c r="AK378" s="979"/>
    </row>
    <row r="379" spans="37:37">
      <c r="AK379" s="979"/>
    </row>
    <row r="380" spans="37:37">
      <c r="AK380" s="979"/>
    </row>
    <row r="381" spans="37:37">
      <c r="AK381" s="979"/>
    </row>
    <row r="382" spans="37:37">
      <c r="AK382" s="979"/>
    </row>
    <row r="383" spans="37:37">
      <c r="AK383" s="979"/>
    </row>
    <row r="384" spans="37:37">
      <c r="AK384" s="979"/>
    </row>
    <row r="385" spans="37:37">
      <c r="AK385" s="979"/>
    </row>
    <row r="386" spans="37:37">
      <c r="AK386" s="979"/>
    </row>
    <row r="387" spans="37:37">
      <c r="AK387" s="979"/>
    </row>
    <row r="388" spans="37:37">
      <c r="AK388" s="979"/>
    </row>
    <row r="389" spans="37:37">
      <c r="AK389" s="979"/>
    </row>
    <row r="390" spans="37:37">
      <c r="AK390" s="979"/>
    </row>
    <row r="391" spans="37:37">
      <c r="AK391" s="979"/>
    </row>
    <row r="392" spans="37:37">
      <c r="AK392" s="979"/>
    </row>
    <row r="393" spans="37:37">
      <c r="AK393" s="979"/>
    </row>
    <row r="394" spans="37:37">
      <c r="AK394" s="979"/>
    </row>
    <row r="395" spans="37:37">
      <c r="AK395" s="979"/>
    </row>
    <row r="396" spans="37:37">
      <c r="AK396" s="979"/>
    </row>
    <row r="397" spans="37:37">
      <c r="AK397" s="979"/>
    </row>
    <row r="398" spans="37:37">
      <c r="AK398" s="979"/>
    </row>
    <row r="399" spans="37:37">
      <c r="AK399" s="979"/>
    </row>
    <row r="400" spans="37:37">
      <c r="AK400" s="979"/>
    </row>
    <row r="401" spans="37:37">
      <c r="AK401" s="979"/>
    </row>
    <row r="402" spans="37:37">
      <c r="AK402" s="979"/>
    </row>
    <row r="403" spans="37:37">
      <c r="AK403" s="979"/>
    </row>
    <row r="404" spans="37:37">
      <c r="AK404" s="979"/>
    </row>
    <row r="405" spans="37:37">
      <c r="AK405" s="979"/>
    </row>
    <row r="406" spans="37:37">
      <c r="AK406" s="979"/>
    </row>
    <row r="407" spans="37:37">
      <c r="AK407" s="979"/>
    </row>
    <row r="408" spans="37:37">
      <c r="AK408" s="979"/>
    </row>
    <row r="409" spans="37:37">
      <c r="AK409" s="979"/>
    </row>
    <row r="410" spans="37:37">
      <c r="AK410" s="979"/>
    </row>
    <row r="411" spans="37:37">
      <c r="AK411" s="979"/>
    </row>
    <row r="412" spans="37:37">
      <c r="AK412" s="979"/>
    </row>
    <row r="413" spans="37:37">
      <c r="AK413" s="979"/>
    </row>
    <row r="414" spans="37:37">
      <c r="AK414" s="979"/>
    </row>
    <row r="415" spans="37:37">
      <c r="AK415" s="979"/>
    </row>
    <row r="416" spans="37:37">
      <c r="AK416" s="979"/>
    </row>
    <row r="417" spans="37:37">
      <c r="AK417" s="979"/>
    </row>
    <row r="418" spans="37:37">
      <c r="AK418" s="979"/>
    </row>
    <row r="419" spans="37:37">
      <c r="AK419" s="979"/>
    </row>
    <row r="420" spans="37:37">
      <c r="AK420" s="979"/>
    </row>
    <row r="421" spans="37:37">
      <c r="AK421" s="979"/>
    </row>
    <row r="422" spans="37:37">
      <c r="AK422" s="979"/>
    </row>
    <row r="423" spans="37:37">
      <c r="AK423" s="979"/>
    </row>
    <row r="424" spans="37:37">
      <c r="AK424" s="979"/>
    </row>
    <row r="425" spans="37:37">
      <c r="AK425" s="979"/>
    </row>
    <row r="426" spans="37:37">
      <c r="AK426" s="979"/>
    </row>
    <row r="427" spans="37:37">
      <c r="AK427" s="979"/>
    </row>
    <row r="428" spans="37:37">
      <c r="AK428" s="979"/>
    </row>
    <row r="429" spans="37:37">
      <c r="AK429" s="979"/>
    </row>
    <row r="430" spans="37:37">
      <c r="AK430" s="979"/>
    </row>
    <row r="431" spans="37:37">
      <c r="AK431" s="979"/>
    </row>
    <row r="432" spans="37:37">
      <c r="AK432" s="979"/>
    </row>
    <row r="433" spans="37:37">
      <c r="AK433" s="979"/>
    </row>
    <row r="434" spans="37:37">
      <c r="AK434" s="979"/>
    </row>
    <row r="435" spans="37:37">
      <c r="AK435" s="979"/>
    </row>
    <row r="436" spans="37:37">
      <c r="AK436" s="979"/>
    </row>
    <row r="437" spans="37:37">
      <c r="AK437" s="979"/>
    </row>
    <row r="438" spans="37:37">
      <c r="AK438" s="979"/>
    </row>
    <row r="439" spans="37:37">
      <c r="AK439" s="979"/>
    </row>
    <row r="440" spans="37:37">
      <c r="AK440" s="979"/>
    </row>
    <row r="441" spans="37:37">
      <c r="AK441" s="979"/>
    </row>
    <row r="442" spans="37:37">
      <c r="AK442" s="979"/>
    </row>
    <row r="443" spans="37:37">
      <c r="AK443" s="979"/>
    </row>
    <row r="444" spans="37:37">
      <c r="AK444" s="979"/>
    </row>
    <row r="445" spans="37:37">
      <c r="AK445" s="979"/>
    </row>
    <row r="446" spans="37:37">
      <c r="AK446" s="979"/>
    </row>
    <row r="447" spans="37:37">
      <c r="AK447" s="979"/>
    </row>
    <row r="448" spans="37:37">
      <c r="AK448" s="979"/>
    </row>
    <row r="449" spans="37:37">
      <c r="AK449" s="979"/>
    </row>
    <row r="450" spans="37:37">
      <c r="AK450" s="979"/>
    </row>
    <row r="451" spans="37:37">
      <c r="AK451" s="979"/>
    </row>
    <row r="452" spans="37:37">
      <c r="AK452" s="979"/>
    </row>
    <row r="453" spans="37:37">
      <c r="AK453" s="979"/>
    </row>
    <row r="454" spans="37:37">
      <c r="AK454" s="979"/>
    </row>
    <row r="455" spans="37:37">
      <c r="AK455" s="979"/>
    </row>
    <row r="456" spans="37:37">
      <c r="AK456" s="979"/>
    </row>
    <row r="457" spans="37:37">
      <c r="AK457" s="979"/>
    </row>
    <row r="458" spans="37:37">
      <c r="AK458" s="979"/>
    </row>
    <row r="459" spans="37:37">
      <c r="AK459" s="979"/>
    </row>
    <row r="460" spans="37:37">
      <c r="AK460" s="979"/>
    </row>
    <row r="461" spans="37:37">
      <c r="AK461" s="979"/>
    </row>
    <row r="462" spans="37:37">
      <c r="AK462" s="979"/>
    </row>
    <row r="463" spans="37:37">
      <c r="AK463" s="979"/>
    </row>
    <row r="464" spans="37:37">
      <c r="AK464" s="979"/>
    </row>
    <row r="465" spans="37:37">
      <c r="AK465" s="979"/>
    </row>
    <row r="466" spans="37:37">
      <c r="AK466" s="979"/>
    </row>
    <row r="467" spans="37:37">
      <c r="AK467" s="979"/>
    </row>
    <row r="468" spans="37:37">
      <c r="AK468" s="979"/>
    </row>
    <row r="469" spans="37:37">
      <c r="AK469" s="979"/>
    </row>
    <row r="470" spans="37:37">
      <c r="AK470" s="979"/>
    </row>
    <row r="471" spans="37:37">
      <c r="AK471" s="979"/>
    </row>
    <row r="472" spans="37:37">
      <c r="AK472" s="979"/>
    </row>
    <row r="473" spans="37:37">
      <c r="AK473" s="979"/>
    </row>
    <row r="474" spans="37:37">
      <c r="AK474" s="979"/>
    </row>
    <row r="475" spans="37:37">
      <c r="AK475" s="979"/>
    </row>
    <row r="476" spans="37:37">
      <c r="AK476" s="979"/>
    </row>
    <row r="477" spans="37:37">
      <c r="AK477" s="979"/>
    </row>
    <row r="478" spans="37:37">
      <c r="AK478" s="979"/>
    </row>
    <row r="479" spans="37:37">
      <c r="AK479" s="979"/>
    </row>
    <row r="480" spans="37:37">
      <c r="AK480" s="979"/>
    </row>
    <row r="481" spans="37:37">
      <c r="AK481" s="979"/>
    </row>
    <row r="482" spans="37:37">
      <c r="AK482" s="979"/>
    </row>
    <row r="483" spans="37:37">
      <c r="AK483" s="979"/>
    </row>
    <row r="484" spans="37:37">
      <c r="AK484" s="979"/>
    </row>
    <row r="485" spans="37:37">
      <c r="AK485" s="979"/>
    </row>
    <row r="486" spans="37:37">
      <c r="AK486" s="979"/>
    </row>
    <row r="487" spans="37:37">
      <c r="AK487" s="979"/>
    </row>
    <row r="488" spans="37:37">
      <c r="AK488" s="979"/>
    </row>
    <row r="489" spans="37:37">
      <c r="AK489" s="979"/>
    </row>
    <row r="490" spans="37:37">
      <c r="AK490" s="979"/>
    </row>
    <row r="491" spans="37:37">
      <c r="AK491" s="979"/>
    </row>
    <row r="492" spans="37:37">
      <c r="AK492" s="979"/>
    </row>
    <row r="493" spans="37:37">
      <c r="AK493" s="979"/>
    </row>
    <row r="494" spans="37:37">
      <c r="AK494" s="979"/>
    </row>
    <row r="495" spans="37:37">
      <c r="AK495" s="979"/>
    </row>
    <row r="496" spans="37:37">
      <c r="AK496" s="979"/>
    </row>
    <row r="497" spans="37:37">
      <c r="AK497" s="979"/>
    </row>
    <row r="498" spans="37:37">
      <c r="AK498" s="979"/>
    </row>
    <row r="499" spans="37:37">
      <c r="AK499" s="979"/>
    </row>
    <row r="500" spans="37:37">
      <c r="AK500" s="979"/>
    </row>
    <row r="501" spans="37:37">
      <c r="AK501" s="979"/>
    </row>
    <row r="502" spans="37:37">
      <c r="AK502" s="979"/>
    </row>
    <row r="503" spans="37:37">
      <c r="AK503" s="979"/>
    </row>
    <row r="504" spans="37:37">
      <c r="AK504" s="979"/>
    </row>
    <row r="505" spans="37:37">
      <c r="AK505" s="979"/>
    </row>
    <row r="506" spans="37:37">
      <c r="AK506" s="979"/>
    </row>
    <row r="507" spans="37:37">
      <c r="AK507" s="979"/>
    </row>
    <row r="508" spans="37:37">
      <c r="AK508" s="979"/>
    </row>
    <row r="509" spans="37:37">
      <c r="AK509" s="979"/>
    </row>
    <row r="510" spans="37:37">
      <c r="AK510" s="979"/>
    </row>
    <row r="511" spans="37:37">
      <c r="AK511" s="979"/>
    </row>
    <row r="512" spans="37:37">
      <c r="AK512" s="979"/>
    </row>
    <row r="513" spans="37:37">
      <c r="AK513" s="979"/>
    </row>
    <row r="514" spans="37:37">
      <c r="AK514" s="979"/>
    </row>
    <row r="515" spans="37:37">
      <c r="AK515" s="979"/>
    </row>
    <row r="516" spans="37:37">
      <c r="AK516" s="979"/>
    </row>
    <row r="517" spans="37:37">
      <c r="AK517" s="979"/>
    </row>
    <row r="518" spans="37:37">
      <c r="AK518" s="979"/>
    </row>
    <row r="519" spans="37:37">
      <c r="AK519" s="979"/>
    </row>
    <row r="520" spans="37:37">
      <c r="AK520" s="979"/>
    </row>
    <row r="521" spans="37:37">
      <c r="AK521" s="979"/>
    </row>
    <row r="522" spans="37:37">
      <c r="AK522" s="979"/>
    </row>
    <row r="523" spans="37:37">
      <c r="AK523" s="979"/>
    </row>
    <row r="524" spans="37:37">
      <c r="AK524" s="979"/>
    </row>
    <row r="525" spans="37:37">
      <c r="AK525" s="979"/>
    </row>
    <row r="526" spans="37:37">
      <c r="AK526" s="979"/>
    </row>
    <row r="527" spans="37:37">
      <c r="AK527" s="979"/>
    </row>
    <row r="528" spans="37:37">
      <c r="AK528" s="979"/>
    </row>
    <row r="529" spans="37:37">
      <c r="AK529" s="979"/>
    </row>
    <row r="530" spans="37:37">
      <c r="AK530" s="979"/>
    </row>
    <row r="531" spans="37:37">
      <c r="AK531" s="979"/>
    </row>
    <row r="532" spans="37:37">
      <c r="AK532" s="979"/>
    </row>
    <row r="533" spans="37:37">
      <c r="AK533" s="979"/>
    </row>
    <row r="534" spans="37:37">
      <c r="AK534" s="979"/>
    </row>
    <row r="535" spans="37:37">
      <c r="AK535" s="979"/>
    </row>
    <row r="536" spans="37:37">
      <c r="AK536" s="979"/>
    </row>
    <row r="537" spans="37:37">
      <c r="AK537" s="979"/>
    </row>
    <row r="538" spans="37:37">
      <c r="AK538" s="979"/>
    </row>
    <row r="539" spans="37:37">
      <c r="AK539" s="979"/>
    </row>
    <row r="540" spans="37:37">
      <c r="AK540" s="979"/>
    </row>
    <row r="541" spans="37:37">
      <c r="AK541" s="979"/>
    </row>
    <row r="542" spans="37:37">
      <c r="AK542" s="979"/>
    </row>
    <row r="543" spans="37:37">
      <c r="AK543" s="979"/>
    </row>
    <row r="544" spans="37:37">
      <c r="AK544" s="979"/>
    </row>
    <row r="545" spans="37:37">
      <c r="AK545" s="979"/>
    </row>
    <row r="546" spans="37:37">
      <c r="AK546" s="979"/>
    </row>
    <row r="547" spans="37:37">
      <c r="AK547" s="979"/>
    </row>
    <row r="548" spans="37:37">
      <c r="AK548" s="979"/>
    </row>
    <row r="549" spans="37:37">
      <c r="AK549" s="979"/>
    </row>
    <row r="550" spans="37:37">
      <c r="AK550" s="979"/>
    </row>
    <row r="551" spans="37:37">
      <c r="AK551" s="979"/>
    </row>
    <row r="552" spans="37:37">
      <c r="AK552" s="979"/>
    </row>
    <row r="553" spans="37:37">
      <c r="AK553" s="979"/>
    </row>
    <row r="554" spans="37:37">
      <c r="AK554" s="979"/>
    </row>
    <row r="555" spans="37:37">
      <c r="AK555" s="979"/>
    </row>
    <row r="556" spans="37:37">
      <c r="AK556" s="979"/>
    </row>
    <row r="557" spans="37:37">
      <c r="AK557" s="979"/>
    </row>
    <row r="558" spans="37:37">
      <c r="AK558" s="979"/>
    </row>
    <row r="559" spans="37:37">
      <c r="AK559" s="979"/>
    </row>
    <row r="560" spans="37:37">
      <c r="AK560" s="979"/>
    </row>
    <row r="561" spans="37:37">
      <c r="AK561" s="979"/>
    </row>
    <row r="562" spans="37:37">
      <c r="AK562" s="979"/>
    </row>
    <row r="563" spans="37:37">
      <c r="AK563" s="979"/>
    </row>
    <row r="564" spans="37:37">
      <c r="AK564" s="979"/>
    </row>
    <row r="565" spans="37:37">
      <c r="AK565" s="979"/>
    </row>
    <row r="566" spans="37:37">
      <c r="AK566" s="979"/>
    </row>
    <row r="567" spans="37:37">
      <c r="AK567" s="979"/>
    </row>
    <row r="568" spans="37:37">
      <c r="AK568" s="979"/>
    </row>
    <row r="569" spans="37:37">
      <c r="AK569" s="979"/>
    </row>
    <row r="570" spans="37:37">
      <c r="AK570" s="979"/>
    </row>
    <row r="571" spans="37:37">
      <c r="AK571" s="979"/>
    </row>
    <row r="572" spans="37:37">
      <c r="AK572" s="979"/>
    </row>
    <row r="573" spans="37:37">
      <c r="AK573" s="979"/>
    </row>
    <row r="574" spans="37:37">
      <c r="AK574" s="979"/>
    </row>
    <row r="575" spans="37:37">
      <c r="AK575" s="979"/>
    </row>
    <row r="576" spans="37:37">
      <c r="AK576" s="979"/>
    </row>
    <row r="577" spans="37:37">
      <c r="AK577" s="979"/>
    </row>
    <row r="578" spans="37:37">
      <c r="AK578" s="979"/>
    </row>
    <row r="579" spans="37:37">
      <c r="AK579" s="979"/>
    </row>
    <row r="580" spans="37:37">
      <c r="AK580" s="979"/>
    </row>
    <row r="581" spans="37:37">
      <c r="AK581" s="979"/>
    </row>
    <row r="582" spans="37:37">
      <c r="AK582" s="979"/>
    </row>
    <row r="583" spans="37:37">
      <c r="AK583" s="979"/>
    </row>
    <row r="584" spans="37:37">
      <c r="AK584" s="979"/>
    </row>
    <row r="585" spans="37:37">
      <c r="AK585" s="979"/>
    </row>
    <row r="586" spans="37:37">
      <c r="AK586" s="979"/>
    </row>
    <row r="587" spans="37:37">
      <c r="AK587" s="979"/>
    </row>
    <row r="588" spans="37:37">
      <c r="AK588" s="979"/>
    </row>
    <row r="589" spans="37:37">
      <c r="AK589" s="979"/>
    </row>
    <row r="590" spans="37:37">
      <c r="AK590" s="979"/>
    </row>
    <row r="591" spans="37:37">
      <c r="AK591" s="979"/>
    </row>
    <row r="592" spans="37:37">
      <c r="AK592" s="979"/>
    </row>
    <row r="593" spans="37:37">
      <c r="AK593" s="979"/>
    </row>
    <row r="594" spans="37:37">
      <c r="AK594" s="979"/>
    </row>
    <row r="595" spans="37:37">
      <c r="AK595" s="979"/>
    </row>
    <row r="596" spans="37:37">
      <c r="AK596" s="979"/>
    </row>
    <row r="597" spans="37:37">
      <c r="AK597" s="979"/>
    </row>
    <row r="598" spans="37:37">
      <c r="AK598" s="979"/>
    </row>
    <row r="599" spans="37:37">
      <c r="AK599" s="979"/>
    </row>
    <row r="600" spans="37:37">
      <c r="AK600" s="979"/>
    </row>
    <row r="601" spans="37:37">
      <c r="AK601" s="979"/>
    </row>
    <row r="602" spans="37:37">
      <c r="AK602" s="979"/>
    </row>
    <row r="603" spans="37:37">
      <c r="AK603" s="979"/>
    </row>
    <row r="604" spans="37:37">
      <c r="AK604" s="979"/>
    </row>
    <row r="605" spans="37:37">
      <c r="AK605" s="979"/>
    </row>
    <row r="606" spans="37:37">
      <c r="AK606" s="979"/>
    </row>
    <row r="607" spans="37:37">
      <c r="AK607" s="979"/>
    </row>
    <row r="608" spans="37:37">
      <c r="AK608" s="979"/>
    </row>
    <row r="609" spans="37:37">
      <c r="AK609" s="979"/>
    </row>
    <row r="610" spans="37:37">
      <c r="AK610" s="979"/>
    </row>
    <row r="611" spans="37:37">
      <c r="AK611" s="979"/>
    </row>
    <row r="612" spans="37:37">
      <c r="AK612" s="979"/>
    </row>
    <row r="613" spans="37:37">
      <c r="AK613" s="979"/>
    </row>
    <row r="614" spans="37:37">
      <c r="AK614" s="979"/>
    </row>
    <row r="615" spans="37:37">
      <c r="AK615" s="979"/>
    </row>
    <row r="616" spans="37:37">
      <c r="AK616" s="979"/>
    </row>
    <row r="617" spans="37:37">
      <c r="AK617" s="979"/>
    </row>
    <row r="618" spans="37:37">
      <c r="AK618" s="979"/>
    </row>
    <row r="619" spans="37:37">
      <c r="AK619" s="979"/>
    </row>
    <row r="620" spans="37:37">
      <c r="AK620" s="979"/>
    </row>
    <row r="621" spans="37:37">
      <c r="AK621" s="979"/>
    </row>
    <row r="622" spans="37:37">
      <c r="AK622" s="979"/>
    </row>
    <row r="623" spans="37:37">
      <c r="AK623" s="979"/>
    </row>
    <row r="624" spans="37:37">
      <c r="AK624" s="979"/>
    </row>
    <row r="625" spans="37:37">
      <c r="AK625" s="979"/>
    </row>
    <row r="626" spans="37:37">
      <c r="AK626" s="979"/>
    </row>
    <row r="627" spans="37:37">
      <c r="AK627" s="979"/>
    </row>
    <row r="628" spans="37:37">
      <c r="AK628" s="979"/>
    </row>
    <row r="629" spans="37:37">
      <c r="AK629" s="979"/>
    </row>
    <row r="630" spans="37:37">
      <c r="AK630" s="979"/>
    </row>
    <row r="631" spans="37:37">
      <c r="AK631" s="979"/>
    </row>
    <row r="632" spans="37:37">
      <c r="AK632" s="979"/>
    </row>
    <row r="633" spans="37:37">
      <c r="AK633" s="979"/>
    </row>
    <row r="634" spans="37:37">
      <c r="AK634" s="979"/>
    </row>
    <row r="635" spans="37:37">
      <c r="AK635" s="979"/>
    </row>
    <row r="636" spans="37:37">
      <c r="AK636" s="979"/>
    </row>
    <row r="637" spans="37:37">
      <c r="AK637" s="979"/>
    </row>
    <row r="638" spans="37:37">
      <c r="AK638" s="979"/>
    </row>
    <row r="639" spans="37:37">
      <c r="AK639" s="979"/>
    </row>
    <row r="640" spans="37:37">
      <c r="AK640" s="979"/>
    </row>
    <row r="641" spans="37:37">
      <c r="AK641" s="979"/>
    </row>
    <row r="642" spans="37:37">
      <c r="AK642" s="979"/>
    </row>
    <row r="643" spans="37:37">
      <c r="AK643" s="979"/>
    </row>
    <row r="644" spans="37:37">
      <c r="AK644" s="979"/>
    </row>
    <row r="645" spans="37:37">
      <c r="AK645" s="979"/>
    </row>
    <row r="646" spans="37:37">
      <c r="AK646" s="979"/>
    </row>
    <row r="647" spans="37:37">
      <c r="AK647" s="979"/>
    </row>
    <row r="648" spans="37:37">
      <c r="AK648" s="979"/>
    </row>
    <row r="649" spans="37:37">
      <c r="AK649" s="979"/>
    </row>
    <row r="650" spans="37:37">
      <c r="AK650" s="979"/>
    </row>
    <row r="651" spans="37:37">
      <c r="AK651" s="979"/>
    </row>
    <row r="652" spans="37:37">
      <c r="AK652" s="979"/>
    </row>
    <row r="653" spans="37:37">
      <c r="AK653" s="979"/>
    </row>
    <row r="654" spans="37:37">
      <c r="AK654" s="979"/>
    </row>
    <row r="655" spans="37:37">
      <c r="AK655" s="979"/>
    </row>
    <row r="656" spans="37:37">
      <c r="AK656" s="979"/>
    </row>
    <row r="657" spans="37:37">
      <c r="AK657" s="979"/>
    </row>
    <row r="658" spans="37:37">
      <c r="AK658" s="979"/>
    </row>
    <row r="659" spans="37:37">
      <c r="AK659" s="979"/>
    </row>
    <row r="660" spans="37:37">
      <c r="AK660" s="979"/>
    </row>
    <row r="661" spans="37:37">
      <c r="AK661" s="979"/>
    </row>
    <row r="662" spans="37:37">
      <c r="AK662" s="979"/>
    </row>
    <row r="663" spans="37:37">
      <c r="AK663" s="979"/>
    </row>
    <row r="664" spans="37:37">
      <c r="AK664" s="979"/>
    </row>
    <row r="665" spans="37:37">
      <c r="AK665" s="979"/>
    </row>
    <row r="666" spans="37:37">
      <c r="AK666" s="979"/>
    </row>
    <row r="667" spans="37:37">
      <c r="AK667" s="979"/>
    </row>
    <row r="668" spans="37:37">
      <c r="AK668" s="979"/>
    </row>
    <row r="669" spans="37:37">
      <c r="AK669" s="979"/>
    </row>
    <row r="670" spans="37:37">
      <c r="AK670" s="979"/>
    </row>
    <row r="671" spans="37:37">
      <c r="AK671" s="979"/>
    </row>
    <row r="672" spans="37:37">
      <c r="AK672" s="979"/>
    </row>
    <row r="673" spans="37:37">
      <c r="AK673" s="979"/>
    </row>
    <row r="674" spans="37:37">
      <c r="AK674" s="979"/>
    </row>
    <row r="675" spans="37:37">
      <c r="AK675" s="979"/>
    </row>
    <row r="676" spans="37:37">
      <c r="AK676" s="979"/>
    </row>
    <row r="677" spans="37:37">
      <c r="AK677" s="979"/>
    </row>
    <row r="678" spans="37:37">
      <c r="AK678" s="979"/>
    </row>
    <row r="679" spans="37:37">
      <c r="AK679" s="979"/>
    </row>
    <row r="680" spans="37:37">
      <c r="AK680" s="979"/>
    </row>
    <row r="681" spans="37:37">
      <c r="AK681" s="979"/>
    </row>
    <row r="682" spans="37:37">
      <c r="AK682" s="979"/>
    </row>
    <row r="683" spans="37:37">
      <c r="AK683" s="979"/>
    </row>
    <row r="684" spans="37:37">
      <c r="AK684" s="979"/>
    </row>
    <row r="685" spans="37:37">
      <c r="AK685" s="979"/>
    </row>
    <row r="686" spans="37:37">
      <c r="AK686" s="979"/>
    </row>
    <row r="687" spans="37:37">
      <c r="AK687" s="979"/>
    </row>
    <row r="688" spans="37:37">
      <c r="AK688" s="979"/>
    </row>
    <row r="689" spans="37:37">
      <c r="AK689" s="979"/>
    </row>
    <row r="690" spans="37:37">
      <c r="AK690" s="979"/>
    </row>
    <row r="691" spans="37:37">
      <c r="AK691" s="979"/>
    </row>
    <row r="692" spans="37:37">
      <c r="AK692" s="979"/>
    </row>
    <row r="693" spans="37:37">
      <c r="AK693" s="979"/>
    </row>
    <row r="694" spans="37:37">
      <c r="AK694" s="979"/>
    </row>
    <row r="695" spans="37:37">
      <c r="AK695" s="979"/>
    </row>
    <row r="696" spans="37:37">
      <c r="AK696" s="979"/>
    </row>
    <row r="697" spans="37:37">
      <c r="AK697" s="979"/>
    </row>
    <row r="698" spans="37:37">
      <c r="AK698" s="979"/>
    </row>
    <row r="699" spans="37:37">
      <c r="AK699" s="979"/>
    </row>
    <row r="700" spans="37:37">
      <c r="AK700" s="979"/>
    </row>
    <row r="701" spans="37:37">
      <c r="AK701" s="979"/>
    </row>
    <row r="702" spans="37:37">
      <c r="AK702" s="979"/>
    </row>
    <row r="703" spans="37:37">
      <c r="AK703" s="979"/>
    </row>
    <row r="704" spans="37:37">
      <c r="AK704" s="979"/>
    </row>
    <row r="705" spans="37:37">
      <c r="AK705" s="979"/>
    </row>
    <row r="706" spans="37:37">
      <c r="AK706" s="979"/>
    </row>
    <row r="707" spans="37:37">
      <c r="AK707" s="979"/>
    </row>
    <row r="708" spans="37:37">
      <c r="AK708" s="979"/>
    </row>
    <row r="709" spans="37:37">
      <c r="AK709" s="979"/>
    </row>
    <row r="710" spans="37:37">
      <c r="AK710" s="979"/>
    </row>
    <row r="711" spans="37:37">
      <c r="AK711" s="979"/>
    </row>
    <row r="712" spans="37:37">
      <c r="AK712" s="979"/>
    </row>
    <row r="713" spans="37:37">
      <c r="AK713" s="979"/>
    </row>
    <row r="714" spans="37:37">
      <c r="AK714" s="979"/>
    </row>
    <row r="715" spans="37:37">
      <c r="AK715" s="979"/>
    </row>
    <row r="716" spans="37:37">
      <c r="AK716" s="979"/>
    </row>
    <row r="717" spans="37:37">
      <c r="AK717" s="979"/>
    </row>
    <row r="718" spans="37:37">
      <c r="AK718" s="979"/>
    </row>
    <row r="719" spans="37:37">
      <c r="AK719" s="979"/>
    </row>
    <row r="720" spans="37:37">
      <c r="AK720" s="979"/>
    </row>
    <row r="721" spans="37:37">
      <c r="AK721" s="979"/>
    </row>
    <row r="722" spans="37:37">
      <c r="AK722" s="979"/>
    </row>
    <row r="723" spans="37:37">
      <c r="AK723" s="979"/>
    </row>
    <row r="724" spans="37:37">
      <c r="AK724" s="979"/>
    </row>
    <row r="725" spans="37:37">
      <c r="AK725" s="979"/>
    </row>
    <row r="726" spans="37:37">
      <c r="AK726" s="979"/>
    </row>
    <row r="727" spans="37:37">
      <c r="AK727" s="979"/>
    </row>
    <row r="728" spans="37:37">
      <c r="AK728" s="979"/>
    </row>
    <row r="729" spans="37:37">
      <c r="AK729" s="979"/>
    </row>
    <row r="730" spans="37:37">
      <c r="AK730" s="979"/>
    </row>
    <row r="731" spans="37:37">
      <c r="AK731" s="979"/>
    </row>
    <row r="732" spans="37:37">
      <c r="AK732" s="979"/>
    </row>
    <row r="733" spans="37:37">
      <c r="AK733" s="979"/>
    </row>
    <row r="734" spans="37:37">
      <c r="AK734" s="979"/>
    </row>
    <row r="735" spans="37:37">
      <c r="AK735" s="979"/>
    </row>
    <row r="736" spans="37:37">
      <c r="AK736" s="979"/>
    </row>
    <row r="737" spans="37:37">
      <c r="AK737" s="979"/>
    </row>
    <row r="738" spans="37:37">
      <c r="AK738" s="979"/>
    </row>
    <row r="739" spans="37:37">
      <c r="AK739" s="979"/>
    </row>
    <row r="740" spans="37:37">
      <c r="AK740" s="979"/>
    </row>
    <row r="741" spans="37:37">
      <c r="AK741" s="979"/>
    </row>
    <row r="742" spans="37:37">
      <c r="AK742" s="979"/>
    </row>
    <row r="743" spans="37:37">
      <c r="AK743" s="979"/>
    </row>
    <row r="744" spans="37:37">
      <c r="AK744" s="979"/>
    </row>
    <row r="745" spans="37:37">
      <c r="AK745" s="979"/>
    </row>
    <row r="746" spans="37:37">
      <c r="AK746" s="979"/>
    </row>
    <row r="747" spans="37:37">
      <c r="AK747" s="979"/>
    </row>
    <row r="748" spans="37:37">
      <c r="AK748" s="979"/>
    </row>
    <row r="749" spans="37:37">
      <c r="AK749" s="979"/>
    </row>
    <row r="750" spans="37:37">
      <c r="AK750" s="979"/>
    </row>
    <row r="751" spans="37:37">
      <c r="AK751" s="979"/>
    </row>
    <row r="752" spans="37:37">
      <c r="AK752" s="979"/>
    </row>
    <row r="753" spans="37:37">
      <c r="AK753" s="979"/>
    </row>
    <row r="754" spans="37:37">
      <c r="AK754" s="979"/>
    </row>
    <row r="755" spans="37:37">
      <c r="AK755" s="979"/>
    </row>
    <row r="756" spans="37:37">
      <c r="AK756" s="979"/>
    </row>
    <row r="757" spans="37:37">
      <c r="AK757" s="979"/>
    </row>
    <row r="758" spans="37:37">
      <c r="AK758" s="979"/>
    </row>
    <row r="759" spans="37:37">
      <c r="AK759" s="979"/>
    </row>
    <row r="760" spans="37:37">
      <c r="AK760" s="979"/>
    </row>
    <row r="761" spans="37:37">
      <c r="AK761" s="979"/>
    </row>
    <row r="762" spans="37:37">
      <c r="AK762" s="979"/>
    </row>
    <row r="763" spans="37:37">
      <c r="AK763" s="979"/>
    </row>
    <row r="764" spans="37:37">
      <c r="AK764" s="979"/>
    </row>
    <row r="765" spans="37:37">
      <c r="AK765" s="979"/>
    </row>
    <row r="766" spans="37:37">
      <c r="AK766" s="979"/>
    </row>
    <row r="767" spans="37:37">
      <c r="AK767" s="979"/>
    </row>
    <row r="768" spans="37:37">
      <c r="AK768" s="979"/>
    </row>
    <row r="769" spans="37:37">
      <c r="AK769" s="979"/>
    </row>
    <row r="770" spans="37:37">
      <c r="AK770" s="979"/>
    </row>
    <row r="771" spans="37:37">
      <c r="AK771" s="979"/>
    </row>
    <row r="772" spans="37:37">
      <c r="AK772" s="979"/>
    </row>
    <row r="773" spans="37:37">
      <c r="AK773" s="979"/>
    </row>
    <row r="774" spans="37:37">
      <c r="AK774" s="979"/>
    </row>
    <row r="775" spans="37:37">
      <c r="AK775" s="979"/>
    </row>
    <row r="776" spans="37:37">
      <c r="AK776" s="979"/>
    </row>
    <row r="777" spans="37:37">
      <c r="AK777" s="979"/>
    </row>
    <row r="778" spans="37:37">
      <c r="AK778" s="979"/>
    </row>
    <row r="779" spans="37:37">
      <c r="AK779" s="979"/>
    </row>
    <row r="780" spans="37:37">
      <c r="AK780" s="979"/>
    </row>
    <row r="781" spans="37:37">
      <c r="AK781" s="979"/>
    </row>
    <row r="782" spans="37:37">
      <c r="AK782" s="979"/>
    </row>
    <row r="783" spans="37:37">
      <c r="AK783" s="979"/>
    </row>
    <row r="784" spans="37:37">
      <c r="AK784" s="979"/>
    </row>
    <row r="785" spans="37:37">
      <c r="AK785" s="979"/>
    </row>
    <row r="786" spans="37:37">
      <c r="AK786" s="979"/>
    </row>
    <row r="787" spans="37:37">
      <c r="AK787" s="979"/>
    </row>
    <row r="788" spans="37:37">
      <c r="AK788" s="979"/>
    </row>
    <row r="789" spans="37:37">
      <c r="AK789" s="979"/>
    </row>
    <row r="790" spans="37:37">
      <c r="AK790" s="979"/>
    </row>
    <row r="791" spans="37:37">
      <c r="AK791" s="979"/>
    </row>
    <row r="792" spans="37:37">
      <c r="AK792" s="979"/>
    </row>
    <row r="793" spans="37:37">
      <c r="AK793" s="979"/>
    </row>
    <row r="794" spans="37:37">
      <c r="AK794" s="979"/>
    </row>
    <row r="795" spans="37:37">
      <c r="AK795" s="979"/>
    </row>
    <row r="796" spans="37:37">
      <c r="AK796" s="979"/>
    </row>
    <row r="797" spans="37:37">
      <c r="AK797" s="979"/>
    </row>
    <row r="798" spans="37:37">
      <c r="AK798" s="979"/>
    </row>
    <row r="799" spans="37:37">
      <c r="AK799" s="979"/>
    </row>
    <row r="800" spans="37:37">
      <c r="AK800" s="979"/>
    </row>
    <row r="801" spans="37:37">
      <c r="AK801" s="979"/>
    </row>
    <row r="802" spans="37:37">
      <c r="AK802" s="979"/>
    </row>
    <row r="803" spans="37:37">
      <c r="AK803" s="979"/>
    </row>
    <row r="804" spans="37:37">
      <c r="AK804" s="979"/>
    </row>
    <row r="805" spans="37:37">
      <c r="AK805" s="979"/>
    </row>
    <row r="806" spans="37:37">
      <c r="AK806" s="979"/>
    </row>
    <row r="807" spans="37:37">
      <c r="AK807" s="979"/>
    </row>
    <row r="808" spans="37:37">
      <c r="AK808" s="979"/>
    </row>
    <row r="809" spans="37:37">
      <c r="AK809" s="979"/>
    </row>
    <row r="810" spans="37:37">
      <c r="AK810" s="979"/>
    </row>
    <row r="811" spans="37:37">
      <c r="AK811" s="979"/>
    </row>
    <row r="812" spans="37:37">
      <c r="AK812" s="979"/>
    </row>
    <row r="813" spans="37:37">
      <c r="AK813" s="979"/>
    </row>
    <row r="814" spans="37:37">
      <c r="AK814" s="979"/>
    </row>
    <row r="815" spans="37:37">
      <c r="AK815" s="979"/>
    </row>
    <row r="816" spans="37:37">
      <c r="AK816" s="979"/>
    </row>
    <row r="817" spans="37:37">
      <c r="AK817" s="979"/>
    </row>
    <row r="818" spans="37:37">
      <c r="AK818" s="979"/>
    </row>
    <row r="819" spans="37:37">
      <c r="AK819" s="979"/>
    </row>
    <row r="820" spans="37:37">
      <c r="AK820" s="979"/>
    </row>
    <row r="821" spans="37:37">
      <c r="AK821" s="979"/>
    </row>
    <row r="822" spans="37:37">
      <c r="AK822" s="979"/>
    </row>
    <row r="823" spans="37:37">
      <c r="AK823" s="979"/>
    </row>
    <row r="824" spans="37:37">
      <c r="AK824" s="979"/>
    </row>
    <row r="825" spans="37:37">
      <c r="AK825" s="979"/>
    </row>
    <row r="826" spans="37:37">
      <c r="AK826" s="979"/>
    </row>
    <row r="827" spans="37:37">
      <c r="AK827" s="979"/>
    </row>
    <row r="828" spans="37:37">
      <c r="AK828" s="979"/>
    </row>
    <row r="829" spans="37:37">
      <c r="AK829" s="979"/>
    </row>
    <row r="830" spans="37:37">
      <c r="AK830" s="979"/>
    </row>
    <row r="831" spans="37:37">
      <c r="AK831" s="979"/>
    </row>
    <row r="832" spans="37:37">
      <c r="AK832" s="979"/>
    </row>
    <row r="833" spans="37:37">
      <c r="AK833" s="979"/>
    </row>
    <row r="834" spans="37:37">
      <c r="AK834" s="979"/>
    </row>
    <row r="835" spans="37:37">
      <c r="AK835" s="979"/>
    </row>
    <row r="836" spans="37:37">
      <c r="AK836" s="979"/>
    </row>
    <row r="837" spans="37:37">
      <c r="AK837" s="979"/>
    </row>
    <row r="838" spans="37:37">
      <c r="AK838" s="979"/>
    </row>
    <row r="839" spans="37:37">
      <c r="AK839" s="979"/>
    </row>
    <row r="840" spans="37:37">
      <c r="AK840" s="979"/>
    </row>
    <row r="841" spans="37:37">
      <c r="AK841" s="979"/>
    </row>
    <row r="842" spans="37:37">
      <c r="AK842" s="979"/>
    </row>
    <row r="843" spans="37:37">
      <c r="AK843" s="979"/>
    </row>
    <row r="844" spans="37:37">
      <c r="AK844" s="979"/>
    </row>
    <row r="845" spans="37:37">
      <c r="AK845" s="979"/>
    </row>
    <row r="846" spans="37:37">
      <c r="AK846" s="979"/>
    </row>
    <row r="847" spans="37:37">
      <c r="AK847" s="979"/>
    </row>
    <row r="848" spans="37:37">
      <c r="AK848" s="979"/>
    </row>
    <row r="849" spans="37:37">
      <c r="AK849" s="979"/>
    </row>
    <row r="850" spans="37:37">
      <c r="AK850" s="979"/>
    </row>
    <row r="851" spans="37:37">
      <c r="AK851" s="979"/>
    </row>
    <row r="852" spans="37:37">
      <c r="AK852" s="979"/>
    </row>
    <row r="853" spans="37:37">
      <c r="AK853" s="979"/>
    </row>
    <row r="854" spans="37:37">
      <c r="AK854" s="979"/>
    </row>
    <row r="855" spans="37:37">
      <c r="AK855" s="979"/>
    </row>
    <row r="856" spans="37:37">
      <c r="AK856" s="979"/>
    </row>
    <row r="857" spans="37:37">
      <c r="AK857" s="979"/>
    </row>
    <row r="858" spans="37:37">
      <c r="AK858" s="979"/>
    </row>
    <row r="859" spans="37:37">
      <c r="AK859" s="979"/>
    </row>
    <row r="860" spans="37:37">
      <c r="AK860" s="979"/>
    </row>
    <row r="861" spans="37:37">
      <c r="AK861" s="979"/>
    </row>
    <row r="862" spans="37:37">
      <c r="AK862" s="979"/>
    </row>
    <row r="863" spans="37:37">
      <c r="AK863" s="979"/>
    </row>
    <row r="864" spans="37:37">
      <c r="AK864" s="979"/>
    </row>
    <row r="865" spans="37:37">
      <c r="AK865" s="979"/>
    </row>
    <row r="866" spans="37:37">
      <c r="AK866" s="979"/>
    </row>
    <row r="867" spans="37:37">
      <c r="AK867" s="979"/>
    </row>
    <row r="868" spans="37:37">
      <c r="AK868" s="979"/>
    </row>
    <row r="869" spans="37:37">
      <c r="AK869" s="979"/>
    </row>
    <row r="870" spans="37:37">
      <c r="AK870" s="979"/>
    </row>
    <row r="871" spans="37:37">
      <c r="AK871" s="979"/>
    </row>
    <row r="872" spans="37:37">
      <c r="AK872" s="979"/>
    </row>
    <row r="873" spans="37:37">
      <c r="AK873" s="979"/>
    </row>
    <row r="874" spans="37:37">
      <c r="AK874" s="979"/>
    </row>
    <row r="875" spans="37:37">
      <c r="AK875" s="979"/>
    </row>
    <row r="876" spans="37:37">
      <c r="AK876" s="979"/>
    </row>
    <row r="877" spans="37:37">
      <c r="AK877" s="979"/>
    </row>
    <row r="878" spans="37:37">
      <c r="AK878" s="979"/>
    </row>
    <row r="879" spans="37:37">
      <c r="AK879" s="979"/>
    </row>
    <row r="880" spans="37:37">
      <c r="AK880" s="979"/>
    </row>
    <row r="881" spans="37:37">
      <c r="AK881" s="979"/>
    </row>
    <row r="882" spans="37:37">
      <c r="AK882" s="979"/>
    </row>
    <row r="883" spans="37:37">
      <c r="AK883" s="979"/>
    </row>
    <row r="884" spans="37:37">
      <c r="AK884" s="979"/>
    </row>
    <row r="885" spans="37:37">
      <c r="AK885" s="979"/>
    </row>
    <row r="886" spans="37:37">
      <c r="AK886" s="979"/>
    </row>
    <row r="887" spans="37:37">
      <c r="AK887" s="979"/>
    </row>
    <row r="888" spans="37:37">
      <c r="AK888" s="979"/>
    </row>
    <row r="889" spans="37:37">
      <c r="AK889" s="979"/>
    </row>
    <row r="890" spans="37:37">
      <c r="AK890" s="979"/>
    </row>
    <row r="891" spans="37:37">
      <c r="AK891" s="979"/>
    </row>
    <row r="892" spans="37:37">
      <c r="AK892" s="979"/>
    </row>
    <row r="893" spans="37:37">
      <c r="AK893" s="979"/>
    </row>
    <row r="894" spans="37:37">
      <c r="AK894" s="979"/>
    </row>
    <row r="895" spans="37:37">
      <c r="AK895" s="979"/>
    </row>
    <row r="896" spans="37:37">
      <c r="AK896" s="979"/>
    </row>
    <row r="897" spans="37:37">
      <c r="AK897" s="979"/>
    </row>
    <row r="898" spans="37:37">
      <c r="AK898" s="979"/>
    </row>
    <row r="899" spans="37:37">
      <c r="AK899" s="979"/>
    </row>
    <row r="900" spans="37:37">
      <c r="AK900" s="979"/>
    </row>
    <row r="901" spans="37:37">
      <c r="AK901" s="979"/>
    </row>
    <row r="902" spans="37:37">
      <c r="AK902" s="979"/>
    </row>
    <row r="903" spans="37:37">
      <c r="AK903" s="979"/>
    </row>
    <row r="904" spans="37:37">
      <c r="AK904" s="979"/>
    </row>
    <row r="905" spans="37:37">
      <c r="AK905" s="979"/>
    </row>
    <row r="906" spans="37:37">
      <c r="AK906" s="979"/>
    </row>
    <row r="907" spans="37:37">
      <c r="AK907" s="979"/>
    </row>
    <row r="908" spans="37:37">
      <c r="AK908" s="979"/>
    </row>
    <row r="909" spans="37:37">
      <c r="AK909" s="979"/>
    </row>
    <row r="910" spans="37:37">
      <c r="AK910" s="979"/>
    </row>
    <row r="911" spans="37:37">
      <c r="AK911" s="979"/>
    </row>
    <row r="912" spans="37:37">
      <c r="AK912" s="979"/>
    </row>
    <row r="913" spans="37:37">
      <c r="AK913" s="979"/>
    </row>
    <row r="914" spans="37:37">
      <c r="AK914" s="979"/>
    </row>
    <row r="915" spans="37:37">
      <c r="AK915" s="979"/>
    </row>
    <row r="916" spans="37:37">
      <c r="AK916" s="979"/>
    </row>
    <row r="917" spans="37:37">
      <c r="AK917" s="979"/>
    </row>
    <row r="918" spans="37:37">
      <c r="AK918" s="979"/>
    </row>
    <row r="919" spans="37:37">
      <c r="AK919" s="979"/>
    </row>
    <row r="920" spans="37:37">
      <c r="AK920" s="979">
        <f t="shared" ref="AK920:AK983" si="29">SUM(O920:AJ920)</f>
        <v>0</v>
      </c>
    </row>
    <row r="921" spans="37:37">
      <c r="AK921" s="979">
        <f t="shared" si="29"/>
        <v>0</v>
      </c>
    </row>
    <row r="922" spans="37:37">
      <c r="AK922" s="979">
        <f t="shared" si="29"/>
        <v>0</v>
      </c>
    </row>
    <row r="923" spans="37:37">
      <c r="AK923" s="979">
        <f t="shared" si="29"/>
        <v>0</v>
      </c>
    </row>
    <row r="924" spans="37:37">
      <c r="AK924" s="979">
        <f t="shared" si="29"/>
        <v>0</v>
      </c>
    </row>
    <row r="925" spans="37:37">
      <c r="AK925" s="979">
        <f t="shared" si="29"/>
        <v>0</v>
      </c>
    </row>
    <row r="926" spans="37:37">
      <c r="AK926" s="979">
        <f t="shared" si="29"/>
        <v>0</v>
      </c>
    </row>
    <row r="927" spans="37:37">
      <c r="AK927" s="979">
        <f t="shared" si="29"/>
        <v>0</v>
      </c>
    </row>
    <row r="928" spans="37:37">
      <c r="AK928" s="979">
        <f t="shared" si="29"/>
        <v>0</v>
      </c>
    </row>
    <row r="929" spans="37:37">
      <c r="AK929" s="979">
        <f t="shared" si="29"/>
        <v>0</v>
      </c>
    </row>
    <row r="930" spans="37:37">
      <c r="AK930" s="979">
        <f t="shared" si="29"/>
        <v>0</v>
      </c>
    </row>
    <row r="931" spans="37:37">
      <c r="AK931" s="979">
        <f t="shared" si="29"/>
        <v>0</v>
      </c>
    </row>
    <row r="932" spans="37:37">
      <c r="AK932" s="979">
        <f t="shared" si="29"/>
        <v>0</v>
      </c>
    </row>
    <row r="933" spans="37:37">
      <c r="AK933" s="979">
        <f t="shared" si="29"/>
        <v>0</v>
      </c>
    </row>
    <row r="934" spans="37:37">
      <c r="AK934" s="979">
        <f t="shared" si="29"/>
        <v>0</v>
      </c>
    </row>
    <row r="935" spans="37:37">
      <c r="AK935" s="979">
        <f t="shared" si="29"/>
        <v>0</v>
      </c>
    </row>
    <row r="936" spans="37:37">
      <c r="AK936" s="979">
        <f t="shared" si="29"/>
        <v>0</v>
      </c>
    </row>
    <row r="937" spans="37:37">
      <c r="AK937" s="979">
        <f t="shared" si="29"/>
        <v>0</v>
      </c>
    </row>
    <row r="938" spans="37:37">
      <c r="AK938" s="979">
        <f t="shared" si="29"/>
        <v>0</v>
      </c>
    </row>
    <row r="939" spans="37:37">
      <c r="AK939" s="979">
        <f t="shared" si="29"/>
        <v>0</v>
      </c>
    </row>
    <row r="940" spans="37:37">
      <c r="AK940" s="979">
        <f t="shared" si="29"/>
        <v>0</v>
      </c>
    </row>
    <row r="941" spans="37:37">
      <c r="AK941" s="979">
        <f t="shared" si="29"/>
        <v>0</v>
      </c>
    </row>
    <row r="942" spans="37:37">
      <c r="AK942" s="979">
        <f t="shared" si="29"/>
        <v>0</v>
      </c>
    </row>
    <row r="943" spans="37:37">
      <c r="AK943" s="979">
        <f t="shared" si="29"/>
        <v>0</v>
      </c>
    </row>
    <row r="944" spans="37:37">
      <c r="AK944" s="979">
        <f t="shared" si="29"/>
        <v>0</v>
      </c>
    </row>
    <row r="945" spans="37:37">
      <c r="AK945" s="979">
        <f t="shared" si="29"/>
        <v>0</v>
      </c>
    </row>
    <row r="946" spans="37:37">
      <c r="AK946" s="979">
        <f t="shared" si="29"/>
        <v>0</v>
      </c>
    </row>
    <row r="947" spans="37:37">
      <c r="AK947" s="979">
        <f t="shared" si="29"/>
        <v>0</v>
      </c>
    </row>
    <row r="948" spans="37:37">
      <c r="AK948" s="979">
        <f t="shared" si="29"/>
        <v>0</v>
      </c>
    </row>
    <row r="949" spans="37:37">
      <c r="AK949" s="979">
        <f t="shared" si="29"/>
        <v>0</v>
      </c>
    </row>
    <row r="950" spans="37:37">
      <c r="AK950" s="979">
        <f t="shared" si="29"/>
        <v>0</v>
      </c>
    </row>
    <row r="951" spans="37:37">
      <c r="AK951" s="979">
        <f t="shared" si="29"/>
        <v>0</v>
      </c>
    </row>
    <row r="952" spans="37:37">
      <c r="AK952" s="979">
        <f t="shared" si="29"/>
        <v>0</v>
      </c>
    </row>
    <row r="953" spans="37:37">
      <c r="AK953" s="979">
        <f t="shared" si="29"/>
        <v>0</v>
      </c>
    </row>
    <row r="954" spans="37:37">
      <c r="AK954" s="979">
        <f t="shared" si="29"/>
        <v>0</v>
      </c>
    </row>
    <row r="955" spans="37:37">
      <c r="AK955" s="979">
        <f t="shared" si="29"/>
        <v>0</v>
      </c>
    </row>
    <row r="956" spans="37:37">
      <c r="AK956" s="979">
        <f t="shared" si="29"/>
        <v>0</v>
      </c>
    </row>
    <row r="957" spans="37:37">
      <c r="AK957" s="979">
        <f t="shared" si="29"/>
        <v>0</v>
      </c>
    </row>
    <row r="958" spans="37:37">
      <c r="AK958" s="979">
        <f t="shared" si="29"/>
        <v>0</v>
      </c>
    </row>
    <row r="959" spans="37:37">
      <c r="AK959" s="979">
        <f t="shared" si="29"/>
        <v>0</v>
      </c>
    </row>
    <row r="960" spans="37:37">
      <c r="AK960" s="979">
        <f t="shared" si="29"/>
        <v>0</v>
      </c>
    </row>
    <row r="961" spans="37:37">
      <c r="AK961" s="979">
        <f t="shared" si="29"/>
        <v>0</v>
      </c>
    </row>
    <row r="962" spans="37:37">
      <c r="AK962" s="979">
        <f t="shared" si="29"/>
        <v>0</v>
      </c>
    </row>
    <row r="963" spans="37:37">
      <c r="AK963" s="979">
        <f t="shared" si="29"/>
        <v>0</v>
      </c>
    </row>
    <row r="964" spans="37:37">
      <c r="AK964" s="979">
        <f t="shared" si="29"/>
        <v>0</v>
      </c>
    </row>
    <row r="965" spans="37:37">
      <c r="AK965" s="979">
        <f t="shared" si="29"/>
        <v>0</v>
      </c>
    </row>
    <row r="966" spans="37:37">
      <c r="AK966" s="979">
        <f t="shared" si="29"/>
        <v>0</v>
      </c>
    </row>
    <row r="967" spans="37:37">
      <c r="AK967" s="979">
        <f t="shared" si="29"/>
        <v>0</v>
      </c>
    </row>
    <row r="968" spans="37:37">
      <c r="AK968" s="979">
        <f t="shared" si="29"/>
        <v>0</v>
      </c>
    </row>
    <row r="969" spans="37:37">
      <c r="AK969" s="979">
        <f t="shared" si="29"/>
        <v>0</v>
      </c>
    </row>
    <row r="970" spans="37:37">
      <c r="AK970" s="979">
        <f t="shared" si="29"/>
        <v>0</v>
      </c>
    </row>
    <row r="971" spans="37:37">
      <c r="AK971" s="979">
        <f t="shared" si="29"/>
        <v>0</v>
      </c>
    </row>
    <row r="972" spans="37:37">
      <c r="AK972" s="979">
        <f t="shared" si="29"/>
        <v>0</v>
      </c>
    </row>
    <row r="973" spans="37:37">
      <c r="AK973" s="979">
        <f t="shared" si="29"/>
        <v>0</v>
      </c>
    </row>
    <row r="974" spans="37:37">
      <c r="AK974" s="979">
        <f t="shared" si="29"/>
        <v>0</v>
      </c>
    </row>
    <row r="975" spans="37:37">
      <c r="AK975" s="979">
        <f t="shared" si="29"/>
        <v>0</v>
      </c>
    </row>
    <row r="976" spans="37:37">
      <c r="AK976" s="979">
        <f t="shared" si="29"/>
        <v>0</v>
      </c>
    </row>
    <row r="977" spans="37:37">
      <c r="AK977" s="979">
        <f t="shared" si="29"/>
        <v>0</v>
      </c>
    </row>
    <row r="978" spans="37:37">
      <c r="AK978" s="979">
        <f t="shared" si="29"/>
        <v>0</v>
      </c>
    </row>
    <row r="979" spans="37:37">
      <c r="AK979" s="979">
        <f t="shared" si="29"/>
        <v>0</v>
      </c>
    </row>
    <row r="980" spans="37:37">
      <c r="AK980" s="979">
        <f t="shared" si="29"/>
        <v>0</v>
      </c>
    </row>
    <row r="981" spans="37:37">
      <c r="AK981" s="979">
        <f t="shared" si="29"/>
        <v>0</v>
      </c>
    </row>
    <row r="982" spans="37:37">
      <c r="AK982" s="979">
        <f t="shared" si="29"/>
        <v>0</v>
      </c>
    </row>
    <row r="983" spans="37:37">
      <c r="AK983" s="979">
        <f t="shared" si="29"/>
        <v>0</v>
      </c>
    </row>
    <row r="984" spans="37:37">
      <c r="AK984" s="979">
        <f t="shared" ref="AK984:AK1047" si="30">SUM(O984:AJ984)</f>
        <v>0</v>
      </c>
    </row>
    <row r="985" spans="37:37">
      <c r="AK985" s="979">
        <f t="shared" si="30"/>
        <v>0</v>
      </c>
    </row>
    <row r="986" spans="37:37">
      <c r="AK986" s="979">
        <f t="shared" si="30"/>
        <v>0</v>
      </c>
    </row>
    <row r="987" spans="37:37">
      <c r="AK987" s="979">
        <f t="shared" si="30"/>
        <v>0</v>
      </c>
    </row>
    <row r="988" spans="37:37">
      <c r="AK988" s="979">
        <f t="shared" si="30"/>
        <v>0</v>
      </c>
    </row>
    <row r="989" spans="37:37">
      <c r="AK989" s="979">
        <f t="shared" si="30"/>
        <v>0</v>
      </c>
    </row>
    <row r="990" spans="37:37">
      <c r="AK990" s="979">
        <f t="shared" si="30"/>
        <v>0</v>
      </c>
    </row>
    <row r="991" spans="37:37">
      <c r="AK991" s="979">
        <f t="shared" si="30"/>
        <v>0</v>
      </c>
    </row>
    <row r="992" spans="37:37">
      <c r="AK992" s="979">
        <f t="shared" si="30"/>
        <v>0</v>
      </c>
    </row>
    <row r="993" spans="37:37">
      <c r="AK993" s="979">
        <f t="shared" si="30"/>
        <v>0</v>
      </c>
    </row>
    <row r="994" spans="37:37">
      <c r="AK994" s="979">
        <f t="shared" si="30"/>
        <v>0</v>
      </c>
    </row>
    <row r="995" spans="37:37">
      <c r="AK995" s="979">
        <f t="shared" si="30"/>
        <v>0</v>
      </c>
    </row>
    <row r="996" spans="37:37">
      <c r="AK996" s="979">
        <f t="shared" si="30"/>
        <v>0</v>
      </c>
    </row>
    <row r="997" spans="37:37">
      <c r="AK997" s="979">
        <f t="shared" si="30"/>
        <v>0</v>
      </c>
    </row>
    <row r="998" spans="37:37">
      <c r="AK998" s="979">
        <f t="shared" si="30"/>
        <v>0</v>
      </c>
    </row>
    <row r="999" spans="37:37">
      <c r="AK999" s="979">
        <f t="shared" si="30"/>
        <v>0</v>
      </c>
    </row>
    <row r="1000" spans="37:37">
      <c r="AK1000" s="979">
        <f t="shared" si="30"/>
        <v>0</v>
      </c>
    </row>
    <row r="1001" spans="37:37">
      <c r="AK1001" s="979">
        <f t="shared" si="30"/>
        <v>0</v>
      </c>
    </row>
    <row r="1002" spans="37:37">
      <c r="AK1002" s="979">
        <f t="shared" si="30"/>
        <v>0</v>
      </c>
    </row>
    <row r="1003" spans="37:37">
      <c r="AK1003" s="979">
        <f t="shared" si="30"/>
        <v>0</v>
      </c>
    </row>
    <row r="1004" spans="37:37">
      <c r="AK1004" s="979">
        <f t="shared" si="30"/>
        <v>0</v>
      </c>
    </row>
    <row r="1005" spans="37:37">
      <c r="AK1005" s="979">
        <f t="shared" si="30"/>
        <v>0</v>
      </c>
    </row>
    <row r="1006" spans="37:37">
      <c r="AK1006" s="979">
        <f t="shared" si="30"/>
        <v>0</v>
      </c>
    </row>
    <row r="1007" spans="37:37">
      <c r="AK1007" s="979">
        <f t="shared" si="30"/>
        <v>0</v>
      </c>
    </row>
    <row r="1008" spans="37:37">
      <c r="AK1008" s="979">
        <f t="shared" si="30"/>
        <v>0</v>
      </c>
    </row>
    <row r="1009" spans="37:37">
      <c r="AK1009" s="979">
        <f t="shared" si="30"/>
        <v>0</v>
      </c>
    </row>
    <row r="1010" spans="37:37">
      <c r="AK1010" s="979">
        <f t="shared" si="30"/>
        <v>0</v>
      </c>
    </row>
    <row r="1011" spans="37:37">
      <c r="AK1011" s="979">
        <f t="shared" si="30"/>
        <v>0</v>
      </c>
    </row>
    <row r="1012" spans="37:37">
      <c r="AK1012" s="979">
        <f t="shared" si="30"/>
        <v>0</v>
      </c>
    </row>
    <row r="1013" spans="37:37">
      <c r="AK1013" s="979">
        <f t="shared" si="30"/>
        <v>0</v>
      </c>
    </row>
    <row r="1014" spans="37:37">
      <c r="AK1014" s="979">
        <f t="shared" si="30"/>
        <v>0</v>
      </c>
    </row>
    <row r="1015" spans="37:37">
      <c r="AK1015" s="979">
        <f t="shared" si="30"/>
        <v>0</v>
      </c>
    </row>
    <row r="1016" spans="37:37">
      <c r="AK1016" s="979">
        <f t="shared" si="30"/>
        <v>0</v>
      </c>
    </row>
    <row r="1017" spans="37:37">
      <c r="AK1017" s="979">
        <f t="shared" si="30"/>
        <v>0</v>
      </c>
    </row>
    <row r="1018" spans="37:37">
      <c r="AK1018" s="979">
        <f t="shared" si="30"/>
        <v>0</v>
      </c>
    </row>
    <row r="1019" spans="37:37">
      <c r="AK1019" s="979">
        <f t="shared" si="30"/>
        <v>0</v>
      </c>
    </row>
    <row r="1020" spans="37:37">
      <c r="AK1020" s="979">
        <f t="shared" si="30"/>
        <v>0</v>
      </c>
    </row>
    <row r="1021" spans="37:37">
      <c r="AK1021" s="979">
        <f t="shared" si="30"/>
        <v>0</v>
      </c>
    </row>
    <row r="1022" spans="37:37">
      <c r="AK1022" s="979">
        <f t="shared" si="30"/>
        <v>0</v>
      </c>
    </row>
    <row r="1023" spans="37:37">
      <c r="AK1023" s="979">
        <f t="shared" si="30"/>
        <v>0</v>
      </c>
    </row>
    <row r="1024" spans="37:37">
      <c r="AK1024" s="979">
        <f t="shared" si="30"/>
        <v>0</v>
      </c>
    </row>
    <row r="1025" spans="37:37">
      <c r="AK1025" s="979">
        <f t="shared" si="30"/>
        <v>0</v>
      </c>
    </row>
    <row r="1026" spans="37:37">
      <c r="AK1026" s="979">
        <f t="shared" si="30"/>
        <v>0</v>
      </c>
    </row>
    <row r="1027" spans="37:37">
      <c r="AK1027" s="979">
        <f t="shared" si="30"/>
        <v>0</v>
      </c>
    </row>
    <row r="1028" spans="37:37">
      <c r="AK1028" s="979">
        <f t="shared" si="30"/>
        <v>0</v>
      </c>
    </row>
    <row r="1029" spans="37:37">
      <c r="AK1029" s="979">
        <f t="shared" si="30"/>
        <v>0</v>
      </c>
    </row>
    <row r="1030" spans="37:37">
      <c r="AK1030" s="979">
        <f t="shared" si="30"/>
        <v>0</v>
      </c>
    </row>
    <row r="1031" spans="37:37">
      <c r="AK1031" s="979">
        <f t="shared" si="30"/>
        <v>0</v>
      </c>
    </row>
    <row r="1032" spans="37:37">
      <c r="AK1032" s="979">
        <f t="shared" si="30"/>
        <v>0</v>
      </c>
    </row>
    <row r="1033" spans="37:37">
      <c r="AK1033" s="979">
        <f t="shared" si="30"/>
        <v>0</v>
      </c>
    </row>
    <row r="1034" spans="37:37">
      <c r="AK1034" s="979">
        <f t="shared" si="30"/>
        <v>0</v>
      </c>
    </row>
    <row r="1035" spans="37:37">
      <c r="AK1035" s="979">
        <f t="shared" si="30"/>
        <v>0</v>
      </c>
    </row>
    <row r="1036" spans="37:37">
      <c r="AK1036" s="979">
        <f t="shared" si="30"/>
        <v>0</v>
      </c>
    </row>
    <row r="1037" spans="37:37">
      <c r="AK1037" s="979">
        <f t="shared" si="30"/>
        <v>0</v>
      </c>
    </row>
    <row r="1038" spans="37:37">
      <c r="AK1038" s="979">
        <f t="shared" si="30"/>
        <v>0</v>
      </c>
    </row>
    <row r="1039" spans="37:37">
      <c r="AK1039" s="979">
        <f t="shared" si="30"/>
        <v>0</v>
      </c>
    </row>
    <row r="1040" spans="37:37">
      <c r="AK1040" s="979">
        <f t="shared" si="30"/>
        <v>0</v>
      </c>
    </row>
    <row r="1041" spans="37:37">
      <c r="AK1041" s="979">
        <f t="shared" si="30"/>
        <v>0</v>
      </c>
    </row>
    <row r="1042" spans="37:37">
      <c r="AK1042" s="979">
        <f t="shared" si="30"/>
        <v>0</v>
      </c>
    </row>
    <row r="1043" spans="37:37">
      <c r="AK1043" s="979">
        <f t="shared" si="30"/>
        <v>0</v>
      </c>
    </row>
    <row r="1044" spans="37:37">
      <c r="AK1044" s="979">
        <f t="shared" si="30"/>
        <v>0</v>
      </c>
    </row>
    <row r="1045" spans="37:37">
      <c r="AK1045" s="979">
        <f t="shared" si="30"/>
        <v>0</v>
      </c>
    </row>
    <row r="1046" spans="37:37">
      <c r="AK1046" s="979">
        <f t="shared" si="30"/>
        <v>0</v>
      </c>
    </row>
    <row r="1047" spans="37:37">
      <c r="AK1047" s="979">
        <f t="shared" si="30"/>
        <v>0</v>
      </c>
    </row>
    <row r="1048" spans="37:37">
      <c r="AK1048" s="979">
        <f t="shared" ref="AK1048:AK1111" si="31">SUM(O1048:AJ1048)</f>
        <v>0</v>
      </c>
    </row>
    <row r="1049" spans="37:37">
      <c r="AK1049" s="979">
        <f t="shared" si="31"/>
        <v>0</v>
      </c>
    </row>
    <row r="1050" spans="37:37">
      <c r="AK1050" s="979">
        <f t="shared" si="31"/>
        <v>0</v>
      </c>
    </row>
    <row r="1051" spans="37:37">
      <c r="AK1051" s="979">
        <f t="shared" si="31"/>
        <v>0</v>
      </c>
    </row>
    <row r="1052" spans="37:37">
      <c r="AK1052" s="979">
        <f t="shared" si="31"/>
        <v>0</v>
      </c>
    </row>
    <row r="1053" spans="37:37">
      <c r="AK1053" s="979">
        <f t="shared" si="31"/>
        <v>0</v>
      </c>
    </row>
    <row r="1054" spans="37:37">
      <c r="AK1054" s="979">
        <f t="shared" si="31"/>
        <v>0</v>
      </c>
    </row>
    <row r="1055" spans="37:37">
      <c r="AK1055" s="979">
        <f t="shared" si="31"/>
        <v>0</v>
      </c>
    </row>
    <row r="1056" spans="37:37">
      <c r="AK1056" s="979">
        <f t="shared" si="31"/>
        <v>0</v>
      </c>
    </row>
    <row r="1057" spans="37:37">
      <c r="AK1057" s="979">
        <f t="shared" si="31"/>
        <v>0</v>
      </c>
    </row>
    <row r="1058" spans="37:37">
      <c r="AK1058" s="979">
        <f t="shared" si="31"/>
        <v>0</v>
      </c>
    </row>
    <row r="1059" spans="37:37">
      <c r="AK1059" s="979">
        <f t="shared" si="31"/>
        <v>0</v>
      </c>
    </row>
    <row r="1060" spans="37:37">
      <c r="AK1060" s="979">
        <f t="shared" si="31"/>
        <v>0</v>
      </c>
    </row>
    <row r="1061" spans="37:37">
      <c r="AK1061" s="979">
        <f t="shared" si="31"/>
        <v>0</v>
      </c>
    </row>
    <row r="1062" spans="37:37">
      <c r="AK1062" s="979">
        <f t="shared" si="31"/>
        <v>0</v>
      </c>
    </row>
    <row r="1063" spans="37:37">
      <c r="AK1063" s="979">
        <f t="shared" si="31"/>
        <v>0</v>
      </c>
    </row>
    <row r="1064" spans="37:37">
      <c r="AK1064" s="979">
        <f t="shared" si="31"/>
        <v>0</v>
      </c>
    </row>
    <row r="1065" spans="37:37">
      <c r="AK1065" s="979">
        <f t="shared" si="31"/>
        <v>0</v>
      </c>
    </row>
    <row r="1066" spans="37:37">
      <c r="AK1066" s="979">
        <f t="shared" si="31"/>
        <v>0</v>
      </c>
    </row>
    <row r="1067" spans="37:37">
      <c r="AK1067" s="979">
        <f t="shared" si="31"/>
        <v>0</v>
      </c>
    </row>
    <row r="1068" spans="37:37">
      <c r="AK1068" s="979">
        <f t="shared" si="31"/>
        <v>0</v>
      </c>
    </row>
    <row r="1069" spans="37:37">
      <c r="AK1069" s="979">
        <f t="shared" si="31"/>
        <v>0</v>
      </c>
    </row>
    <row r="1070" spans="37:37">
      <c r="AK1070" s="979">
        <f t="shared" si="31"/>
        <v>0</v>
      </c>
    </row>
    <row r="1071" spans="37:37">
      <c r="AK1071" s="979">
        <f t="shared" si="31"/>
        <v>0</v>
      </c>
    </row>
    <row r="1072" spans="37:37">
      <c r="AK1072" s="979">
        <f t="shared" si="31"/>
        <v>0</v>
      </c>
    </row>
    <row r="1073" spans="37:37">
      <c r="AK1073" s="979">
        <f t="shared" si="31"/>
        <v>0</v>
      </c>
    </row>
    <row r="1074" spans="37:37">
      <c r="AK1074" s="979">
        <f t="shared" si="31"/>
        <v>0</v>
      </c>
    </row>
    <row r="1075" spans="37:37">
      <c r="AK1075" s="979">
        <f t="shared" si="31"/>
        <v>0</v>
      </c>
    </row>
    <row r="1076" spans="37:37">
      <c r="AK1076" s="979">
        <f t="shared" si="31"/>
        <v>0</v>
      </c>
    </row>
    <row r="1077" spans="37:37">
      <c r="AK1077" s="979">
        <f t="shared" si="31"/>
        <v>0</v>
      </c>
    </row>
    <row r="1078" spans="37:37">
      <c r="AK1078" s="979">
        <f t="shared" si="31"/>
        <v>0</v>
      </c>
    </row>
    <row r="1079" spans="37:37">
      <c r="AK1079" s="979">
        <f t="shared" si="31"/>
        <v>0</v>
      </c>
    </row>
    <row r="1080" spans="37:37">
      <c r="AK1080" s="979">
        <f t="shared" si="31"/>
        <v>0</v>
      </c>
    </row>
    <row r="1081" spans="37:37">
      <c r="AK1081" s="979">
        <f t="shared" si="31"/>
        <v>0</v>
      </c>
    </row>
    <row r="1082" spans="37:37">
      <c r="AK1082" s="979">
        <f t="shared" si="31"/>
        <v>0</v>
      </c>
    </row>
    <row r="1083" spans="37:37">
      <c r="AK1083" s="979">
        <f t="shared" si="31"/>
        <v>0</v>
      </c>
    </row>
    <row r="1084" spans="37:37">
      <c r="AK1084" s="979">
        <f t="shared" si="31"/>
        <v>0</v>
      </c>
    </row>
    <row r="1085" spans="37:37">
      <c r="AK1085" s="979">
        <f t="shared" si="31"/>
        <v>0</v>
      </c>
    </row>
    <row r="1086" spans="37:37">
      <c r="AK1086" s="979">
        <f t="shared" si="31"/>
        <v>0</v>
      </c>
    </row>
    <row r="1087" spans="37:37">
      <c r="AK1087" s="979">
        <f t="shared" si="31"/>
        <v>0</v>
      </c>
    </row>
    <row r="1088" spans="37:37">
      <c r="AK1088" s="979">
        <f t="shared" si="31"/>
        <v>0</v>
      </c>
    </row>
    <row r="1089" spans="37:37">
      <c r="AK1089" s="979">
        <f t="shared" si="31"/>
        <v>0</v>
      </c>
    </row>
    <row r="1090" spans="37:37">
      <c r="AK1090" s="979">
        <f t="shared" si="31"/>
        <v>0</v>
      </c>
    </row>
    <row r="1091" spans="37:37">
      <c r="AK1091" s="979">
        <f t="shared" si="31"/>
        <v>0</v>
      </c>
    </row>
    <row r="1092" spans="37:37">
      <c r="AK1092" s="979">
        <f t="shared" si="31"/>
        <v>0</v>
      </c>
    </row>
    <row r="1093" spans="37:37">
      <c r="AK1093" s="979">
        <f t="shared" si="31"/>
        <v>0</v>
      </c>
    </row>
    <row r="1094" spans="37:37">
      <c r="AK1094" s="979">
        <f t="shared" si="31"/>
        <v>0</v>
      </c>
    </row>
    <row r="1095" spans="37:37">
      <c r="AK1095" s="979">
        <f t="shared" si="31"/>
        <v>0</v>
      </c>
    </row>
    <row r="1096" spans="37:37">
      <c r="AK1096" s="979">
        <f t="shared" si="31"/>
        <v>0</v>
      </c>
    </row>
    <row r="1097" spans="37:37">
      <c r="AK1097" s="979">
        <f t="shared" si="31"/>
        <v>0</v>
      </c>
    </row>
    <row r="1098" spans="37:37">
      <c r="AK1098" s="979">
        <f t="shared" si="31"/>
        <v>0</v>
      </c>
    </row>
    <row r="1099" spans="37:37">
      <c r="AK1099" s="979">
        <f t="shared" si="31"/>
        <v>0</v>
      </c>
    </row>
    <row r="1100" spans="37:37">
      <c r="AK1100" s="979">
        <f t="shared" si="31"/>
        <v>0</v>
      </c>
    </row>
    <row r="1101" spans="37:37">
      <c r="AK1101" s="979">
        <f t="shared" si="31"/>
        <v>0</v>
      </c>
    </row>
    <row r="1102" spans="37:37">
      <c r="AK1102" s="979">
        <f t="shared" si="31"/>
        <v>0</v>
      </c>
    </row>
    <row r="1103" spans="37:37">
      <c r="AK1103" s="979">
        <f t="shared" si="31"/>
        <v>0</v>
      </c>
    </row>
    <row r="1104" spans="37:37">
      <c r="AK1104" s="979">
        <f t="shared" si="31"/>
        <v>0</v>
      </c>
    </row>
    <row r="1105" spans="37:37">
      <c r="AK1105" s="979">
        <f t="shared" si="31"/>
        <v>0</v>
      </c>
    </row>
    <row r="1106" spans="37:37">
      <c r="AK1106" s="979">
        <f t="shared" si="31"/>
        <v>0</v>
      </c>
    </row>
    <row r="1107" spans="37:37">
      <c r="AK1107" s="979">
        <f t="shared" si="31"/>
        <v>0</v>
      </c>
    </row>
    <row r="1108" spans="37:37">
      <c r="AK1108" s="979">
        <f t="shared" si="31"/>
        <v>0</v>
      </c>
    </row>
    <row r="1109" spans="37:37">
      <c r="AK1109" s="979">
        <f t="shared" si="31"/>
        <v>0</v>
      </c>
    </row>
    <row r="1110" spans="37:37">
      <c r="AK1110" s="979">
        <f t="shared" si="31"/>
        <v>0</v>
      </c>
    </row>
    <row r="1111" spans="37:37">
      <c r="AK1111" s="979">
        <f t="shared" si="31"/>
        <v>0</v>
      </c>
    </row>
    <row r="1112" spans="37:37">
      <c r="AK1112" s="979">
        <f t="shared" ref="AK1112:AK1175" si="32">SUM(O1112:AJ1112)</f>
        <v>0</v>
      </c>
    </row>
    <row r="1113" spans="37:37">
      <c r="AK1113" s="979">
        <f t="shared" si="32"/>
        <v>0</v>
      </c>
    </row>
    <row r="1114" spans="37:37">
      <c r="AK1114" s="979">
        <f t="shared" si="32"/>
        <v>0</v>
      </c>
    </row>
    <row r="1115" spans="37:37">
      <c r="AK1115" s="979">
        <f t="shared" si="32"/>
        <v>0</v>
      </c>
    </row>
    <row r="1116" spans="37:37">
      <c r="AK1116" s="979">
        <f t="shared" si="32"/>
        <v>0</v>
      </c>
    </row>
    <row r="1117" spans="37:37">
      <c r="AK1117" s="979">
        <f t="shared" si="32"/>
        <v>0</v>
      </c>
    </row>
    <row r="1118" spans="37:37">
      <c r="AK1118" s="979">
        <f t="shared" si="32"/>
        <v>0</v>
      </c>
    </row>
    <row r="1119" spans="37:37">
      <c r="AK1119" s="979">
        <f t="shared" si="32"/>
        <v>0</v>
      </c>
    </row>
    <row r="1120" spans="37:37">
      <c r="AK1120" s="979">
        <f t="shared" si="32"/>
        <v>0</v>
      </c>
    </row>
    <row r="1121" spans="37:37">
      <c r="AK1121" s="979">
        <f t="shared" si="32"/>
        <v>0</v>
      </c>
    </row>
    <row r="1122" spans="37:37">
      <c r="AK1122" s="979">
        <f t="shared" si="32"/>
        <v>0</v>
      </c>
    </row>
    <row r="1123" spans="37:37">
      <c r="AK1123" s="979">
        <f t="shared" si="32"/>
        <v>0</v>
      </c>
    </row>
    <row r="1124" spans="37:37">
      <c r="AK1124" s="979">
        <f t="shared" si="32"/>
        <v>0</v>
      </c>
    </row>
    <row r="1125" spans="37:37">
      <c r="AK1125" s="979">
        <f t="shared" si="32"/>
        <v>0</v>
      </c>
    </row>
    <row r="1126" spans="37:37">
      <c r="AK1126" s="979">
        <f t="shared" si="32"/>
        <v>0</v>
      </c>
    </row>
    <row r="1127" spans="37:37">
      <c r="AK1127" s="979">
        <f t="shared" si="32"/>
        <v>0</v>
      </c>
    </row>
    <row r="1128" spans="37:37">
      <c r="AK1128" s="979">
        <f t="shared" si="32"/>
        <v>0</v>
      </c>
    </row>
    <row r="1129" spans="37:37">
      <c r="AK1129" s="979">
        <f t="shared" si="32"/>
        <v>0</v>
      </c>
    </row>
    <row r="1130" spans="37:37">
      <c r="AK1130" s="979">
        <f t="shared" si="32"/>
        <v>0</v>
      </c>
    </row>
    <row r="1131" spans="37:37">
      <c r="AK1131" s="979">
        <f t="shared" si="32"/>
        <v>0</v>
      </c>
    </row>
    <row r="1132" spans="37:37">
      <c r="AK1132" s="979">
        <f t="shared" si="32"/>
        <v>0</v>
      </c>
    </row>
    <row r="1133" spans="37:37">
      <c r="AK1133" s="979">
        <f t="shared" si="32"/>
        <v>0</v>
      </c>
    </row>
    <row r="1134" spans="37:37">
      <c r="AK1134" s="979">
        <f t="shared" si="32"/>
        <v>0</v>
      </c>
    </row>
    <row r="1135" spans="37:37">
      <c r="AK1135" s="979">
        <f t="shared" si="32"/>
        <v>0</v>
      </c>
    </row>
    <row r="1136" spans="37:37">
      <c r="AK1136" s="979">
        <f t="shared" si="32"/>
        <v>0</v>
      </c>
    </row>
    <row r="1137" spans="37:37">
      <c r="AK1137" s="979">
        <f t="shared" si="32"/>
        <v>0</v>
      </c>
    </row>
    <row r="1138" spans="37:37">
      <c r="AK1138" s="979">
        <f t="shared" si="32"/>
        <v>0</v>
      </c>
    </row>
    <row r="1139" spans="37:37">
      <c r="AK1139" s="979">
        <f t="shared" si="32"/>
        <v>0</v>
      </c>
    </row>
    <row r="1140" spans="37:37">
      <c r="AK1140" s="979">
        <f t="shared" si="32"/>
        <v>0</v>
      </c>
    </row>
    <row r="1141" spans="37:37">
      <c r="AK1141" s="979">
        <f t="shared" si="32"/>
        <v>0</v>
      </c>
    </row>
    <row r="1142" spans="37:37">
      <c r="AK1142" s="979">
        <f t="shared" si="32"/>
        <v>0</v>
      </c>
    </row>
    <row r="1143" spans="37:37">
      <c r="AK1143" s="979">
        <f t="shared" si="32"/>
        <v>0</v>
      </c>
    </row>
    <row r="1144" spans="37:37">
      <c r="AK1144" s="979">
        <f t="shared" si="32"/>
        <v>0</v>
      </c>
    </row>
    <row r="1145" spans="37:37">
      <c r="AK1145" s="979">
        <f t="shared" si="32"/>
        <v>0</v>
      </c>
    </row>
    <row r="1146" spans="37:37">
      <c r="AK1146" s="979">
        <f t="shared" si="32"/>
        <v>0</v>
      </c>
    </row>
    <row r="1147" spans="37:37">
      <c r="AK1147" s="979">
        <f t="shared" si="32"/>
        <v>0</v>
      </c>
    </row>
    <row r="1148" spans="37:37">
      <c r="AK1148" s="979">
        <f t="shared" si="32"/>
        <v>0</v>
      </c>
    </row>
    <row r="1149" spans="37:37">
      <c r="AK1149" s="979">
        <f t="shared" si="32"/>
        <v>0</v>
      </c>
    </row>
    <row r="1150" spans="37:37">
      <c r="AK1150" s="979">
        <f t="shared" si="32"/>
        <v>0</v>
      </c>
    </row>
    <row r="1151" spans="37:37">
      <c r="AK1151" s="979">
        <f t="shared" si="32"/>
        <v>0</v>
      </c>
    </row>
    <row r="1152" spans="37:37">
      <c r="AK1152" s="979">
        <f t="shared" si="32"/>
        <v>0</v>
      </c>
    </row>
    <row r="1153" spans="37:37">
      <c r="AK1153" s="979">
        <f t="shared" si="32"/>
        <v>0</v>
      </c>
    </row>
    <row r="1154" spans="37:37">
      <c r="AK1154" s="979">
        <f t="shared" si="32"/>
        <v>0</v>
      </c>
    </row>
    <row r="1155" spans="37:37">
      <c r="AK1155" s="979">
        <f t="shared" si="32"/>
        <v>0</v>
      </c>
    </row>
    <row r="1156" spans="37:37">
      <c r="AK1156" s="979">
        <f t="shared" si="32"/>
        <v>0</v>
      </c>
    </row>
    <row r="1157" spans="37:37">
      <c r="AK1157" s="979">
        <f t="shared" si="32"/>
        <v>0</v>
      </c>
    </row>
    <row r="1158" spans="37:37">
      <c r="AK1158" s="979">
        <f t="shared" si="32"/>
        <v>0</v>
      </c>
    </row>
    <row r="1159" spans="37:37">
      <c r="AK1159" s="979">
        <f t="shared" si="32"/>
        <v>0</v>
      </c>
    </row>
    <row r="1160" spans="37:37">
      <c r="AK1160" s="979">
        <f t="shared" si="32"/>
        <v>0</v>
      </c>
    </row>
    <row r="1161" spans="37:37">
      <c r="AK1161" s="979">
        <f t="shared" si="32"/>
        <v>0</v>
      </c>
    </row>
    <row r="1162" spans="37:37">
      <c r="AK1162" s="979">
        <f t="shared" si="32"/>
        <v>0</v>
      </c>
    </row>
    <row r="1163" spans="37:37">
      <c r="AK1163" s="979">
        <f t="shared" si="32"/>
        <v>0</v>
      </c>
    </row>
    <row r="1164" spans="37:37">
      <c r="AK1164" s="979">
        <f t="shared" si="32"/>
        <v>0</v>
      </c>
    </row>
    <row r="1165" spans="37:37">
      <c r="AK1165" s="979">
        <f t="shared" si="32"/>
        <v>0</v>
      </c>
    </row>
    <row r="1166" spans="37:37">
      <c r="AK1166" s="979">
        <f t="shared" si="32"/>
        <v>0</v>
      </c>
    </row>
    <row r="1167" spans="37:37">
      <c r="AK1167" s="979">
        <f t="shared" si="32"/>
        <v>0</v>
      </c>
    </row>
    <row r="1168" spans="37:37">
      <c r="AK1168" s="979">
        <f t="shared" si="32"/>
        <v>0</v>
      </c>
    </row>
    <row r="1169" spans="37:37">
      <c r="AK1169" s="979">
        <f t="shared" si="32"/>
        <v>0</v>
      </c>
    </row>
    <row r="1170" spans="37:37">
      <c r="AK1170" s="979">
        <f t="shared" si="32"/>
        <v>0</v>
      </c>
    </row>
    <row r="1171" spans="37:37">
      <c r="AK1171" s="979">
        <f t="shared" si="32"/>
        <v>0</v>
      </c>
    </row>
    <row r="1172" spans="37:37">
      <c r="AK1172" s="979">
        <f t="shared" si="32"/>
        <v>0</v>
      </c>
    </row>
    <row r="1173" spans="37:37">
      <c r="AK1173" s="979">
        <f t="shared" si="32"/>
        <v>0</v>
      </c>
    </row>
    <row r="1174" spans="37:37">
      <c r="AK1174" s="979">
        <f t="shared" si="32"/>
        <v>0</v>
      </c>
    </row>
    <row r="1175" spans="37:37">
      <c r="AK1175" s="979">
        <f t="shared" si="32"/>
        <v>0</v>
      </c>
    </row>
    <row r="1176" spans="37:37">
      <c r="AK1176" s="979">
        <f t="shared" ref="AK1176:AK1239" si="33">SUM(O1176:AJ1176)</f>
        <v>0</v>
      </c>
    </row>
    <row r="1177" spans="37:37">
      <c r="AK1177" s="979">
        <f t="shared" si="33"/>
        <v>0</v>
      </c>
    </row>
    <row r="1178" spans="37:37">
      <c r="AK1178" s="979">
        <f t="shared" si="33"/>
        <v>0</v>
      </c>
    </row>
    <row r="1179" spans="37:37">
      <c r="AK1179" s="979">
        <f t="shared" si="33"/>
        <v>0</v>
      </c>
    </row>
    <row r="1180" spans="37:37">
      <c r="AK1180" s="979">
        <f t="shared" si="33"/>
        <v>0</v>
      </c>
    </row>
    <row r="1181" spans="37:37">
      <c r="AK1181" s="979">
        <f t="shared" si="33"/>
        <v>0</v>
      </c>
    </row>
    <row r="1182" spans="37:37">
      <c r="AK1182" s="979">
        <f t="shared" si="33"/>
        <v>0</v>
      </c>
    </row>
    <row r="1183" spans="37:37">
      <c r="AK1183" s="979">
        <f t="shared" si="33"/>
        <v>0</v>
      </c>
    </row>
    <row r="1184" spans="37:37">
      <c r="AK1184" s="979">
        <f t="shared" si="33"/>
        <v>0</v>
      </c>
    </row>
    <row r="1185" spans="37:37">
      <c r="AK1185" s="979">
        <f t="shared" si="33"/>
        <v>0</v>
      </c>
    </row>
    <row r="1186" spans="37:37">
      <c r="AK1186" s="979">
        <f t="shared" si="33"/>
        <v>0</v>
      </c>
    </row>
    <row r="1187" spans="37:37">
      <c r="AK1187" s="979">
        <f t="shared" si="33"/>
        <v>0</v>
      </c>
    </row>
    <row r="1188" spans="37:37">
      <c r="AK1188" s="979">
        <f t="shared" si="33"/>
        <v>0</v>
      </c>
    </row>
    <row r="1189" spans="37:37">
      <c r="AK1189" s="979">
        <f t="shared" si="33"/>
        <v>0</v>
      </c>
    </row>
    <row r="1190" spans="37:37">
      <c r="AK1190" s="979">
        <f t="shared" si="33"/>
        <v>0</v>
      </c>
    </row>
    <row r="1191" spans="37:37">
      <c r="AK1191" s="979">
        <f t="shared" si="33"/>
        <v>0</v>
      </c>
    </row>
    <row r="1192" spans="37:37">
      <c r="AK1192" s="979">
        <f t="shared" si="33"/>
        <v>0</v>
      </c>
    </row>
    <row r="1193" spans="37:37">
      <c r="AK1193" s="979">
        <f t="shared" si="33"/>
        <v>0</v>
      </c>
    </row>
    <row r="1194" spans="37:37">
      <c r="AK1194" s="979">
        <f t="shared" si="33"/>
        <v>0</v>
      </c>
    </row>
    <row r="1195" spans="37:37">
      <c r="AK1195" s="979">
        <f t="shared" si="33"/>
        <v>0</v>
      </c>
    </row>
    <row r="1196" spans="37:37">
      <c r="AK1196" s="979">
        <f t="shared" si="33"/>
        <v>0</v>
      </c>
    </row>
    <row r="1197" spans="37:37">
      <c r="AK1197" s="979">
        <f t="shared" si="33"/>
        <v>0</v>
      </c>
    </row>
    <row r="1198" spans="37:37">
      <c r="AK1198" s="979">
        <f t="shared" si="33"/>
        <v>0</v>
      </c>
    </row>
    <row r="1199" spans="37:37">
      <c r="AK1199" s="979">
        <f t="shared" si="33"/>
        <v>0</v>
      </c>
    </row>
    <row r="1200" spans="37:37">
      <c r="AK1200" s="979">
        <f t="shared" si="33"/>
        <v>0</v>
      </c>
    </row>
    <row r="1201" spans="37:37">
      <c r="AK1201" s="979">
        <f t="shared" si="33"/>
        <v>0</v>
      </c>
    </row>
    <row r="1202" spans="37:37">
      <c r="AK1202" s="979">
        <f t="shared" si="33"/>
        <v>0</v>
      </c>
    </row>
    <row r="1203" spans="37:37">
      <c r="AK1203" s="979">
        <f t="shared" si="33"/>
        <v>0</v>
      </c>
    </row>
    <row r="1204" spans="37:37">
      <c r="AK1204" s="979">
        <f t="shared" si="33"/>
        <v>0</v>
      </c>
    </row>
    <row r="1205" spans="37:37">
      <c r="AK1205" s="979">
        <f t="shared" si="33"/>
        <v>0</v>
      </c>
    </row>
    <row r="1206" spans="37:37">
      <c r="AK1206" s="979">
        <f t="shared" si="33"/>
        <v>0</v>
      </c>
    </row>
    <row r="1207" spans="37:37">
      <c r="AK1207" s="979">
        <f t="shared" si="33"/>
        <v>0</v>
      </c>
    </row>
    <row r="1208" spans="37:37">
      <c r="AK1208" s="979">
        <f t="shared" si="33"/>
        <v>0</v>
      </c>
    </row>
    <row r="1209" spans="37:37">
      <c r="AK1209" s="979">
        <f t="shared" si="33"/>
        <v>0</v>
      </c>
    </row>
    <row r="1210" spans="37:37">
      <c r="AK1210" s="979">
        <f t="shared" si="33"/>
        <v>0</v>
      </c>
    </row>
    <row r="1211" spans="37:37">
      <c r="AK1211" s="979">
        <f t="shared" si="33"/>
        <v>0</v>
      </c>
    </row>
    <row r="1212" spans="37:37">
      <c r="AK1212" s="979">
        <f t="shared" si="33"/>
        <v>0</v>
      </c>
    </row>
    <row r="1213" spans="37:37">
      <c r="AK1213" s="979">
        <f t="shared" si="33"/>
        <v>0</v>
      </c>
    </row>
    <row r="1214" spans="37:37">
      <c r="AK1214" s="979">
        <f t="shared" si="33"/>
        <v>0</v>
      </c>
    </row>
    <row r="1215" spans="37:37">
      <c r="AK1215" s="979">
        <f t="shared" si="33"/>
        <v>0</v>
      </c>
    </row>
    <row r="1216" spans="37:37">
      <c r="AK1216" s="979">
        <f t="shared" si="33"/>
        <v>0</v>
      </c>
    </row>
    <row r="1217" spans="37:37">
      <c r="AK1217" s="979">
        <f t="shared" si="33"/>
        <v>0</v>
      </c>
    </row>
    <row r="1218" spans="37:37">
      <c r="AK1218" s="979">
        <f t="shared" si="33"/>
        <v>0</v>
      </c>
    </row>
    <row r="1219" spans="37:37">
      <c r="AK1219" s="979">
        <f t="shared" si="33"/>
        <v>0</v>
      </c>
    </row>
    <row r="1220" spans="37:37">
      <c r="AK1220" s="979">
        <f t="shared" si="33"/>
        <v>0</v>
      </c>
    </row>
    <row r="1221" spans="37:37">
      <c r="AK1221" s="979">
        <f t="shared" si="33"/>
        <v>0</v>
      </c>
    </row>
    <row r="1222" spans="37:37">
      <c r="AK1222" s="979">
        <f t="shared" si="33"/>
        <v>0</v>
      </c>
    </row>
    <row r="1223" spans="37:37">
      <c r="AK1223" s="979">
        <f t="shared" si="33"/>
        <v>0</v>
      </c>
    </row>
    <row r="1224" spans="37:37">
      <c r="AK1224" s="979">
        <f t="shared" si="33"/>
        <v>0</v>
      </c>
    </row>
    <row r="1225" spans="37:37">
      <c r="AK1225" s="979">
        <f t="shared" si="33"/>
        <v>0</v>
      </c>
    </row>
    <row r="1226" spans="37:37">
      <c r="AK1226" s="979">
        <f t="shared" si="33"/>
        <v>0</v>
      </c>
    </row>
    <row r="1227" spans="37:37">
      <c r="AK1227" s="979">
        <f t="shared" si="33"/>
        <v>0</v>
      </c>
    </row>
    <row r="1228" spans="37:37">
      <c r="AK1228" s="979">
        <f t="shared" si="33"/>
        <v>0</v>
      </c>
    </row>
    <row r="1229" spans="37:37">
      <c r="AK1229" s="979">
        <f t="shared" si="33"/>
        <v>0</v>
      </c>
    </row>
    <row r="1230" spans="37:37">
      <c r="AK1230" s="979">
        <f t="shared" si="33"/>
        <v>0</v>
      </c>
    </row>
    <row r="1231" spans="37:37">
      <c r="AK1231" s="979">
        <f t="shared" si="33"/>
        <v>0</v>
      </c>
    </row>
    <row r="1232" spans="37:37">
      <c r="AK1232" s="979">
        <f t="shared" si="33"/>
        <v>0</v>
      </c>
    </row>
    <row r="1233" spans="37:37">
      <c r="AK1233" s="979">
        <f t="shared" si="33"/>
        <v>0</v>
      </c>
    </row>
    <row r="1234" spans="37:37">
      <c r="AK1234" s="979">
        <f t="shared" si="33"/>
        <v>0</v>
      </c>
    </row>
    <row r="1235" spans="37:37">
      <c r="AK1235" s="979">
        <f t="shared" si="33"/>
        <v>0</v>
      </c>
    </row>
    <row r="1236" spans="37:37">
      <c r="AK1236" s="979">
        <f t="shared" si="33"/>
        <v>0</v>
      </c>
    </row>
    <row r="1237" spans="37:37">
      <c r="AK1237" s="979">
        <f t="shared" si="33"/>
        <v>0</v>
      </c>
    </row>
    <row r="1238" spans="37:37">
      <c r="AK1238" s="979">
        <f t="shared" si="33"/>
        <v>0</v>
      </c>
    </row>
    <row r="1239" spans="37:37">
      <c r="AK1239" s="979">
        <f t="shared" si="33"/>
        <v>0</v>
      </c>
    </row>
    <row r="1240" spans="37:37">
      <c r="AK1240" s="979">
        <f t="shared" ref="AK1240:AK1303" si="34">SUM(O1240:AJ1240)</f>
        <v>0</v>
      </c>
    </row>
    <row r="1241" spans="37:37">
      <c r="AK1241" s="979">
        <f t="shared" si="34"/>
        <v>0</v>
      </c>
    </row>
    <row r="1242" spans="37:37">
      <c r="AK1242" s="979">
        <f t="shared" si="34"/>
        <v>0</v>
      </c>
    </row>
    <row r="1243" spans="37:37">
      <c r="AK1243" s="979">
        <f t="shared" si="34"/>
        <v>0</v>
      </c>
    </row>
    <row r="1244" spans="37:37">
      <c r="AK1244" s="979">
        <f t="shared" si="34"/>
        <v>0</v>
      </c>
    </row>
    <row r="1245" spans="37:37">
      <c r="AK1245" s="979">
        <f t="shared" si="34"/>
        <v>0</v>
      </c>
    </row>
    <row r="1246" spans="37:37">
      <c r="AK1246" s="979">
        <f t="shared" si="34"/>
        <v>0</v>
      </c>
    </row>
    <row r="1247" spans="37:37">
      <c r="AK1247" s="979">
        <f t="shared" si="34"/>
        <v>0</v>
      </c>
    </row>
    <row r="1248" spans="37:37">
      <c r="AK1248" s="979">
        <f t="shared" si="34"/>
        <v>0</v>
      </c>
    </row>
    <row r="1249" spans="37:37">
      <c r="AK1249" s="979">
        <f t="shared" si="34"/>
        <v>0</v>
      </c>
    </row>
    <row r="1250" spans="37:37">
      <c r="AK1250" s="979">
        <f t="shared" si="34"/>
        <v>0</v>
      </c>
    </row>
    <row r="1251" spans="37:37">
      <c r="AK1251" s="979">
        <f t="shared" si="34"/>
        <v>0</v>
      </c>
    </row>
    <row r="1252" spans="37:37">
      <c r="AK1252" s="979">
        <f t="shared" si="34"/>
        <v>0</v>
      </c>
    </row>
    <row r="1253" spans="37:37">
      <c r="AK1253" s="979">
        <f t="shared" si="34"/>
        <v>0</v>
      </c>
    </row>
    <row r="1254" spans="37:37">
      <c r="AK1254" s="979">
        <f t="shared" si="34"/>
        <v>0</v>
      </c>
    </row>
    <row r="1255" spans="37:37">
      <c r="AK1255" s="979">
        <f t="shared" si="34"/>
        <v>0</v>
      </c>
    </row>
    <row r="1256" spans="37:37">
      <c r="AK1256" s="979">
        <f t="shared" si="34"/>
        <v>0</v>
      </c>
    </row>
    <row r="1257" spans="37:37">
      <c r="AK1257" s="979">
        <f t="shared" si="34"/>
        <v>0</v>
      </c>
    </row>
    <row r="1258" spans="37:37">
      <c r="AK1258" s="979">
        <f t="shared" si="34"/>
        <v>0</v>
      </c>
    </row>
    <row r="1259" spans="37:37">
      <c r="AK1259" s="979">
        <f t="shared" si="34"/>
        <v>0</v>
      </c>
    </row>
    <row r="1260" spans="37:37">
      <c r="AK1260" s="979">
        <f t="shared" si="34"/>
        <v>0</v>
      </c>
    </row>
    <row r="1261" spans="37:37">
      <c r="AK1261" s="979">
        <f t="shared" si="34"/>
        <v>0</v>
      </c>
    </row>
    <row r="1262" spans="37:37">
      <c r="AK1262" s="979">
        <f t="shared" si="34"/>
        <v>0</v>
      </c>
    </row>
    <row r="1263" spans="37:37">
      <c r="AK1263" s="979">
        <f t="shared" si="34"/>
        <v>0</v>
      </c>
    </row>
    <row r="1264" spans="37:37">
      <c r="AK1264" s="979">
        <f t="shared" si="34"/>
        <v>0</v>
      </c>
    </row>
    <row r="1265" spans="37:37">
      <c r="AK1265" s="979">
        <f t="shared" si="34"/>
        <v>0</v>
      </c>
    </row>
    <row r="1266" spans="37:37">
      <c r="AK1266" s="979">
        <f t="shared" si="34"/>
        <v>0</v>
      </c>
    </row>
    <row r="1267" spans="37:37">
      <c r="AK1267" s="979">
        <f t="shared" si="34"/>
        <v>0</v>
      </c>
    </row>
    <row r="1268" spans="37:37">
      <c r="AK1268" s="979">
        <f t="shared" si="34"/>
        <v>0</v>
      </c>
    </row>
    <row r="1269" spans="37:37">
      <c r="AK1269" s="979">
        <f t="shared" si="34"/>
        <v>0</v>
      </c>
    </row>
    <row r="1270" spans="37:37">
      <c r="AK1270" s="979">
        <f t="shared" si="34"/>
        <v>0</v>
      </c>
    </row>
    <row r="1271" spans="37:37">
      <c r="AK1271" s="979">
        <f t="shared" si="34"/>
        <v>0</v>
      </c>
    </row>
    <row r="1272" spans="37:37">
      <c r="AK1272" s="979">
        <f t="shared" si="34"/>
        <v>0</v>
      </c>
    </row>
    <row r="1273" spans="37:37">
      <c r="AK1273" s="979">
        <f t="shared" si="34"/>
        <v>0</v>
      </c>
    </row>
    <row r="1274" spans="37:37">
      <c r="AK1274" s="979">
        <f t="shared" si="34"/>
        <v>0</v>
      </c>
    </row>
    <row r="1275" spans="37:37">
      <c r="AK1275" s="979">
        <f t="shared" si="34"/>
        <v>0</v>
      </c>
    </row>
    <row r="1276" spans="37:37">
      <c r="AK1276" s="979">
        <f t="shared" si="34"/>
        <v>0</v>
      </c>
    </row>
    <row r="1277" spans="37:37">
      <c r="AK1277" s="979">
        <f t="shared" si="34"/>
        <v>0</v>
      </c>
    </row>
    <row r="1278" spans="37:37">
      <c r="AK1278" s="979">
        <f t="shared" si="34"/>
        <v>0</v>
      </c>
    </row>
    <row r="1279" spans="37:37">
      <c r="AK1279" s="979">
        <f t="shared" si="34"/>
        <v>0</v>
      </c>
    </row>
    <row r="1280" spans="37:37">
      <c r="AK1280" s="979">
        <f t="shared" si="34"/>
        <v>0</v>
      </c>
    </row>
    <row r="1281" spans="37:37">
      <c r="AK1281" s="979">
        <f t="shared" si="34"/>
        <v>0</v>
      </c>
    </row>
    <row r="1282" spans="37:37">
      <c r="AK1282" s="979">
        <f t="shared" si="34"/>
        <v>0</v>
      </c>
    </row>
    <row r="1283" spans="37:37">
      <c r="AK1283" s="979">
        <f t="shared" si="34"/>
        <v>0</v>
      </c>
    </row>
    <row r="1284" spans="37:37">
      <c r="AK1284" s="979">
        <f t="shared" si="34"/>
        <v>0</v>
      </c>
    </row>
    <row r="1285" spans="37:37">
      <c r="AK1285" s="979">
        <f t="shared" si="34"/>
        <v>0</v>
      </c>
    </row>
    <row r="1286" spans="37:37">
      <c r="AK1286" s="979">
        <f t="shared" si="34"/>
        <v>0</v>
      </c>
    </row>
    <row r="1287" spans="37:37">
      <c r="AK1287" s="979">
        <f t="shared" si="34"/>
        <v>0</v>
      </c>
    </row>
    <row r="1288" spans="37:37">
      <c r="AK1288" s="979">
        <f t="shared" si="34"/>
        <v>0</v>
      </c>
    </row>
    <row r="1289" spans="37:37">
      <c r="AK1289" s="979">
        <f t="shared" si="34"/>
        <v>0</v>
      </c>
    </row>
    <row r="1290" spans="37:37">
      <c r="AK1290" s="979">
        <f t="shared" si="34"/>
        <v>0</v>
      </c>
    </row>
    <row r="1291" spans="37:37">
      <c r="AK1291" s="979">
        <f t="shared" si="34"/>
        <v>0</v>
      </c>
    </row>
    <row r="1292" spans="37:37">
      <c r="AK1292" s="979">
        <f t="shared" si="34"/>
        <v>0</v>
      </c>
    </row>
    <row r="1293" spans="37:37">
      <c r="AK1293" s="979">
        <f t="shared" si="34"/>
        <v>0</v>
      </c>
    </row>
    <row r="1294" spans="37:37">
      <c r="AK1294" s="979">
        <f t="shared" si="34"/>
        <v>0</v>
      </c>
    </row>
    <row r="1295" spans="37:37">
      <c r="AK1295" s="979">
        <f t="shared" si="34"/>
        <v>0</v>
      </c>
    </row>
    <row r="1296" spans="37:37">
      <c r="AK1296" s="979">
        <f t="shared" si="34"/>
        <v>0</v>
      </c>
    </row>
    <row r="1297" spans="37:37">
      <c r="AK1297" s="979">
        <f t="shared" si="34"/>
        <v>0</v>
      </c>
    </row>
    <row r="1298" spans="37:37">
      <c r="AK1298" s="979">
        <f t="shared" si="34"/>
        <v>0</v>
      </c>
    </row>
    <row r="1299" spans="37:37">
      <c r="AK1299" s="979">
        <f t="shared" si="34"/>
        <v>0</v>
      </c>
    </row>
    <row r="1300" spans="37:37">
      <c r="AK1300" s="979">
        <f t="shared" si="34"/>
        <v>0</v>
      </c>
    </row>
    <row r="1301" spans="37:37">
      <c r="AK1301" s="979">
        <f t="shared" si="34"/>
        <v>0</v>
      </c>
    </row>
    <row r="1302" spans="37:37">
      <c r="AK1302" s="979">
        <f t="shared" si="34"/>
        <v>0</v>
      </c>
    </row>
    <row r="1303" spans="37:37">
      <c r="AK1303" s="979">
        <f t="shared" si="34"/>
        <v>0</v>
      </c>
    </row>
    <row r="1304" spans="37:37">
      <c r="AK1304" s="979">
        <f t="shared" ref="AK1304:AK1367" si="35">SUM(O1304:AJ1304)</f>
        <v>0</v>
      </c>
    </row>
    <row r="1305" spans="37:37">
      <c r="AK1305" s="979">
        <f t="shared" si="35"/>
        <v>0</v>
      </c>
    </row>
    <row r="1306" spans="37:37">
      <c r="AK1306" s="979">
        <f t="shared" si="35"/>
        <v>0</v>
      </c>
    </row>
    <row r="1307" spans="37:37">
      <c r="AK1307" s="979">
        <f t="shared" si="35"/>
        <v>0</v>
      </c>
    </row>
    <row r="1308" spans="37:37">
      <c r="AK1308" s="979">
        <f t="shared" si="35"/>
        <v>0</v>
      </c>
    </row>
    <row r="1309" spans="37:37">
      <c r="AK1309" s="979">
        <f t="shared" si="35"/>
        <v>0</v>
      </c>
    </row>
    <row r="1310" spans="37:37">
      <c r="AK1310" s="979">
        <f t="shared" si="35"/>
        <v>0</v>
      </c>
    </row>
    <row r="1311" spans="37:37">
      <c r="AK1311" s="979">
        <f t="shared" si="35"/>
        <v>0</v>
      </c>
    </row>
    <row r="1312" spans="37:37">
      <c r="AK1312" s="979">
        <f t="shared" si="35"/>
        <v>0</v>
      </c>
    </row>
    <row r="1313" spans="37:37">
      <c r="AK1313" s="979">
        <f t="shared" si="35"/>
        <v>0</v>
      </c>
    </row>
    <row r="1314" spans="37:37">
      <c r="AK1314" s="979">
        <f t="shared" si="35"/>
        <v>0</v>
      </c>
    </row>
    <row r="1315" spans="37:37">
      <c r="AK1315" s="979">
        <f t="shared" si="35"/>
        <v>0</v>
      </c>
    </row>
    <row r="1316" spans="37:37">
      <c r="AK1316" s="979">
        <f t="shared" si="35"/>
        <v>0</v>
      </c>
    </row>
    <row r="1317" spans="37:37">
      <c r="AK1317" s="979">
        <f t="shared" si="35"/>
        <v>0</v>
      </c>
    </row>
    <row r="1318" spans="37:37">
      <c r="AK1318" s="979">
        <f t="shared" si="35"/>
        <v>0</v>
      </c>
    </row>
    <row r="1319" spans="37:37">
      <c r="AK1319" s="979">
        <f t="shared" si="35"/>
        <v>0</v>
      </c>
    </row>
    <row r="1320" spans="37:37">
      <c r="AK1320" s="979">
        <f t="shared" si="35"/>
        <v>0</v>
      </c>
    </row>
    <row r="1321" spans="37:37">
      <c r="AK1321" s="979">
        <f t="shared" si="35"/>
        <v>0</v>
      </c>
    </row>
    <row r="1322" spans="37:37">
      <c r="AK1322" s="979">
        <f t="shared" si="35"/>
        <v>0</v>
      </c>
    </row>
    <row r="1323" spans="37:37">
      <c r="AK1323" s="979">
        <f t="shared" si="35"/>
        <v>0</v>
      </c>
    </row>
    <row r="1324" spans="37:37">
      <c r="AK1324" s="979">
        <f t="shared" si="35"/>
        <v>0</v>
      </c>
    </row>
    <row r="1325" spans="37:37">
      <c r="AK1325" s="979">
        <f t="shared" si="35"/>
        <v>0</v>
      </c>
    </row>
    <row r="1326" spans="37:37">
      <c r="AK1326" s="979">
        <f t="shared" si="35"/>
        <v>0</v>
      </c>
    </row>
    <row r="1327" spans="37:37">
      <c r="AK1327" s="979">
        <f t="shared" si="35"/>
        <v>0</v>
      </c>
    </row>
    <row r="1328" spans="37:37">
      <c r="AK1328" s="979">
        <f t="shared" si="35"/>
        <v>0</v>
      </c>
    </row>
    <row r="1329" spans="37:37">
      <c r="AK1329" s="979">
        <f t="shared" si="35"/>
        <v>0</v>
      </c>
    </row>
    <row r="1330" spans="37:37">
      <c r="AK1330" s="979">
        <f t="shared" si="35"/>
        <v>0</v>
      </c>
    </row>
    <row r="1331" spans="37:37">
      <c r="AK1331" s="979">
        <f t="shared" si="35"/>
        <v>0</v>
      </c>
    </row>
    <row r="1332" spans="37:37">
      <c r="AK1332" s="979">
        <f t="shared" si="35"/>
        <v>0</v>
      </c>
    </row>
    <row r="1333" spans="37:37">
      <c r="AK1333" s="979">
        <f t="shared" si="35"/>
        <v>0</v>
      </c>
    </row>
    <row r="1334" spans="37:37">
      <c r="AK1334" s="979">
        <f t="shared" si="35"/>
        <v>0</v>
      </c>
    </row>
    <row r="1335" spans="37:37">
      <c r="AK1335" s="979">
        <f t="shared" si="35"/>
        <v>0</v>
      </c>
    </row>
    <row r="1336" spans="37:37">
      <c r="AK1336" s="979">
        <f t="shared" si="35"/>
        <v>0</v>
      </c>
    </row>
    <row r="1337" spans="37:37">
      <c r="AK1337" s="979">
        <f t="shared" si="35"/>
        <v>0</v>
      </c>
    </row>
    <row r="1338" spans="37:37">
      <c r="AK1338" s="979">
        <f t="shared" si="35"/>
        <v>0</v>
      </c>
    </row>
    <row r="1339" spans="37:37">
      <c r="AK1339" s="979">
        <f t="shared" si="35"/>
        <v>0</v>
      </c>
    </row>
    <row r="1340" spans="37:37">
      <c r="AK1340" s="979">
        <f t="shared" si="35"/>
        <v>0</v>
      </c>
    </row>
    <row r="1341" spans="37:37">
      <c r="AK1341" s="979">
        <f t="shared" si="35"/>
        <v>0</v>
      </c>
    </row>
    <row r="1342" spans="37:37">
      <c r="AK1342" s="979">
        <f t="shared" si="35"/>
        <v>0</v>
      </c>
    </row>
    <row r="1343" spans="37:37">
      <c r="AK1343" s="979">
        <f t="shared" si="35"/>
        <v>0</v>
      </c>
    </row>
    <row r="1344" spans="37:37">
      <c r="AK1344" s="979">
        <f t="shared" si="35"/>
        <v>0</v>
      </c>
    </row>
    <row r="1345" spans="37:37">
      <c r="AK1345" s="979">
        <f t="shared" si="35"/>
        <v>0</v>
      </c>
    </row>
    <row r="1346" spans="37:37">
      <c r="AK1346" s="979">
        <f t="shared" si="35"/>
        <v>0</v>
      </c>
    </row>
    <row r="1347" spans="37:37">
      <c r="AK1347" s="979">
        <f t="shared" si="35"/>
        <v>0</v>
      </c>
    </row>
    <row r="1348" spans="37:37">
      <c r="AK1348" s="979">
        <f t="shared" si="35"/>
        <v>0</v>
      </c>
    </row>
    <row r="1349" spans="37:37">
      <c r="AK1349" s="979">
        <f t="shared" si="35"/>
        <v>0</v>
      </c>
    </row>
    <row r="1350" spans="37:37">
      <c r="AK1350" s="979">
        <f t="shared" si="35"/>
        <v>0</v>
      </c>
    </row>
    <row r="1351" spans="37:37">
      <c r="AK1351" s="979">
        <f t="shared" si="35"/>
        <v>0</v>
      </c>
    </row>
    <row r="1352" spans="37:37">
      <c r="AK1352" s="979">
        <f t="shared" si="35"/>
        <v>0</v>
      </c>
    </row>
    <row r="1353" spans="37:37">
      <c r="AK1353" s="979">
        <f t="shared" si="35"/>
        <v>0</v>
      </c>
    </row>
    <row r="1354" spans="37:37">
      <c r="AK1354" s="979">
        <f t="shared" si="35"/>
        <v>0</v>
      </c>
    </row>
    <row r="1355" spans="37:37">
      <c r="AK1355" s="979">
        <f t="shared" si="35"/>
        <v>0</v>
      </c>
    </row>
    <row r="1356" spans="37:37">
      <c r="AK1356" s="979">
        <f t="shared" si="35"/>
        <v>0</v>
      </c>
    </row>
    <row r="1357" spans="37:37">
      <c r="AK1357" s="979">
        <f t="shared" si="35"/>
        <v>0</v>
      </c>
    </row>
    <row r="1358" spans="37:37">
      <c r="AK1358" s="979">
        <f t="shared" si="35"/>
        <v>0</v>
      </c>
    </row>
    <row r="1359" spans="37:37">
      <c r="AK1359" s="979">
        <f t="shared" si="35"/>
        <v>0</v>
      </c>
    </row>
    <row r="1360" spans="37:37">
      <c r="AK1360" s="979">
        <f t="shared" si="35"/>
        <v>0</v>
      </c>
    </row>
    <row r="1361" spans="37:37">
      <c r="AK1361" s="979">
        <f t="shared" si="35"/>
        <v>0</v>
      </c>
    </row>
    <row r="1362" spans="37:37">
      <c r="AK1362" s="979">
        <f t="shared" si="35"/>
        <v>0</v>
      </c>
    </row>
    <row r="1363" spans="37:37">
      <c r="AK1363" s="979">
        <f t="shared" si="35"/>
        <v>0</v>
      </c>
    </row>
    <row r="1364" spans="37:37">
      <c r="AK1364" s="979">
        <f t="shared" si="35"/>
        <v>0</v>
      </c>
    </row>
    <row r="1365" spans="37:37">
      <c r="AK1365" s="979">
        <f t="shared" si="35"/>
        <v>0</v>
      </c>
    </row>
    <row r="1366" spans="37:37">
      <c r="AK1366" s="979">
        <f t="shared" si="35"/>
        <v>0</v>
      </c>
    </row>
    <row r="1367" spans="37:37">
      <c r="AK1367" s="979">
        <f t="shared" si="35"/>
        <v>0</v>
      </c>
    </row>
    <row r="1368" spans="37:37">
      <c r="AK1368" s="979">
        <f t="shared" ref="AK1368:AK1431" si="36">SUM(O1368:AJ1368)</f>
        <v>0</v>
      </c>
    </row>
    <row r="1369" spans="37:37">
      <c r="AK1369" s="979">
        <f t="shared" si="36"/>
        <v>0</v>
      </c>
    </row>
    <row r="1370" spans="37:37">
      <c r="AK1370" s="979">
        <f t="shared" si="36"/>
        <v>0</v>
      </c>
    </row>
    <row r="1371" spans="37:37">
      <c r="AK1371" s="979">
        <f t="shared" si="36"/>
        <v>0</v>
      </c>
    </row>
    <row r="1372" spans="37:37">
      <c r="AK1372" s="979">
        <f t="shared" si="36"/>
        <v>0</v>
      </c>
    </row>
    <row r="1373" spans="37:37">
      <c r="AK1373" s="979">
        <f t="shared" si="36"/>
        <v>0</v>
      </c>
    </row>
    <row r="1374" spans="37:37">
      <c r="AK1374" s="979">
        <f t="shared" si="36"/>
        <v>0</v>
      </c>
    </row>
    <row r="1375" spans="37:37">
      <c r="AK1375" s="979">
        <f t="shared" si="36"/>
        <v>0</v>
      </c>
    </row>
    <row r="1376" spans="37:37">
      <c r="AK1376" s="979">
        <f t="shared" si="36"/>
        <v>0</v>
      </c>
    </row>
    <row r="1377" spans="37:37">
      <c r="AK1377" s="979">
        <f t="shared" si="36"/>
        <v>0</v>
      </c>
    </row>
    <row r="1378" spans="37:37">
      <c r="AK1378" s="979">
        <f t="shared" si="36"/>
        <v>0</v>
      </c>
    </row>
    <row r="1379" spans="37:37">
      <c r="AK1379" s="979">
        <f t="shared" si="36"/>
        <v>0</v>
      </c>
    </row>
    <row r="1380" spans="37:37">
      <c r="AK1380" s="979">
        <f t="shared" si="36"/>
        <v>0</v>
      </c>
    </row>
    <row r="1381" spans="37:37">
      <c r="AK1381" s="979">
        <f t="shared" si="36"/>
        <v>0</v>
      </c>
    </row>
    <row r="1382" spans="37:37">
      <c r="AK1382" s="979">
        <f t="shared" si="36"/>
        <v>0</v>
      </c>
    </row>
    <row r="1383" spans="37:37">
      <c r="AK1383" s="979">
        <f t="shared" si="36"/>
        <v>0</v>
      </c>
    </row>
    <row r="1384" spans="37:37">
      <c r="AK1384" s="979">
        <f t="shared" si="36"/>
        <v>0</v>
      </c>
    </row>
    <row r="1385" spans="37:37">
      <c r="AK1385" s="979">
        <f t="shared" si="36"/>
        <v>0</v>
      </c>
    </row>
    <row r="1386" spans="37:37">
      <c r="AK1386" s="979">
        <f t="shared" si="36"/>
        <v>0</v>
      </c>
    </row>
    <row r="1387" spans="37:37">
      <c r="AK1387" s="979">
        <f t="shared" si="36"/>
        <v>0</v>
      </c>
    </row>
    <row r="1388" spans="37:37">
      <c r="AK1388" s="979">
        <f t="shared" si="36"/>
        <v>0</v>
      </c>
    </row>
    <row r="1389" spans="37:37">
      <c r="AK1389" s="979">
        <f t="shared" si="36"/>
        <v>0</v>
      </c>
    </row>
    <row r="1390" spans="37:37">
      <c r="AK1390" s="979">
        <f t="shared" si="36"/>
        <v>0</v>
      </c>
    </row>
    <row r="1391" spans="37:37">
      <c r="AK1391" s="979">
        <f t="shared" si="36"/>
        <v>0</v>
      </c>
    </row>
    <row r="1392" spans="37:37">
      <c r="AK1392" s="979">
        <f t="shared" si="36"/>
        <v>0</v>
      </c>
    </row>
    <row r="1393" spans="37:37">
      <c r="AK1393" s="979">
        <f t="shared" si="36"/>
        <v>0</v>
      </c>
    </row>
    <row r="1394" spans="37:37">
      <c r="AK1394" s="979">
        <f t="shared" si="36"/>
        <v>0</v>
      </c>
    </row>
    <row r="1395" spans="37:37">
      <c r="AK1395" s="979">
        <f t="shared" si="36"/>
        <v>0</v>
      </c>
    </row>
    <row r="1396" spans="37:37">
      <c r="AK1396" s="979">
        <f t="shared" si="36"/>
        <v>0</v>
      </c>
    </row>
    <row r="1397" spans="37:37">
      <c r="AK1397" s="979">
        <f t="shared" si="36"/>
        <v>0</v>
      </c>
    </row>
    <row r="1398" spans="37:37">
      <c r="AK1398" s="979">
        <f t="shared" si="36"/>
        <v>0</v>
      </c>
    </row>
    <row r="1399" spans="37:37">
      <c r="AK1399" s="979">
        <f t="shared" si="36"/>
        <v>0</v>
      </c>
    </row>
    <row r="1400" spans="37:37">
      <c r="AK1400" s="979">
        <f t="shared" si="36"/>
        <v>0</v>
      </c>
    </row>
    <row r="1401" spans="37:37">
      <c r="AK1401" s="979">
        <f t="shared" si="36"/>
        <v>0</v>
      </c>
    </row>
    <row r="1402" spans="37:37">
      <c r="AK1402" s="979">
        <f t="shared" si="36"/>
        <v>0</v>
      </c>
    </row>
    <row r="1403" spans="37:37">
      <c r="AK1403" s="979">
        <f t="shared" si="36"/>
        <v>0</v>
      </c>
    </row>
    <row r="1404" spans="37:37">
      <c r="AK1404" s="979">
        <f t="shared" si="36"/>
        <v>0</v>
      </c>
    </row>
    <row r="1405" spans="37:37">
      <c r="AK1405" s="979">
        <f t="shared" si="36"/>
        <v>0</v>
      </c>
    </row>
    <row r="1406" spans="37:37">
      <c r="AK1406" s="979">
        <f t="shared" si="36"/>
        <v>0</v>
      </c>
    </row>
    <row r="1407" spans="37:37">
      <c r="AK1407" s="979">
        <f t="shared" si="36"/>
        <v>0</v>
      </c>
    </row>
    <row r="1408" spans="37:37">
      <c r="AK1408" s="979">
        <f t="shared" si="36"/>
        <v>0</v>
      </c>
    </row>
    <row r="1409" spans="37:37">
      <c r="AK1409" s="979">
        <f t="shared" si="36"/>
        <v>0</v>
      </c>
    </row>
    <row r="1410" spans="37:37">
      <c r="AK1410" s="979">
        <f t="shared" si="36"/>
        <v>0</v>
      </c>
    </row>
    <row r="1411" spans="37:37">
      <c r="AK1411" s="979">
        <f t="shared" si="36"/>
        <v>0</v>
      </c>
    </row>
    <row r="1412" spans="37:37">
      <c r="AK1412" s="979">
        <f t="shared" si="36"/>
        <v>0</v>
      </c>
    </row>
    <row r="1413" spans="37:37">
      <c r="AK1413" s="979">
        <f t="shared" si="36"/>
        <v>0</v>
      </c>
    </row>
    <row r="1414" spans="37:37">
      <c r="AK1414" s="979">
        <f t="shared" si="36"/>
        <v>0</v>
      </c>
    </row>
    <row r="1415" spans="37:37">
      <c r="AK1415" s="979">
        <f t="shared" si="36"/>
        <v>0</v>
      </c>
    </row>
    <row r="1416" spans="37:37">
      <c r="AK1416" s="979">
        <f t="shared" si="36"/>
        <v>0</v>
      </c>
    </row>
    <row r="1417" spans="37:37">
      <c r="AK1417" s="979">
        <f t="shared" si="36"/>
        <v>0</v>
      </c>
    </row>
    <row r="1418" spans="37:37">
      <c r="AK1418" s="979">
        <f t="shared" si="36"/>
        <v>0</v>
      </c>
    </row>
    <row r="1419" spans="37:37">
      <c r="AK1419" s="979">
        <f t="shared" si="36"/>
        <v>0</v>
      </c>
    </row>
    <row r="1420" spans="37:37">
      <c r="AK1420" s="979">
        <f t="shared" si="36"/>
        <v>0</v>
      </c>
    </row>
    <row r="1421" spans="37:37">
      <c r="AK1421" s="979">
        <f t="shared" si="36"/>
        <v>0</v>
      </c>
    </row>
    <row r="1422" spans="37:37">
      <c r="AK1422" s="979">
        <f t="shared" si="36"/>
        <v>0</v>
      </c>
    </row>
    <row r="1423" spans="37:37">
      <c r="AK1423" s="979">
        <f t="shared" si="36"/>
        <v>0</v>
      </c>
    </row>
    <row r="1424" spans="37:37">
      <c r="AK1424" s="979">
        <f t="shared" si="36"/>
        <v>0</v>
      </c>
    </row>
    <row r="1425" spans="37:37">
      <c r="AK1425" s="979">
        <f t="shared" si="36"/>
        <v>0</v>
      </c>
    </row>
    <row r="1426" spans="37:37">
      <c r="AK1426" s="979">
        <f t="shared" si="36"/>
        <v>0</v>
      </c>
    </row>
    <row r="1427" spans="37:37">
      <c r="AK1427" s="979">
        <f t="shared" si="36"/>
        <v>0</v>
      </c>
    </row>
    <row r="1428" spans="37:37">
      <c r="AK1428" s="979">
        <f t="shared" si="36"/>
        <v>0</v>
      </c>
    </row>
    <row r="1429" spans="37:37">
      <c r="AK1429" s="979">
        <f t="shared" si="36"/>
        <v>0</v>
      </c>
    </row>
    <row r="1430" spans="37:37">
      <c r="AK1430" s="979">
        <f t="shared" si="36"/>
        <v>0</v>
      </c>
    </row>
    <row r="1431" spans="37:37">
      <c r="AK1431" s="979">
        <f t="shared" si="36"/>
        <v>0</v>
      </c>
    </row>
    <row r="1432" spans="37:37">
      <c r="AK1432" s="979">
        <f t="shared" ref="AK1432:AK1495" si="37">SUM(O1432:AJ1432)</f>
        <v>0</v>
      </c>
    </row>
    <row r="1433" spans="37:37">
      <c r="AK1433" s="979">
        <f t="shared" si="37"/>
        <v>0</v>
      </c>
    </row>
    <row r="1434" spans="37:37">
      <c r="AK1434" s="979">
        <f t="shared" si="37"/>
        <v>0</v>
      </c>
    </row>
    <row r="1435" spans="37:37">
      <c r="AK1435" s="979">
        <f t="shared" si="37"/>
        <v>0</v>
      </c>
    </row>
    <row r="1436" spans="37:37">
      <c r="AK1436" s="979">
        <f t="shared" si="37"/>
        <v>0</v>
      </c>
    </row>
    <row r="1437" spans="37:37">
      <c r="AK1437" s="979">
        <f t="shared" si="37"/>
        <v>0</v>
      </c>
    </row>
    <row r="1438" spans="37:37">
      <c r="AK1438" s="979">
        <f t="shared" si="37"/>
        <v>0</v>
      </c>
    </row>
    <row r="1439" spans="37:37">
      <c r="AK1439" s="979">
        <f t="shared" si="37"/>
        <v>0</v>
      </c>
    </row>
    <row r="1440" spans="37:37">
      <c r="AK1440" s="979">
        <f t="shared" si="37"/>
        <v>0</v>
      </c>
    </row>
    <row r="1441" spans="37:37">
      <c r="AK1441" s="979">
        <f t="shared" si="37"/>
        <v>0</v>
      </c>
    </row>
    <row r="1442" spans="37:37">
      <c r="AK1442" s="979">
        <f t="shared" si="37"/>
        <v>0</v>
      </c>
    </row>
    <row r="1443" spans="37:37">
      <c r="AK1443" s="979">
        <f t="shared" si="37"/>
        <v>0</v>
      </c>
    </row>
    <row r="1444" spans="37:37">
      <c r="AK1444" s="979">
        <f t="shared" si="37"/>
        <v>0</v>
      </c>
    </row>
    <row r="1445" spans="37:37">
      <c r="AK1445" s="979">
        <f t="shared" si="37"/>
        <v>0</v>
      </c>
    </row>
    <row r="1446" spans="37:37">
      <c r="AK1446" s="979">
        <f t="shared" si="37"/>
        <v>0</v>
      </c>
    </row>
    <row r="1447" spans="37:37">
      <c r="AK1447" s="979">
        <f t="shared" si="37"/>
        <v>0</v>
      </c>
    </row>
    <row r="1448" spans="37:37">
      <c r="AK1448" s="979">
        <f t="shared" si="37"/>
        <v>0</v>
      </c>
    </row>
    <row r="1449" spans="37:37">
      <c r="AK1449" s="979">
        <f t="shared" si="37"/>
        <v>0</v>
      </c>
    </row>
    <row r="1450" spans="37:37">
      <c r="AK1450" s="979">
        <f t="shared" si="37"/>
        <v>0</v>
      </c>
    </row>
    <row r="1451" spans="37:37">
      <c r="AK1451" s="979">
        <f t="shared" si="37"/>
        <v>0</v>
      </c>
    </row>
    <row r="1452" spans="37:37">
      <c r="AK1452" s="979">
        <f t="shared" si="37"/>
        <v>0</v>
      </c>
    </row>
    <row r="1453" spans="37:37">
      <c r="AK1453" s="979">
        <f t="shared" si="37"/>
        <v>0</v>
      </c>
    </row>
    <row r="1454" spans="37:37">
      <c r="AK1454" s="979">
        <f t="shared" si="37"/>
        <v>0</v>
      </c>
    </row>
    <row r="1455" spans="37:37">
      <c r="AK1455" s="979">
        <f t="shared" si="37"/>
        <v>0</v>
      </c>
    </row>
    <row r="1456" spans="37:37">
      <c r="AK1456" s="979">
        <f t="shared" si="37"/>
        <v>0</v>
      </c>
    </row>
    <row r="1457" spans="37:37">
      <c r="AK1457" s="979">
        <f t="shared" si="37"/>
        <v>0</v>
      </c>
    </row>
    <row r="1458" spans="37:37">
      <c r="AK1458" s="979">
        <f t="shared" si="37"/>
        <v>0</v>
      </c>
    </row>
    <row r="1459" spans="37:37">
      <c r="AK1459" s="979">
        <f t="shared" si="37"/>
        <v>0</v>
      </c>
    </row>
    <row r="1460" spans="37:37">
      <c r="AK1460" s="979">
        <f t="shared" si="37"/>
        <v>0</v>
      </c>
    </row>
    <row r="1461" spans="37:37">
      <c r="AK1461" s="979">
        <f t="shared" si="37"/>
        <v>0</v>
      </c>
    </row>
    <row r="1462" spans="37:37">
      <c r="AK1462" s="979">
        <f t="shared" si="37"/>
        <v>0</v>
      </c>
    </row>
    <row r="1463" spans="37:37">
      <c r="AK1463" s="979">
        <f t="shared" si="37"/>
        <v>0</v>
      </c>
    </row>
    <row r="1464" spans="37:37">
      <c r="AK1464" s="979">
        <f t="shared" si="37"/>
        <v>0</v>
      </c>
    </row>
    <row r="1465" spans="37:37">
      <c r="AK1465" s="979">
        <f t="shared" si="37"/>
        <v>0</v>
      </c>
    </row>
    <row r="1466" spans="37:37">
      <c r="AK1466" s="979">
        <f t="shared" si="37"/>
        <v>0</v>
      </c>
    </row>
    <row r="1467" spans="37:37">
      <c r="AK1467" s="979">
        <f t="shared" si="37"/>
        <v>0</v>
      </c>
    </row>
    <row r="1468" spans="37:37">
      <c r="AK1468" s="979">
        <f t="shared" si="37"/>
        <v>0</v>
      </c>
    </row>
    <row r="1469" spans="37:37">
      <c r="AK1469" s="979">
        <f t="shared" si="37"/>
        <v>0</v>
      </c>
    </row>
    <row r="1470" spans="37:37">
      <c r="AK1470" s="979">
        <f t="shared" si="37"/>
        <v>0</v>
      </c>
    </row>
    <row r="1471" spans="37:37">
      <c r="AK1471" s="979">
        <f t="shared" si="37"/>
        <v>0</v>
      </c>
    </row>
    <row r="1472" spans="37:37">
      <c r="AK1472" s="979">
        <f t="shared" si="37"/>
        <v>0</v>
      </c>
    </row>
    <row r="1473" spans="37:37">
      <c r="AK1473" s="979">
        <f t="shared" si="37"/>
        <v>0</v>
      </c>
    </row>
    <row r="1474" spans="37:37">
      <c r="AK1474" s="979">
        <f t="shared" si="37"/>
        <v>0</v>
      </c>
    </row>
    <row r="1475" spans="37:37">
      <c r="AK1475" s="979">
        <f t="shared" si="37"/>
        <v>0</v>
      </c>
    </row>
    <row r="1476" spans="37:37">
      <c r="AK1476" s="979">
        <f t="shared" si="37"/>
        <v>0</v>
      </c>
    </row>
    <row r="1477" spans="37:37">
      <c r="AK1477" s="979">
        <f t="shared" si="37"/>
        <v>0</v>
      </c>
    </row>
    <row r="1478" spans="37:37">
      <c r="AK1478" s="979">
        <f t="shared" si="37"/>
        <v>0</v>
      </c>
    </row>
    <row r="1479" spans="37:37">
      <c r="AK1479" s="979">
        <f t="shared" si="37"/>
        <v>0</v>
      </c>
    </row>
    <row r="1480" spans="37:37">
      <c r="AK1480" s="979">
        <f t="shared" si="37"/>
        <v>0</v>
      </c>
    </row>
    <row r="1481" spans="37:37">
      <c r="AK1481" s="979">
        <f t="shared" si="37"/>
        <v>0</v>
      </c>
    </row>
    <row r="1482" spans="37:37">
      <c r="AK1482" s="979">
        <f t="shared" si="37"/>
        <v>0</v>
      </c>
    </row>
    <row r="1483" spans="37:37">
      <c r="AK1483" s="979">
        <f t="shared" si="37"/>
        <v>0</v>
      </c>
    </row>
    <row r="1484" spans="37:37">
      <c r="AK1484" s="979">
        <f t="shared" si="37"/>
        <v>0</v>
      </c>
    </row>
    <row r="1485" spans="37:37">
      <c r="AK1485" s="979">
        <f t="shared" si="37"/>
        <v>0</v>
      </c>
    </row>
    <row r="1486" spans="37:37">
      <c r="AK1486" s="979">
        <f t="shared" si="37"/>
        <v>0</v>
      </c>
    </row>
    <row r="1487" spans="37:37">
      <c r="AK1487" s="979">
        <f t="shared" si="37"/>
        <v>0</v>
      </c>
    </row>
    <row r="1488" spans="37:37">
      <c r="AK1488" s="979">
        <f t="shared" si="37"/>
        <v>0</v>
      </c>
    </row>
    <row r="1489" spans="37:37">
      <c r="AK1489" s="979">
        <f t="shared" si="37"/>
        <v>0</v>
      </c>
    </row>
    <row r="1490" spans="37:37">
      <c r="AK1490" s="979">
        <f t="shared" si="37"/>
        <v>0</v>
      </c>
    </row>
    <row r="1491" spans="37:37">
      <c r="AK1491" s="979">
        <f t="shared" si="37"/>
        <v>0</v>
      </c>
    </row>
    <row r="1492" spans="37:37">
      <c r="AK1492" s="979">
        <f t="shared" si="37"/>
        <v>0</v>
      </c>
    </row>
    <row r="1493" spans="37:37">
      <c r="AK1493" s="979">
        <f t="shared" si="37"/>
        <v>0</v>
      </c>
    </row>
    <row r="1494" spans="37:37">
      <c r="AK1494" s="979">
        <f t="shared" si="37"/>
        <v>0</v>
      </c>
    </row>
    <row r="1495" spans="37:37">
      <c r="AK1495" s="979">
        <f t="shared" si="37"/>
        <v>0</v>
      </c>
    </row>
    <row r="1496" spans="37:37">
      <c r="AK1496" s="979">
        <f t="shared" ref="AK1496:AK1559" si="38">SUM(O1496:AJ1496)</f>
        <v>0</v>
      </c>
    </row>
    <row r="1497" spans="37:37">
      <c r="AK1497" s="979">
        <f t="shared" si="38"/>
        <v>0</v>
      </c>
    </row>
    <row r="1498" spans="37:37">
      <c r="AK1498" s="979">
        <f t="shared" si="38"/>
        <v>0</v>
      </c>
    </row>
    <row r="1499" spans="37:37">
      <c r="AK1499" s="979">
        <f t="shared" si="38"/>
        <v>0</v>
      </c>
    </row>
    <row r="1500" spans="37:37">
      <c r="AK1500" s="979">
        <f t="shared" si="38"/>
        <v>0</v>
      </c>
    </row>
    <row r="1501" spans="37:37">
      <c r="AK1501" s="979">
        <f t="shared" si="38"/>
        <v>0</v>
      </c>
    </row>
    <row r="1502" spans="37:37">
      <c r="AK1502" s="979">
        <f t="shared" si="38"/>
        <v>0</v>
      </c>
    </row>
    <row r="1503" spans="37:37">
      <c r="AK1503" s="979">
        <f t="shared" si="38"/>
        <v>0</v>
      </c>
    </row>
    <row r="1504" spans="37:37">
      <c r="AK1504" s="979">
        <f t="shared" si="38"/>
        <v>0</v>
      </c>
    </row>
    <row r="1505" spans="37:37">
      <c r="AK1505" s="979">
        <f t="shared" si="38"/>
        <v>0</v>
      </c>
    </row>
    <row r="1506" spans="37:37">
      <c r="AK1506" s="979">
        <f t="shared" si="38"/>
        <v>0</v>
      </c>
    </row>
    <row r="1507" spans="37:37">
      <c r="AK1507" s="979">
        <f t="shared" si="38"/>
        <v>0</v>
      </c>
    </row>
    <row r="1508" spans="37:37">
      <c r="AK1508" s="979">
        <f t="shared" si="38"/>
        <v>0</v>
      </c>
    </row>
    <row r="1509" spans="37:37">
      <c r="AK1509" s="979">
        <f t="shared" si="38"/>
        <v>0</v>
      </c>
    </row>
    <row r="1510" spans="37:37">
      <c r="AK1510" s="979">
        <f t="shared" si="38"/>
        <v>0</v>
      </c>
    </row>
    <row r="1511" spans="37:37">
      <c r="AK1511" s="979">
        <f t="shared" si="38"/>
        <v>0</v>
      </c>
    </row>
    <row r="1512" spans="37:37">
      <c r="AK1512" s="979">
        <f t="shared" si="38"/>
        <v>0</v>
      </c>
    </row>
    <row r="1513" spans="37:37">
      <c r="AK1513" s="979">
        <f t="shared" si="38"/>
        <v>0</v>
      </c>
    </row>
    <row r="1514" spans="37:37">
      <c r="AK1514" s="979">
        <f t="shared" si="38"/>
        <v>0</v>
      </c>
    </row>
    <row r="1515" spans="37:37">
      <c r="AK1515" s="979">
        <f t="shared" si="38"/>
        <v>0</v>
      </c>
    </row>
    <row r="1516" spans="37:37">
      <c r="AK1516" s="979">
        <f t="shared" si="38"/>
        <v>0</v>
      </c>
    </row>
    <row r="1517" spans="37:37">
      <c r="AK1517" s="979">
        <f t="shared" si="38"/>
        <v>0</v>
      </c>
    </row>
    <row r="1518" spans="37:37">
      <c r="AK1518" s="979">
        <f t="shared" si="38"/>
        <v>0</v>
      </c>
    </row>
    <row r="1519" spans="37:37">
      <c r="AK1519" s="979">
        <f t="shared" si="38"/>
        <v>0</v>
      </c>
    </row>
    <row r="1520" spans="37:37">
      <c r="AK1520" s="979">
        <f t="shared" si="38"/>
        <v>0</v>
      </c>
    </row>
    <row r="1521" spans="37:37">
      <c r="AK1521" s="979">
        <f t="shared" si="38"/>
        <v>0</v>
      </c>
    </row>
    <row r="1522" spans="37:37">
      <c r="AK1522" s="979">
        <f t="shared" si="38"/>
        <v>0</v>
      </c>
    </row>
    <row r="1523" spans="37:37">
      <c r="AK1523" s="979">
        <f t="shared" si="38"/>
        <v>0</v>
      </c>
    </row>
    <row r="1524" spans="37:37">
      <c r="AK1524" s="979">
        <f t="shared" si="38"/>
        <v>0</v>
      </c>
    </row>
    <row r="1525" spans="37:37">
      <c r="AK1525" s="979">
        <f t="shared" si="38"/>
        <v>0</v>
      </c>
    </row>
    <row r="1526" spans="37:37">
      <c r="AK1526" s="979">
        <f t="shared" si="38"/>
        <v>0</v>
      </c>
    </row>
    <row r="1527" spans="37:37">
      <c r="AK1527" s="979">
        <f t="shared" si="38"/>
        <v>0</v>
      </c>
    </row>
    <row r="1528" spans="37:37">
      <c r="AK1528" s="979">
        <f t="shared" si="38"/>
        <v>0</v>
      </c>
    </row>
    <row r="1529" spans="37:37">
      <c r="AK1529" s="979">
        <f t="shared" si="38"/>
        <v>0</v>
      </c>
    </row>
    <row r="1530" spans="37:37">
      <c r="AK1530" s="979">
        <f t="shared" si="38"/>
        <v>0</v>
      </c>
    </row>
    <row r="1531" spans="37:37">
      <c r="AK1531" s="979">
        <f t="shared" si="38"/>
        <v>0</v>
      </c>
    </row>
    <row r="1532" spans="37:37">
      <c r="AK1532" s="979">
        <f t="shared" si="38"/>
        <v>0</v>
      </c>
    </row>
    <row r="1533" spans="37:37">
      <c r="AK1533" s="979">
        <f t="shared" si="38"/>
        <v>0</v>
      </c>
    </row>
    <row r="1534" spans="37:37">
      <c r="AK1534" s="979">
        <f t="shared" si="38"/>
        <v>0</v>
      </c>
    </row>
    <row r="1535" spans="37:37">
      <c r="AK1535" s="979">
        <f t="shared" si="38"/>
        <v>0</v>
      </c>
    </row>
    <row r="1536" spans="37:37">
      <c r="AK1536" s="979">
        <f t="shared" si="38"/>
        <v>0</v>
      </c>
    </row>
    <row r="1537" spans="37:37">
      <c r="AK1537" s="979">
        <f t="shared" si="38"/>
        <v>0</v>
      </c>
    </row>
    <row r="1538" spans="37:37">
      <c r="AK1538" s="979">
        <f t="shared" si="38"/>
        <v>0</v>
      </c>
    </row>
    <row r="1539" spans="37:37">
      <c r="AK1539" s="979">
        <f t="shared" si="38"/>
        <v>0</v>
      </c>
    </row>
    <row r="1540" spans="37:37">
      <c r="AK1540" s="979">
        <f t="shared" si="38"/>
        <v>0</v>
      </c>
    </row>
    <row r="1541" spans="37:37">
      <c r="AK1541" s="979">
        <f t="shared" si="38"/>
        <v>0</v>
      </c>
    </row>
    <row r="1542" spans="37:37">
      <c r="AK1542" s="979">
        <f t="shared" si="38"/>
        <v>0</v>
      </c>
    </row>
    <row r="1543" spans="37:37">
      <c r="AK1543" s="979">
        <f t="shared" si="38"/>
        <v>0</v>
      </c>
    </row>
    <row r="1544" spans="37:37">
      <c r="AK1544" s="979">
        <f t="shared" si="38"/>
        <v>0</v>
      </c>
    </row>
    <row r="1545" spans="37:37">
      <c r="AK1545" s="979">
        <f t="shared" si="38"/>
        <v>0</v>
      </c>
    </row>
    <row r="1546" spans="37:37">
      <c r="AK1546" s="979">
        <f t="shared" si="38"/>
        <v>0</v>
      </c>
    </row>
    <row r="1547" spans="37:37">
      <c r="AK1547" s="979">
        <f t="shared" si="38"/>
        <v>0</v>
      </c>
    </row>
    <row r="1548" spans="37:37">
      <c r="AK1548" s="979">
        <f t="shared" si="38"/>
        <v>0</v>
      </c>
    </row>
    <row r="1549" spans="37:37">
      <c r="AK1549" s="979">
        <f t="shared" si="38"/>
        <v>0</v>
      </c>
    </row>
    <row r="1550" spans="37:37">
      <c r="AK1550" s="979">
        <f t="shared" si="38"/>
        <v>0</v>
      </c>
    </row>
    <row r="1551" spans="37:37">
      <c r="AK1551" s="979">
        <f t="shared" si="38"/>
        <v>0</v>
      </c>
    </row>
    <row r="1552" spans="37:37">
      <c r="AK1552" s="979">
        <f t="shared" si="38"/>
        <v>0</v>
      </c>
    </row>
    <row r="1553" spans="37:37">
      <c r="AK1553" s="979">
        <f t="shared" si="38"/>
        <v>0</v>
      </c>
    </row>
    <row r="1554" spans="37:37">
      <c r="AK1554" s="979">
        <f t="shared" si="38"/>
        <v>0</v>
      </c>
    </row>
    <row r="1555" spans="37:37">
      <c r="AK1555" s="979">
        <f t="shared" si="38"/>
        <v>0</v>
      </c>
    </row>
    <row r="1556" spans="37:37">
      <c r="AK1556" s="979">
        <f t="shared" si="38"/>
        <v>0</v>
      </c>
    </row>
    <row r="1557" spans="37:37">
      <c r="AK1557" s="979">
        <f t="shared" si="38"/>
        <v>0</v>
      </c>
    </row>
    <row r="1558" spans="37:37">
      <c r="AK1558" s="979">
        <f t="shared" si="38"/>
        <v>0</v>
      </c>
    </row>
    <row r="1559" spans="37:37">
      <c r="AK1559" s="979">
        <f t="shared" si="38"/>
        <v>0</v>
      </c>
    </row>
    <row r="1560" spans="37:37">
      <c r="AK1560" s="979">
        <f t="shared" ref="AK1560:AK1623" si="39">SUM(O1560:AJ1560)</f>
        <v>0</v>
      </c>
    </row>
    <row r="1561" spans="37:37">
      <c r="AK1561" s="979">
        <f t="shared" si="39"/>
        <v>0</v>
      </c>
    </row>
    <row r="1562" spans="37:37">
      <c r="AK1562" s="979">
        <f t="shared" si="39"/>
        <v>0</v>
      </c>
    </row>
    <row r="1563" spans="37:37">
      <c r="AK1563" s="979">
        <f t="shared" si="39"/>
        <v>0</v>
      </c>
    </row>
    <row r="1564" spans="37:37">
      <c r="AK1564" s="979">
        <f t="shared" si="39"/>
        <v>0</v>
      </c>
    </row>
    <row r="1565" spans="37:37">
      <c r="AK1565" s="979">
        <f t="shared" si="39"/>
        <v>0</v>
      </c>
    </row>
    <row r="1566" spans="37:37">
      <c r="AK1566" s="979">
        <f t="shared" si="39"/>
        <v>0</v>
      </c>
    </row>
    <row r="1567" spans="37:37">
      <c r="AK1567" s="979">
        <f t="shared" si="39"/>
        <v>0</v>
      </c>
    </row>
    <row r="1568" spans="37:37">
      <c r="AK1568" s="979">
        <f t="shared" si="39"/>
        <v>0</v>
      </c>
    </row>
    <row r="1569" spans="37:37">
      <c r="AK1569" s="979">
        <f t="shared" si="39"/>
        <v>0</v>
      </c>
    </row>
    <row r="1570" spans="37:37">
      <c r="AK1570" s="979">
        <f t="shared" si="39"/>
        <v>0</v>
      </c>
    </row>
    <row r="1571" spans="37:37">
      <c r="AK1571" s="979">
        <f t="shared" si="39"/>
        <v>0</v>
      </c>
    </row>
    <row r="1572" spans="37:37">
      <c r="AK1572" s="979">
        <f t="shared" si="39"/>
        <v>0</v>
      </c>
    </row>
    <row r="1573" spans="37:37">
      <c r="AK1573" s="979">
        <f t="shared" si="39"/>
        <v>0</v>
      </c>
    </row>
    <row r="1574" spans="37:37">
      <c r="AK1574" s="979">
        <f t="shared" si="39"/>
        <v>0</v>
      </c>
    </row>
    <row r="1575" spans="37:37">
      <c r="AK1575" s="979">
        <f t="shared" si="39"/>
        <v>0</v>
      </c>
    </row>
    <row r="1576" spans="37:37">
      <c r="AK1576" s="979">
        <f t="shared" si="39"/>
        <v>0</v>
      </c>
    </row>
    <row r="1577" spans="37:37">
      <c r="AK1577" s="979">
        <f t="shared" si="39"/>
        <v>0</v>
      </c>
    </row>
    <row r="1578" spans="37:37">
      <c r="AK1578" s="979">
        <f t="shared" si="39"/>
        <v>0</v>
      </c>
    </row>
    <row r="1579" spans="37:37">
      <c r="AK1579" s="979">
        <f t="shared" si="39"/>
        <v>0</v>
      </c>
    </row>
    <row r="1580" spans="37:37">
      <c r="AK1580" s="979">
        <f t="shared" si="39"/>
        <v>0</v>
      </c>
    </row>
    <row r="1581" spans="37:37">
      <c r="AK1581" s="979">
        <f t="shared" si="39"/>
        <v>0</v>
      </c>
    </row>
    <row r="1582" spans="37:37">
      <c r="AK1582" s="979">
        <f t="shared" si="39"/>
        <v>0</v>
      </c>
    </row>
    <row r="1583" spans="37:37">
      <c r="AK1583" s="979">
        <f t="shared" si="39"/>
        <v>0</v>
      </c>
    </row>
    <row r="1584" spans="37:37">
      <c r="AK1584" s="979">
        <f t="shared" si="39"/>
        <v>0</v>
      </c>
    </row>
    <row r="1585" spans="37:37">
      <c r="AK1585" s="979">
        <f t="shared" si="39"/>
        <v>0</v>
      </c>
    </row>
    <row r="1586" spans="37:37">
      <c r="AK1586" s="979">
        <f t="shared" si="39"/>
        <v>0</v>
      </c>
    </row>
    <row r="1587" spans="37:37">
      <c r="AK1587" s="979">
        <f t="shared" si="39"/>
        <v>0</v>
      </c>
    </row>
    <row r="1588" spans="37:37">
      <c r="AK1588" s="979">
        <f t="shared" si="39"/>
        <v>0</v>
      </c>
    </row>
    <row r="1589" spans="37:37">
      <c r="AK1589" s="979">
        <f t="shared" si="39"/>
        <v>0</v>
      </c>
    </row>
    <row r="1590" spans="37:37">
      <c r="AK1590" s="979">
        <f t="shared" si="39"/>
        <v>0</v>
      </c>
    </row>
    <row r="1591" spans="37:37">
      <c r="AK1591" s="979">
        <f t="shared" si="39"/>
        <v>0</v>
      </c>
    </row>
    <row r="1592" spans="37:37">
      <c r="AK1592" s="979">
        <f t="shared" si="39"/>
        <v>0</v>
      </c>
    </row>
    <row r="1593" spans="37:37">
      <c r="AK1593" s="979">
        <f t="shared" si="39"/>
        <v>0</v>
      </c>
    </row>
    <row r="1594" spans="37:37">
      <c r="AK1594" s="979">
        <f t="shared" si="39"/>
        <v>0</v>
      </c>
    </row>
    <row r="1595" spans="37:37">
      <c r="AK1595" s="979">
        <f t="shared" si="39"/>
        <v>0</v>
      </c>
    </row>
    <row r="1596" spans="37:37">
      <c r="AK1596" s="979">
        <f t="shared" si="39"/>
        <v>0</v>
      </c>
    </row>
    <row r="1597" spans="37:37">
      <c r="AK1597" s="979">
        <f t="shared" si="39"/>
        <v>0</v>
      </c>
    </row>
    <row r="1598" spans="37:37">
      <c r="AK1598" s="979">
        <f t="shared" si="39"/>
        <v>0</v>
      </c>
    </row>
    <row r="1599" spans="37:37">
      <c r="AK1599" s="979">
        <f t="shared" si="39"/>
        <v>0</v>
      </c>
    </row>
    <row r="1600" spans="37:37">
      <c r="AK1600" s="979">
        <f t="shared" si="39"/>
        <v>0</v>
      </c>
    </row>
    <row r="1601" spans="37:37">
      <c r="AK1601" s="979">
        <f t="shared" si="39"/>
        <v>0</v>
      </c>
    </row>
    <row r="1602" spans="37:37">
      <c r="AK1602" s="979">
        <f t="shared" si="39"/>
        <v>0</v>
      </c>
    </row>
    <row r="1603" spans="37:37">
      <c r="AK1603" s="979">
        <f t="shared" si="39"/>
        <v>0</v>
      </c>
    </row>
    <row r="1604" spans="37:37">
      <c r="AK1604" s="979">
        <f t="shared" si="39"/>
        <v>0</v>
      </c>
    </row>
    <row r="1605" spans="37:37">
      <c r="AK1605" s="979">
        <f t="shared" si="39"/>
        <v>0</v>
      </c>
    </row>
    <row r="1606" spans="37:37">
      <c r="AK1606" s="979">
        <f t="shared" si="39"/>
        <v>0</v>
      </c>
    </row>
    <row r="1607" spans="37:37">
      <c r="AK1607" s="979">
        <f t="shared" si="39"/>
        <v>0</v>
      </c>
    </row>
    <row r="1608" spans="37:37">
      <c r="AK1608" s="979">
        <f t="shared" si="39"/>
        <v>0</v>
      </c>
    </row>
    <row r="1609" spans="37:37">
      <c r="AK1609" s="979">
        <f t="shared" si="39"/>
        <v>0</v>
      </c>
    </row>
    <row r="1610" spans="37:37">
      <c r="AK1610" s="979">
        <f t="shared" si="39"/>
        <v>0</v>
      </c>
    </row>
    <row r="1611" spans="37:37">
      <c r="AK1611" s="979">
        <f t="shared" si="39"/>
        <v>0</v>
      </c>
    </row>
    <row r="1612" spans="37:37">
      <c r="AK1612" s="979">
        <f t="shared" si="39"/>
        <v>0</v>
      </c>
    </row>
    <row r="1613" spans="37:37">
      <c r="AK1613" s="979">
        <f t="shared" si="39"/>
        <v>0</v>
      </c>
    </row>
    <row r="1614" spans="37:37">
      <c r="AK1614" s="979">
        <f t="shared" si="39"/>
        <v>0</v>
      </c>
    </row>
    <row r="1615" spans="37:37">
      <c r="AK1615" s="979">
        <f t="shared" si="39"/>
        <v>0</v>
      </c>
    </row>
    <row r="1616" spans="37:37">
      <c r="AK1616" s="979">
        <f t="shared" si="39"/>
        <v>0</v>
      </c>
    </row>
    <row r="1617" spans="37:37">
      <c r="AK1617" s="979">
        <f t="shared" si="39"/>
        <v>0</v>
      </c>
    </row>
    <row r="1618" spans="37:37">
      <c r="AK1618" s="979">
        <f t="shared" si="39"/>
        <v>0</v>
      </c>
    </row>
    <row r="1619" spans="37:37">
      <c r="AK1619" s="979">
        <f t="shared" si="39"/>
        <v>0</v>
      </c>
    </row>
    <row r="1620" spans="37:37">
      <c r="AK1620" s="979">
        <f t="shared" si="39"/>
        <v>0</v>
      </c>
    </row>
    <row r="1621" spans="37:37">
      <c r="AK1621" s="979">
        <f t="shared" si="39"/>
        <v>0</v>
      </c>
    </row>
    <row r="1622" spans="37:37">
      <c r="AK1622" s="979">
        <f t="shared" si="39"/>
        <v>0</v>
      </c>
    </row>
    <row r="1623" spans="37:37">
      <c r="AK1623" s="979">
        <f t="shared" si="39"/>
        <v>0</v>
      </c>
    </row>
    <row r="1624" spans="37:37">
      <c r="AK1624" s="979">
        <f t="shared" ref="AK1624:AK1687" si="40">SUM(O1624:AJ1624)</f>
        <v>0</v>
      </c>
    </row>
    <row r="1625" spans="37:37">
      <c r="AK1625" s="979">
        <f t="shared" si="40"/>
        <v>0</v>
      </c>
    </row>
    <row r="1626" spans="37:37">
      <c r="AK1626" s="979">
        <f t="shared" si="40"/>
        <v>0</v>
      </c>
    </row>
    <row r="1627" spans="37:37">
      <c r="AK1627" s="979">
        <f t="shared" si="40"/>
        <v>0</v>
      </c>
    </row>
    <row r="1628" spans="37:37">
      <c r="AK1628" s="979">
        <f t="shared" si="40"/>
        <v>0</v>
      </c>
    </row>
    <row r="1629" spans="37:37">
      <c r="AK1629" s="979">
        <f t="shared" si="40"/>
        <v>0</v>
      </c>
    </row>
    <row r="1630" spans="37:37">
      <c r="AK1630" s="979">
        <f t="shared" si="40"/>
        <v>0</v>
      </c>
    </row>
    <row r="1631" spans="37:37">
      <c r="AK1631" s="979">
        <f t="shared" si="40"/>
        <v>0</v>
      </c>
    </row>
    <row r="1632" spans="37:37">
      <c r="AK1632" s="979">
        <f t="shared" si="40"/>
        <v>0</v>
      </c>
    </row>
    <row r="1633" spans="37:37">
      <c r="AK1633" s="979">
        <f t="shared" si="40"/>
        <v>0</v>
      </c>
    </row>
    <row r="1634" spans="37:37">
      <c r="AK1634" s="979">
        <f t="shared" si="40"/>
        <v>0</v>
      </c>
    </row>
    <row r="1635" spans="37:37">
      <c r="AK1635" s="979">
        <f t="shared" si="40"/>
        <v>0</v>
      </c>
    </row>
    <row r="1636" spans="37:37">
      <c r="AK1636" s="979">
        <f t="shared" si="40"/>
        <v>0</v>
      </c>
    </row>
    <row r="1637" spans="37:37">
      <c r="AK1637" s="979">
        <f t="shared" si="40"/>
        <v>0</v>
      </c>
    </row>
    <row r="1638" spans="37:37">
      <c r="AK1638" s="979">
        <f t="shared" si="40"/>
        <v>0</v>
      </c>
    </row>
    <row r="1639" spans="37:37">
      <c r="AK1639" s="979">
        <f t="shared" si="40"/>
        <v>0</v>
      </c>
    </row>
    <row r="1640" spans="37:37">
      <c r="AK1640" s="979">
        <f t="shared" si="40"/>
        <v>0</v>
      </c>
    </row>
    <row r="1641" spans="37:37">
      <c r="AK1641" s="979">
        <f t="shared" si="40"/>
        <v>0</v>
      </c>
    </row>
    <row r="1642" spans="37:37">
      <c r="AK1642" s="979">
        <f t="shared" si="40"/>
        <v>0</v>
      </c>
    </row>
    <row r="1643" spans="37:37">
      <c r="AK1643" s="979">
        <f t="shared" si="40"/>
        <v>0</v>
      </c>
    </row>
    <row r="1644" spans="37:37">
      <c r="AK1644" s="979">
        <f t="shared" si="40"/>
        <v>0</v>
      </c>
    </row>
    <row r="1645" spans="37:37">
      <c r="AK1645" s="979">
        <f t="shared" si="40"/>
        <v>0</v>
      </c>
    </row>
    <row r="1646" spans="37:37">
      <c r="AK1646" s="979">
        <f t="shared" si="40"/>
        <v>0</v>
      </c>
    </row>
    <row r="1647" spans="37:37">
      <c r="AK1647" s="979">
        <f t="shared" si="40"/>
        <v>0</v>
      </c>
    </row>
    <row r="1648" spans="37:37">
      <c r="AK1648" s="979">
        <f t="shared" si="40"/>
        <v>0</v>
      </c>
    </row>
    <row r="1649" spans="37:37">
      <c r="AK1649" s="979">
        <f t="shared" si="40"/>
        <v>0</v>
      </c>
    </row>
    <row r="1650" spans="37:37">
      <c r="AK1650" s="979">
        <f t="shared" si="40"/>
        <v>0</v>
      </c>
    </row>
    <row r="1651" spans="37:37">
      <c r="AK1651" s="979">
        <f t="shared" si="40"/>
        <v>0</v>
      </c>
    </row>
    <row r="1652" spans="37:37">
      <c r="AK1652" s="979">
        <f t="shared" si="40"/>
        <v>0</v>
      </c>
    </row>
    <row r="1653" spans="37:37">
      <c r="AK1653" s="979">
        <f t="shared" si="40"/>
        <v>0</v>
      </c>
    </row>
    <row r="1654" spans="37:37">
      <c r="AK1654" s="979">
        <f t="shared" si="40"/>
        <v>0</v>
      </c>
    </row>
    <row r="1655" spans="37:37">
      <c r="AK1655" s="979">
        <f t="shared" si="40"/>
        <v>0</v>
      </c>
    </row>
    <row r="1656" spans="37:37">
      <c r="AK1656" s="979">
        <f t="shared" si="40"/>
        <v>0</v>
      </c>
    </row>
    <row r="1657" spans="37:37">
      <c r="AK1657" s="979">
        <f t="shared" si="40"/>
        <v>0</v>
      </c>
    </row>
    <row r="1658" spans="37:37">
      <c r="AK1658" s="979">
        <f t="shared" si="40"/>
        <v>0</v>
      </c>
    </row>
    <row r="1659" spans="37:37">
      <c r="AK1659" s="979">
        <f t="shared" si="40"/>
        <v>0</v>
      </c>
    </row>
    <row r="1660" spans="37:37">
      <c r="AK1660" s="979">
        <f t="shared" si="40"/>
        <v>0</v>
      </c>
    </row>
    <row r="1661" spans="37:37">
      <c r="AK1661" s="979">
        <f t="shared" si="40"/>
        <v>0</v>
      </c>
    </row>
    <row r="1662" spans="37:37">
      <c r="AK1662" s="979">
        <f t="shared" si="40"/>
        <v>0</v>
      </c>
    </row>
    <row r="1663" spans="37:37">
      <c r="AK1663" s="979">
        <f t="shared" si="40"/>
        <v>0</v>
      </c>
    </row>
    <row r="1664" spans="37:37">
      <c r="AK1664" s="979">
        <f t="shared" si="40"/>
        <v>0</v>
      </c>
    </row>
    <row r="1665" spans="37:37">
      <c r="AK1665" s="979">
        <f t="shared" si="40"/>
        <v>0</v>
      </c>
    </row>
    <row r="1666" spans="37:37">
      <c r="AK1666" s="979">
        <f t="shared" si="40"/>
        <v>0</v>
      </c>
    </row>
    <row r="1667" spans="37:37">
      <c r="AK1667" s="979">
        <f t="shared" si="40"/>
        <v>0</v>
      </c>
    </row>
    <row r="1668" spans="37:37">
      <c r="AK1668" s="979">
        <f t="shared" si="40"/>
        <v>0</v>
      </c>
    </row>
    <row r="1669" spans="37:37">
      <c r="AK1669" s="979">
        <f t="shared" si="40"/>
        <v>0</v>
      </c>
    </row>
    <row r="1670" spans="37:37">
      <c r="AK1670" s="979">
        <f t="shared" si="40"/>
        <v>0</v>
      </c>
    </row>
    <row r="1671" spans="37:37">
      <c r="AK1671" s="979">
        <f t="shared" si="40"/>
        <v>0</v>
      </c>
    </row>
    <row r="1672" spans="37:37">
      <c r="AK1672" s="979">
        <f t="shared" si="40"/>
        <v>0</v>
      </c>
    </row>
    <row r="1673" spans="37:37">
      <c r="AK1673" s="979">
        <f t="shared" si="40"/>
        <v>0</v>
      </c>
    </row>
    <row r="1674" spans="37:37">
      <c r="AK1674" s="979">
        <f t="shared" si="40"/>
        <v>0</v>
      </c>
    </row>
    <row r="1675" spans="37:37">
      <c r="AK1675" s="979">
        <f t="shared" si="40"/>
        <v>0</v>
      </c>
    </row>
    <row r="1676" spans="37:37">
      <c r="AK1676" s="979">
        <f t="shared" si="40"/>
        <v>0</v>
      </c>
    </row>
    <row r="1677" spans="37:37">
      <c r="AK1677" s="979">
        <f t="shared" si="40"/>
        <v>0</v>
      </c>
    </row>
    <row r="1678" spans="37:37">
      <c r="AK1678" s="979">
        <f t="shared" si="40"/>
        <v>0</v>
      </c>
    </row>
    <row r="1679" spans="37:37">
      <c r="AK1679" s="979">
        <f t="shared" si="40"/>
        <v>0</v>
      </c>
    </row>
    <row r="1680" spans="37:37">
      <c r="AK1680" s="979">
        <f t="shared" si="40"/>
        <v>0</v>
      </c>
    </row>
    <row r="1681" spans="37:37">
      <c r="AK1681" s="979">
        <f t="shared" si="40"/>
        <v>0</v>
      </c>
    </row>
    <row r="1682" spans="37:37">
      <c r="AK1682" s="979">
        <f t="shared" si="40"/>
        <v>0</v>
      </c>
    </row>
    <row r="1683" spans="37:37">
      <c r="AK1683" s="979">
        <f t="shared" si="40"/>
        <v>0</v>
      </c>
    </row>
    <row r="1684" spans="37:37">
      <c r="AK1684" s="979">
        <f t="shared" si="40"/>
        <v>0</v>
      </c>
    </row>
    <row r="1685" spans="37:37">
      <c r="AK1685" s="979">
        <f t="shared" si="40"/>
        <v>0</v>
      </c>
    </row>
    <row r="1686" spans="37:37">
      <c r="AK1686" s="979">
        <f t="shared" si="40"/>
        <v>0</v>
      </c>
    </row>
    <row r="1687" spans="37:37">
      <c r="AK1687" s="979">
        <f t="shared" si="40"/>
        <v>0</v>
      </c>
    </row>
    <row r="1688" spans="37:37">
      <c r="AK1688" s="979">
        <f t="shared" ref="AK1688:AK1751" si="41">SUM(O1688:AJ1688)</f>
        <v>0</v>
      </c>
    </row>
    <row r="1689" spans="37:37">
      <c r="AK1689" s="979">
        <f t="shared" si="41"/>
        <v>0</v>
      </c>
    </row>
    <row r="1690" spans="37:37">
      <c r="AK1690" s="979">
        <f t="shared" si="41"/>
        <v>0</v>
      </c>
    </row>
    <row r="1691" spans="37:37">
      <c r="AK1691" s="979">
        <f t="shared" si="41"/>
        <v>0</v>
      </c>
    </row>
    <row r="1692" spans="37:37">
      <c r="AK1692" s="979">
        <f t="shared" si="41"/>
        <v>0</v>
      </c>
    </row>
    <row r="1693" spans="37:37">
      <c r="AK1693" s="979">
        <f t="shared" si="41"/>
        <v>0</v>
      </c>
    </row>
    <row r="1694" spans="37:37">
      <c r="AK1694" s="979">
        <f t="shared" si="41"/>
        <v>0</v>
      </c>
    </row>
    <row r="1695" spans="37:37">
      <c r="AK1695" s="979">
        <f t="shared" si="41"/>
        <v>0</v>
      </c>
    </row>
    <row r="1696" spans="37:37">
      <c r="AK1696" s="979">
        <f t="shared" si="41"/>
        <v>0</v>
      </c>
    </row>
    <row r="1697" spans="37:37">
      <c r="AK1697" s="979">
        <f t="shared" si="41"/>
        <v>0</v>
      </c>
    </row>
    <row r="1698" spans="37:37">
      <c r="AK1698" s="979">
        <f t="shared" si="41"/>
        <v>0</v>
      </c>
    </row>
    <row r="1699" spans="37:37">
      <c r="AK1699" s="979">
        <f t="shared" si="41"/>
        <v>0</v>
      </c>
    </row>
    <row r="1700" spans="37:37">
      <c r="AK1700" s="979">
        <f t="shared" si="41"/>
        <v>0</v>
      </c>
    </row>
    <row r="1701" spans="37:37">
      <c r="AK1701" s="979">
        <f t="shared" si="41"/>
        <v>0</v>
      </c>
    </row>
    <row r="1702" spans="37:37">
      <c r="AK1702" s="979">
        <f t="shared" si="41"/>
        <v>0</v>
      </c>
    </row>
    <row r="1703" spans="37:37">
      <c r="AK1703" s="979">
        <f t="shared" si="41"/>
        <v>0</v>
      </c>
    </row>
    <row r="1704" spans="37:37">
      <c r="AK1704" s="979">
        <f t="shared" si="41"/>
        <v>0</v>
      </c>
    </row>
    <row r="1705" spans="37:37">
      <c r="AK1705" s="979">
        <f t="shared" si="41"/>
        <v>0</v>
      </c>
    </row>
    <row r="1706" spans="37:37">
      <c r="AK1706" s="979">
        <f t="shared" si="41"/>
        <v>0</v>
      </c>
    </row>
    <row r="1707" spans="37:37">
      <c r="AK1707" s="979">
        <f t="shared" si="41"/>
        <v>0</v>
      </c>
    </row>
    <row r="1708" spans="37:37">
      <c r="AK1708" s="979">
        <f t="shared" si="41"/>
        <v>0</v>
      </c>
    </row>
    <row r="1709" spans="37:37">
      <c r="AK1709" s="979">
        <f t="shared" si="41"/>
        <v>0</v>
      </c>
    </row>
    <row r="1710" spans="37:37">
      <c r="AK1710" s="979">
        <f t="shared" si="41"/>
        <v>0</v>
      </c>
    </row>
    <row r="1711" spans="37:37">
      <c r="AK1711" s="979">
        <f t="shared" si="41"/>
        <v>0</v>
      </c>
    </row>
    <row r="1712" spans="37:37">
      <c r="AK1712" s="979">
        <f t="shared" si="41"/>
        <v>0</v>
      </c>
    </row>
    <row r="1713" spans="37:37">
      <c r="AK1713" s="979">
        <f t="shared" si="41"/>
        <v>0</v>
      </c>
    </row>
    <row r="1714" spans="37:37">
      <c r="AK1714" s="979">
        <f t="shared" si="41"/>
        <v>0</v>
      </c>
    </row>
    <row r="1715" spans="37:37">
      <c r="AK1715" s="979">
        <f t="shared" si="41"/>
        <v>0</v>
      </c>
    </row>
    <row r="1716" spans="37:37">
      <c r="AK1716" s="979">
        <f t="shared" si="41"/>
        <v>0</v>
      </c>
    </row>
    <row r="1717" spans="37:37">
      <c r="AK1717" s="979">
        <f t="shared" si="41"/>
        <v>0</v>
      </c>
    </row>
    <row r="1718" spans="37:37">
      <c r="AK1718" s="979">
        <f t="shared" si="41"/>
        <v>0</v>
      </c>
    </row>
    <row r="1719" spans="37:37">
      <c r="AK1719" s="979">
        <f t="shared" si="41"/>
        <v>0</v>
      </c>
    </row>
    <row r="1720" spans="37:37">
      <c r="AK1720" s="979">
        <f t="shared" si="41"/>
        <v>0</v>
      </c>
    </row>
    <row r="1721" spans="37:37">
      <c r="AK1721" s="979">
        <f t="shared" si="41"/>
        <v>0</v>
      </c>
    </row>
    <row r="1722" spans="37:37">
      <c r="AK1722" s="979">
        <f t="shared" si="41"/>
        <v>0</v>
      </c>
    </row>
    <row r="1723" spans="37:37">
      <c r="AK1723" s="979">
        <f t="shared" si="41"/>
        <v>0</v>
      </c>
    </row>
    <row r="1724" spans="37:37">
      <c r="AK1724" s="979">
        <f t="shared" si="41"/>
        <v>0</v>
      </c>
    </row>
    <row r="1725" spans="37:37">
      <c r="AK1725" s="979">
        <f t="shared" si="41"/>
        <v>0</v>
      </c>
    </row>
    <row r="1726" spans="37:37">
      <c r="AK1726" s="979">
        <f t="shared" si="41"/>
        <v>0</v>
      </c>
    </row>
    <row r="1727" spans="37:37">
      <c r="AK1727" s="979">
        <f t="shared" si="41"/>
        <v>0</v>
      </c>
    </row>
    <row r="1728" spans="37:37">
      <c r="AK1728" s="979">
        <f t="shared" si="41"/>
        <v>0</v>
      </c>
    </row>
    <row r="1729" spans="37:37">
      <c r="AK1729" s="979">
        <f t="shared" si="41"/>
        <v>0</v>
      </c>
    </row>
    <row r="1730" spans="37:37">
      <c r="AK1730" s="979">
        <f t="shared" si="41"/>
        <v>0</v>
      </c>
    </row>
    <row r="1731" spans="37:37">
      <c r="AK1731" s="979">
        <f t="shared" si="41"/>
        <v>0</v>
      </c>
    </row>
    <row r="1732" spans="37:37">
      <c r="AK1732" s="979">
        <f t="shared" si="41"/>
        <v>0</v>
      </c>
    </row>
    <row r="1733" spans="37:37">
      <c r="AK1733" s="979">
        <f t="shared" si="41"/>
        <v>0</v>
      </c>
    </row>
    <row r="1734" spans="37:37">
      <c r="AK1734" s="979">
        <f t="shared" si="41"/>
        <v>0</v>
      </c>
    </row>
    <row r="1735" spans="37:37">
      <c r="AK1735" s="979">
        <f t="shared" si="41"/>
        <v>0</v>
      </c>
    </row>
    <row r="1736" spans="37:37">
      <c r="AK1736" s="979">
        <f t="shared" si="41"/>
        <v>0</v>
      </c>
    </row>
    <row r="1737" spans="37:37">
      <c r="AK1737" s="979">
        <f t="shared" si="41"/>
        <v>0</v>
      </c>
    </row>
    <row r="1738" spans="37:37">
      <c r="AK1738" s="979">
        <f t="shared" si="41"/>
        <v>0</v>
      </c>
    </row>
    <row r="1739" spans="37:37">
      <c r="AK1739" s="979">
        <f t="shared" si="41"/>
        <v>0</v>
      </c>
    </row>
    <row r="1740" spans="37:37">
      <c r="AK1740" s="979">
        <f t="shared" si="41"/>
        <v>0</v>
      </c>
    </row>
    <row r="1741" spans="37:37">
      <c r="AK1741" s="979">
        <f t="shared" si="41"/>
        <v>0</v>
      </c>
    </row>
    <row r="1742" spans="37:37">
      <c r="AK1742" s="979">
        <f t="shared" si="41"/>
        <v>0</v>
      </c>
    </row>
    <row r="1743" spans="37:37">
      <c r="AK1743" s="979">
        <f t="shared" si="41"/>
        <v>0</v>
      </c>
    </row>
    <row r="1744" spans="37:37">
      <c r="AK1744" s="979">
        <f t="shared" si="41"/>
        <v>0</v>
      </c>
    </row>
    <row r="1745" spans="37:37">
      <c r="AK1745" s="979">
        <f t="shared" si="41"/>
        <v>0</v>
      </c>
    </row>
    <row r="1746" spans="37:37">
      <c r="AK1746" s="979">
        <f t="shared" si="41"/>
        <v>0</v>
      </c>
    </row>
    <row r="1747" spans="37:37">
      <c r="AK1747" s="979">
        <f t="shared" si="41"/>
        <v>0</v>
      </c>
    </row>
    <row r="1748" spans="37:37">
      <c r="AK1748" s="979">
        <f t="shared" si="41"/>
        <v>0</v>
      </c>
    </row>
    <row r="1749" spans="37:37">
      <c r="AK1749" s="979">
        <f t="shared" si="41"/>
        <v>0</v>
      </c>
    </row>
    <row r="1750" spans="37:37">
      <c r="AK1750" s="979">
        <f t="shared" si="41"/>
        <v>0</v>
      </c>
    </row>
    <row r="1751" spans="37:37">
      <c r="AK1751" s="979">
        <f t="shared" si="41"/>
        <v>0</v>
      </c>
    </row>
    <row r="1752" spans="37:37">
      <c r="AK1752" s="979">
        <f t="shared" ref="AK1752:AK1815" si="42">SUM(O1752:AJ1752)</f>
        <v>0</v>
      </c>
    </row>
    <row r="1753" spans="37:37">
      <c r="AK1753" s="979">
        <f t="shared" si="42"/>
        <v>0</v>
      </c>
    </row>
    <row r="1754" spans="37:37">
      <c r="AK1754" s="979">
        <f t="shared" si="42"/>
        <v>0</v>
      </c>
    </row>
    <row r="1755" spans="37:37">
      <c r="AK1755" s="979">
        <f t="shared" si="42"/>
        <v>0</v>
      </c>
    </row>
    <row r="1756" spans="37:37">
      <c r="AK1756" s="979">
        <f t="shared" si="42"/>
        <v>0</v>
      </c>
    </row>
    <row r="1757" spans="37:37">
      <c r="AK1757" s="979">
        <f t="shared" si="42"/>
        <v>0</v>
      </c>
    </row>
    <row r="1758" spans="37:37">
      <c r="AK1758" s="979">
        <f t="shared" si="42"/>
        <v>0</v>
      </c>
    </row>
    <row r="1759" spans="37:37">
      <c r="AK1759" s="979">
        <f t="shared" si="42"/>
        <v>0</v>
      </c>
    </row>
    <row r="1760" spans="37:37">
      <c r="AK1760" s="979">
        <f t="shared" si="42"/>
        <v>0</v>
      </c>
    </row>
    <row r="1761" spans="37:37">
      <c r="AK1761" s="979">
        <f t="shared" si="42"/>
        <v>0</v>
      </c>
    </row>
    <row r="1762" spans="37:37">
      <c r="AK1762" s="979">
        <f t="shared" si="42"/>
        <v>0</v>
      </c>
    </row>
    <row r="1763" spans="37:37">
      <c r="AK1763" s="979">
        <f t="shared" si="42"/>
        <v>0</v>
      </c>
    </row>
    <row r="1764" spans="37:37">
      <c r="AK1764" s="979">
        <f t="shared" si="42"/>
        <v>0</v>
      </c>
    </row>
    <row r="1765" spans="37:37">
      <c r="AK1765" s="979">
        <f t="shared" si="42"/>
        <v>0</v>
      </c>
    </row>
    <row r="1766" spans="37:37">
      <c r="AK1766" s="979">
        <f t="shared" si="42"/>
        <v>0</v>
      </c>
    </row>
    <row r="1767" spans="37:37">
      <c r="AK1767" s="979">
        <f t="shared" si="42"/>
        <v>0</v>
      </c>
    </row>
    <row r="1768" spans="37:37">
      <c r="AK1768" s="979">
        <f t="shared" si="42"/>
        <v>0</v>
      </c>
    </row>
    <row r="1769" spans="37:37">
      <c r="AK1769" s="979">
        <f t="shared" si="42"/>
        <v>0</v>
      </c>
    </row>
    <row r="1770" spans="37:37">
      <c r="AK1770" s="979">
        <f t="shared" si="42"/>
        <v>0</v>
      </c>
    </row>
    <row r="1771" spans="37:37">
      <c r="AK1771" s="979">
        <f t="shared" si="42"/>
        <v>0</v>
      </c>
    </row>
    <row r="1772" spans="37:37">
      <c r="AK1772" s="979">
        <f t="shared" si="42"/>
        <v>0</v>
      </c>
    </row>
    <row r="1773" spans="37:37">
      <c r="AK1773" s="979">
        <f t="shared" si="42"/>
        <v>0</v>
      </c>
    </row>
    <row r="1774" spans="37:37">
      <c r="AK1774" s="979">
        <f t="shared" si="42"/>
        <v>0</v>
      </c>
    </row>
    <row r="1775" spans="37:37">
      <c r="AK1775" s="979">
        <f t="shared" si="42"/>
        <v>0</v>
      </c>
    </row>
    <row r="1776" spans="37:37">
      <c r="AK1776" s="979">
        <f t="shared" si="42"/>
        <v>0</v>
      </c>
    </row>
    <row r="1777" spans="37:37">
      <c r="AK1777" s="979">
        <f t="shared" si="42"/>
        <v>0</v>
      </c>
    </row>
    <row r="1778" spans="37:37">
      <c r="AK1778" s="979">
        <f t="shared" si="42"/>
        <v>0</v>
      </c>
    </row>
    <row r="1779" spans="37:37">
      <c r="AK1779" s="979">
        <f t="shared" si="42"/>
        <v>0</v>
      </c>
    </row>
    <row r="1780" spans="37:37">
      <c r="AK1780" s="979">
        <f t="shared" si="42"/>
        <v>0</v>
      </c>
    </row>
    <row r="1781" spans="37:37">
      <c r="AK1781" s="979">
        <f t="shared" si="42"/>
        <v>0</v>
      </c>
    </row>
    <row r="1782" spans="37:37">
      <c r="AK1782" s="979">
        <f t="shared" si="42"/>
        <v>0</v>
      </c>
    </row>
    <row r="1783" spans="37:37">
      <c r="AK1783" s="979">
        <f t="shared" si="42"/>
        <v>0</v>
      </c>
    </row>
    <row r="1784" spans="37:37">
      <c r="AK1784" s="979">
        <f t="shared" si="42"/>
        <v>0</v>
      </c>
    </row>
    <row r="1785" spans="37:37">
      <c r="AK1785" s="979">
        <f t="shared" si="42"/>
        <v>0</v>
      </c>
    </row>
    <row r="1786" spans="37:37">
      <c r="AK1786" s="979">
        <f t="shared" si="42"/>
        <v>0</v>
      </c>
    </row>
    <row r="1787" spans="37:37">
      <c r="AK1787" s="979">
        <f t="shared" si="42"/>
        <v>0</v>
      </c>
    </row>
    <row r="1788" spans="37:37">
      <c r="AK1788" s="979">
        <f t="shared" si="42"/>
        <v>0</v>
      </c>
    </row>
    <row r="1789" spans="37:37">
      <c r="AK1789" s="979">
        <f t="shared" si="42"/>
        <v>0</v>
      </c>
    </row>
    <row r="1790" spans="37:37">
      <c r="AK1790" s="979">
        <f t="shared" si="42"/>
        <v>0</v>
      </c>
    </row>
    <row r="1791" spans="37:37">
      <c r="AK1791" s="979">
        <f t="shared" si="42"/>
        <v>0</v>
      </c>
    </row>
    <row r="1792" spans="37:37">
      <c r="AK1792" s="979">
        <f t="shared" si="42"/>
        <v>0</v>
      </c>
    </row>
    <row r="1793" spans="37:37">
      <c r="AK1793" s="979">
        <f t="shared" si="42"/>
        <v>0</v>
      </c>
    </row>
    <row r="1794" spans="37:37">
      <c r="AK1794" s="979">
        <f t="shared" si="42"/>
        <v>0</v>
      </c>
    </row>
    <row r="1795" spans="37:37">
      <c r="AK1795" s="979">
        <f t="shared" si="42"/>
        <v>0</v>
      </c>
    </row>
    <row r="1796" spans="37:37">
      <c r="AK1796" s="979">
        <f t="shared" si="42"/>
        <v>0</v>
      </c>
    </row>
    <row r="1797" spans="37:37">
      <c r="AK1797" s="979">
        <f t="shared" si="42"/>
        <v>0</v>
      </c>
    </row>
    <row r="1798" spans="37:37">
      <c r="AK1798" s="979">
        <f t="shared" si="42"/>
        <v>0</v>
      </c>
    </row>
    <row r="1799" spans="37:37">
      <c r="AK1799" s="979">
        <f t="shared" si="42"/>
        <v>0</v>
      </c>
    </row>
    <row r="1800" spans="37:37">
      <c r="AK1800" s="979">
        <f t="shared" si="42"/>
        <v>0</v>
      </c>
    </row>
    <row r="1801" spans="37:37">
      <c r="AK1801" s="979">
        <f t="shared" si="42"/>
        <v>0</v>
      </c>
    </row>
    <row r="1802" spans="37:37">
      <c r="AK1802" s="979">
        <f t="shared" si="42"/>
        <v>0</v>
      </c>
    </row>
    <row r="1803" spans="37:37">
      <c r="AK1803" s="979">
        <f t="shared" si="42"/>
        <v>0</v>
      </c>
    </row>
    <row r="1804" spans="37:37">
      <c r="AK1804" s="979">
        <f t="shared" si="42"/>
        <v>0</v>
      </c>
    </row>
    <row r="1805" spans="37:37">
      <c r="AK1805" s="979">
        <f t="shared" si="42"/>
        <v>0</v>
      </c>
    </row>
    <row r="1806" spans="37:37">
      <c r="AK1806" s="979">
        <f t="shared" si="42"/>
        <v>0</v>
      </c>
    </row>
    <row r="1807" spans="37:37">
      <c r="AK1807" s="979">
        <f t="shared" si="42"/>
        <v>0</v>
      </c>
    </row>
    <row r="1808" spans="37:37">
      <c r="AK1808" s="979">
        <f t="shared" si="42"/>
        <v>0</v>
      </c>
    </row>
    <row r="1809" spans="37:37">
      <c r="AK1809" s="979">
        <f t="shared" si="42"/>
        <v>0</v>
      </c>
    </row>
    <row r="1810" spans="37:37">
      <c r="AK1810" s="979">
        <f t="shared" si="42"/>
        <v>0</v>
      </c>
    </row>
    <row r="1811" spans="37:37">
      <c r="AK1811" s="979">
        <f t="shared" si="42"/>
        <v>0</v>
      </c>
    </row>
    <row r="1812" spans="37:37">
      <c r="AK1812" s="979">
        <f t="shared" si="42"/>
        <v>0</v>
      </c>
    </row>
    <row r="1813" spans="37:37">
      <c r="AK1813" s="979">
        <f t="shared" si="42"/>
        <v>0</v>
      </c>
    </row>
    <row r="1814" spans="37:37">
      <c r="AK1814" s="979">
        <f t="shared" si="42"/>
        <v>0</v>
      </c>
    </row>
    <row r="1815" spans="37:37">
      <c r="AK1815" s="979">
        <f t="shared" si="42"/>
        <v>0</v>
      </c>
    </row>
    <row r="1816" spans="37:37">
      <c r="AK1816" s="979">
        <f t="shared" ref="AK1816:AK1879" si="43">SUM(O1816:AJ1816)</f>
        <v>0</v>
      </c>
    </row>
    <row r="1817" spans="37:37">
      <c r="AK1817" s="979">
        <f t="shared" si="43"/>
        <v>0</v>
      </c>
    </row>
    <row r="1818" spans="37:37">
      <c r="AK1818" s="979">
        <f t="shared" si="43"/>
        <v>0</v>
      </c>
    </row>
    <row r="1819" spans="37:37">
      <c r="AK1819" s="979">
        <f t="shared" si="43"/>
        <v>0</v>
      </c>
    </row>
    <row r="1820" spans="37:37">
      <c r="AK1820" s="979">
        <f t="shared" si="43"/>
        <v>0</v>
      </c>
    </row>
    <row r="1821" spans="37:37">
      <c r="AK1821" s="979">
        <f t="shared" si="43"/>
        <v>0</v>
      </c>
    </row>
    <row r="1822" spans="37:37">
      <c r="AK1822" s="979">
        <f t="shared" si="43"/>
        <v>0</v>
      </c>
    </row>
    <row r="1823" spans="37:37">
      <c r="AK1823" s="979">
        <f t="shared" si="43"/>
        <v>0</v>
      </c>
    </row>
    <row r="1824" spans="37:37">
      <c r="AK1824" s="979">
        <f t="shared" si="43"/>
        <v>0</v>
      </c>
    </row>
    <row r="1825" spans="37:37">
      <c r="AK1825" s="979">
        <f t="shared" si="43"/>
        <v>0</v>
      </c>
    </row>
    <row r="1826" spans="37:37">
      <c r="AK1826" s="979">
        <f t="shared" si="43"/>
        <v>0</v>
      </c>
    </row>
    <row r="1827" spans="37:37">
      <c r="AK1827" s="979">
        <f t="shared" si="43"/>
        <v>0</v>
      </c>
    </row>
    <row r="1828" spans="37:37">
      <c r="AK1828" s="979">
        <f t="shared" si="43"/>
        <v>0</v>
      </c>
    </row>
    <row r="1829" spans="37:37">
      <c r="AK1829" s="979">
        <f t="shared" si="43"/>
        <v>0</v>
      </c>
    </row>
    <row r="1830" spans="37:37">
      <c r="AK1830" s="979">
        <f t="shared" si="43"/>
        <v>0</v>
      </c>
    </row>
    <row r="1831" spans="37:37">
      <c r="AK1831" s="979">
        <f t="shared" si="43"/>
        <v>0</v>
      </c>
    </row>
    <row r="1832" spans="37:37">
      <c r="AK1832" s="979">
        <f t="shared" si="43"/>
        <v>0</v>
      </c>
    </row>
    <row r="1833" spans="37:37">
      <c r="AK1833" s="979">
        <f t="shared" si="43"/>
        <v>0</v>
      </c>
    </row>
    <row r="1834" spans="37:37">
      <c r="AK1834" s="979">
        <f t="shared" si="43"/>
        <v>0</v>
      </c>
    </row>
    <row r="1835" spans="37:37">
      <c r="AK1835" s="979">
        <f t="shared" si="43"/>
        <v>0</v>
      </c>
    </row>
    <row r="1836" spans="37:37">
      <c r="AK1836" s="979">
        <f t="shared" si="43"/>
        <v>0</v>
      </c>
    </row>
    <row r="1837" spans="37:37">
      <c r="AK1837" s="979">
        <f t="shared" si="43"/>
        <v>0</v>
      </c>
    </row>
    <row r="1838" spans="37:37">
      <c r="AK1838" s="979">
        <f t="shared" si="43"/>
        <v>0</v>
      </c>
    </row>
    <row r="1839" spans="37:37">
      <c r="AK1839" s="979">
        <f t="shared" si="43"/>
        <v>0</v>
      </c>
    </row>
    <row r="1840" spans="37:37">
      <c r="AK1840" s="979">
        <f t="shared" si="43"/>
        <v>0</v>
      </c>
    </row>
    <row r="1841" spans="37:37">
      <c r="AK1841" s="979">
        <f t="shared" si="43"/>
        <v>0</v>
      </c>
    </row>
    <row r="1842" spans="37:37">
      <c r="AK1842" s="979">
        <f t="shared" si="43"/>
        <v>0</v>
      </c>
    </row>
    <row r="1843" spans="37:37">
      <c r="AK1843" s="979">
        <f t="shared" si="43"/>
        <v>0</v>
      </c>
    </row>
    <row r="1844" spans="37:37">
      <c r="AK1844" s="979">
        <f t="shared" si="43"/>
        <v>0</v>
      </c>
    </row>
    <row r="1845" spans="37:37">
      <c r="AK1845" s="979">
        <f t="shared" si="43"/>
        <v>0</v>
      </c>
    </row>
    <row r="1846" spans="37:37">
      <c r="AK1846" s="979">
        <f t="shared" si="43"/>
        <v>0</v>
      </c>
    </row>
    <row r="1847" spans="37:37">
      <c r="AK1847" s="979">
        <f t="shared" si="43"/>
        <v>0</v>
      </c>
    </row>
    <row r="1848" spans="37:37">
      <c r="AK1848" s="979">
        <f t="shared" si="43"/>
        <v>0</v>
      </c>
    </row>
    <row r="1849" spans="37:37">
      <c r="AK1849" s="979">
        <f t="shared" si="43"/>
        <v>0</v>
      </c>
    </row>
    <row r="1850" spans="37:37">
      <c r="AK1850" s="979">
        <f t="shared" si="43"/>
        <v>0</v>
      </c>
    </row>
    <row r="1851" spans="37:37">
      <c r="AK1851" s="979">
        <f t="shared" si="43"/>
        <v>0</v>
      </c>
    </row>
    <row r="1852" spans="37:37">
      <c r="AK1852" s="979">
        <f t="shared" si="43"/>
        <v>0</v>
      </c>
    </row>
    <row r="1853" spans="37:37">
      <c r="AK1853" s="979">
        <f t="shared" si="43"/>
        <v>0</v>
      </c>
    </row>
    <row r="1854" spans="37:37">
      <c r="AK1854" s="979">
        <f t="shared" si="43"/>
        <v>0</v>
      </c>
    </row>
    <row r="1855" spans="37:37">
      <c r="AK1855" s="979">
        <f t="shared" si="43"/>
        <v>0</v>
      </c>
    </row>
    <row r="1856" spans="37:37">
      <c r="AK1856" s="979">
        <f t="shared" si="43"/>
        <v>0</v>
      </c>
    </row>
    <row r="1857" spans="37:37">
      <c r="AK1857" s="979">
        <f t="shared" si="43"/>
        <v>0</v>
      </c>
    </row>
    <row r="1858" spans="37:37">
      <c r="AK1858" s="979">
        <f t="shared" si="43"/>
        <v>0</v>
      </c>
    </row>
    <row r="1859" spans="37:37">
      <c r="AK1859" s="979">
        <f t="shared" si="43"/>
        <v>0</v>
      </c>
    </row>
    <row r="1860" spans="37:37">
      <c r="AK1860" s="979">
        <f t="shared" si="43"/>
        <v>0</v>
      </c>
    </row>
    <row r="1861" spans="37:37">
      <c r="AK1861" s="979">
        <f t="shared" si="43"/>
        <v>0</v>
      </c>
    </row>
    <row r="1862" spans="37:37">
      <c r="AK1862" s="979">
        <f t="shared" si="43"/>
        <v>0</v>
      </c>
    </row>
    <row r="1863" spans="37:37">
      <c r="AK1863" s="979">
        <f t="shared" si="43"/>
        <v>0</v>
      </c>
    </row>
    <row r="1864" spans="37:37">
      <c r="AK1864" s="979">
        <f t="shared" si="43"/>
        <v>0</v>
      </c>
    </row>
    <row r="1865" spans="37:37">
      <c r="AK1865" s="979">
        <f t="shared" si="43"/>
        <v>0</v>
      </c>
    </row>
    <row r="1866" spans="37:37">
      <c r="AK1866" s="979">
        <f t="shared" si="43"/>
        <v>0</v>
      </c>
    </row>
    <row r="1867" spans="37:37">
      <c r="AK1867" s="979">
        <f t="shared" si="43"/>
        <v>0</v>
      </c>
    </row>
    <row r="1868" spans="37:37">
      <c r="AK1868" s="979">
        <f t="shared" si="43"/>
        <v>0</v>
      </c>
    </row>
    <row r="1869" spans="37:37">
      <c r="AK1869" s="979">
        <f t="shared" si="43"/>
        <v>0</v>
      </c>
    </row>
    <row r="1870" spans="37:37">
      <c r="AK1870" s="979">
        <f t="shared" si="43"/>
        <v>0</v>
      </c>
    </row>
    <row r="1871" spans="37:37">
      <c r="AK1871" s="979">
        <f t="shared" si="43"/>
        <v>0</v>
      </c>
    </row>
    <row r="1872" spans="37:37">
      <c r="AK1872" s="979">
        <f t="shared" si="43"/>
        <v>0</v>
      </c>
    </row>
    <row r="1873" spans="37:37">
      <c r="AK1873" s="979">
        <f t="shared" si="43"/>
        <v>0</v>
      </c>
    </row>
    <row r="1874" spans="37:37">
      <c r="AK1874" s="979">
        <f t="shared" si="43"/>
        <v>0</v>
      </c>
    </row>
    <row r="1875" spans="37:37">
      <c r="AK1875" s="979">
        <f t="shared" si="43"/>
        <v>0</v>
      </c>
    </row>
    <row r="1876" spans="37:37">
      <c r="AK1876" s="979">
        <f t="shared" si="43"/>
        <v>0</v>
      </c>
    </row>
    <row r="1877" spans="37:37">
      <c r="AK1877" s="979">
        <f t="shared" si="43"/>
        <v>0</v>
      </c>
    </row>
    <row r="1878" spans="37:37">
      <c r="AK1878" s="979">
        <f t="shared" si="43"/>
        <v>0</v>
      </c>
    </row>
    <row r="1879" spans="37:37">
      <c r="AK1879" s="979">
        <f t="shared" si="43"/>
        <v>0</v>
      </c>
    </row>
    <row r="1880" spans="37:37">
      <c r="AK1880" s="979">
        <f t="shared" ref="AK1880:AK1943" si="44">SUM(O1880:AJ1880)</f>
        <v>0</v>
      </c>
    </row>
    <row r="1881" spans="37:37">
      <c r="AK1881" s="979">
        <f t="shared" si="44"/>
        <v>0</v>
      </c>
    </row>
    <row r="1882" spans="37:37">
      <c r="AK1882" s="979">
        <f t="shared" si="44"/>
        <v>0</v>
      </c>
    </row>
    <row r="1883" spans="37:37">
      <c r="AK1883" s="979">
        <f t="shared" si="44"/>
        <v>0</v>
      </c>
    </row>
    <row r="1884" spans="37:37">
      <c r="AK1884" s="979">
        <f t="shared" si="44"/>
        <v>0</v>
      </c>
    </row>
    <row r="1885" spans="37:37">
      <c r="AK1885" s="979">
        <f t="shared" si="44"/>
        <v>0</v>
      </c>
    </row>
    <row r="1886" spans="37:37">
      <c r="AK1886" s="979">
        <f t="shared" si="44"/>
        <v>0</v>
      </c>
    </row>
    <row r="1887" spans="37:37">
      <c r="AK1887" s="979">
        <f t="shared" si="44"/>
        <v>0</v>
      </c>
    </row>
    <row r="1888" spans="37:37">
      <c r="AK1888" s="979">
        <f t="shared" si="44"/>
        <v>0</v>
      </c>
    </row>
    <row r="1889" spans="37:37">
      <c r="AK1889" s="979">
        <f t="shared" si="44"/>
        <v>0</v>
      </c>
    </row>
    <row r="1890" spans="37:37">
      <c r="AK1890" s="979">
        <f t="shared" si="44"/>
        <v>0</v>
      </c>
    </row>
    <row r="1891" spans="37:37">
      <c r="AK1891" s="979">
        <f t="shared" si="44"/>
        <v>0</v>
      </c>
    </row>
    <row r="1892" spans="37:37">
      <c r="AK1892" s="979">
        <f t="shared" si="44"/>
        <v>0</v>
      </c>
    </row>
    <row r="1893" spans="37:37">
      <c r="AK1893" s="979">
        <f t="shared" si="44"/>
        <v>0</v>
      </c>
    </row>
    <row r="1894" spans="37:37">
      <c r="AK1894" s="979">
        <f t="shared" si="44"/>
        <v>0</v>
      </c>
    </row>
    <row r="1895" spans="37:37">
      <c r="AK1895" s="979">
        <f t="shared" si="44"/>
        <v>0</v>
      </c>
    </row>
    <row r="1896" spans="37:37">
      <c r="AK1896" s="979">
        <f t="shared" si="44"/>
        <v>0</v>
      </c>
    </row>
    <row r="1897" spans="37:37">
      <c r="AK1897" s="979">
        <f t="shared" si="44"/>
        <v>0</v>
      </c>
    </row>
    <row r="1898" spans="37:37">
      <c r="AK1898" s="979">
        <f t="shared" si="44"/>
        <v>0</v>
      </c>
    </row>
    <row r="1899" spans="37:37">
      <c r="AK1899" s="979">
        <f t="shared" si="44"/>
        <v>0</v>
      </c>
    </row>
    <row r="1900" spans="37:37">
      <c r="AK1900" s="979">
        <f t="shared" si="44"/>
        <v>0</v>
      </c>
    </row>
    <row r="1901" spans="37:37">
      <c r="AK1901" s="979">
        <f t="shared" si="44"/>
        <v>0</v>
      </c>
    </row>
    <row r="1902" spans="37:37">
      <c r="AK1902" s="979">
        <f t="shared" si="44"/>
        <v>0</v>
      </c>
    </row>
    <row r="1903" spans="37:37">
      <c r="AK1903" s="979">
        <f t="shared" si="44"/>
        <v>0</v>
      </c>
    </row>
    <row r="1904" spans="37:37">
      <c r="AK1904" s="979">
        <f t="shared" si="44"/>
        <v>0</v>
      </c>
    </row>
    <row r="1905" spans="37:37">
      <c r="AK1905" s="979">
        <f t="shared" si="44"/>
        <v>0</v>
      </c>
    </row>
    <row r="1906" spans="37:37">
      <c r="AK1906" s="979">
        <f t="shared" si="44"/>
        <v>0</v>
      </c>
    </row>
    <row r="1907" spans="37:37">
      <c r="AK1907" s="979">
        <f t="shared" si="44"/>
        <v>0</v>
      </c>
    </row>
    <row r="1908" spans="37:37">
      <c r="AK1908" s="979">
        <f t="shared" si="44"/>
        <v>0</v>
      </c>
    </row>
    <row r="1909" spans="37:37">
      <c r="AK1909" s="979">
        <f t="shared" si="44"/>
        <v>0</v>
      </c>
    </row>
    <row r="1910" spans="37:37">
      <c r="AK1910" s="979">
        <f t="shared" si="44"/>
        <v>0</v>
      </c>
    </row>
    <row r="1911" spans="37:37">
      <c r="AK1911" s="979">
        <f t="shared" si="44"/>
        <v>0</v>
      </c>
    </row>
    <row r="1912" spans="37:37">
      <c r="AK1912" s="979">
        <f t="shared" si="44"/>
        <v>0</v>
      </c>
    </row>
    <row r="1913" spans="37:37">
      <c r="AK1913" s="979">
        <f t="shared" si="44"/>
        <v>0</v>
      </c>
    </row>
    <row r="1914" spans="37:37">
      <c r="AK1914" s="979">
        <f t="shared" si="44"/>
        <v>0</v>
      </c>
    </row>
    <row r="1915" spans="37:37">
      <c r="AK1915" s="979">
        <f t="shared" si="44"/>
        <v>0</v>
      </c>
    </row>
    <row r="1916" spans="37:37">
      <c r="AK1916" s="979">
        <f t="shared" si="44"/>
        <v>0</v>
      </c>
    </row>
    <row r="1917" spans="37:37">
      <c r="AK1917" s="979">
        <f t="shared" si="44"/>
        <v>0</v>
      </c>
    </row>
    <row r="1918" spans="37:37">
      <c r="AK1918" s="979">
        <f t="shared" si="44"/>
        <v>0</v>
      </c>
    </row>
    <row r="1919" spans="37:37">
      <c r="AK1919" s="979">
        <f t="shared" si="44"/>
        <v>0</v>
      </c>
    </row>
    <row r="1920" spans="37:37">
      <c r="AK1920" s="979">
        <f t="shared" si="44"/>
        <v>0</v>
      </c>
    </row>
    <row r="1921" spans="37:37">
      <c r="AK1921" s="979">
        <f t="shared" si="44"/>
        <v>0</v>
      </c>
    </row>
    <row r="1922" spans="37:37">
      <c r="AK1922" s="979">
        <f t="shared" si="44"/>
        <v>0</v>
      </c>
    </row>
    <row r="1923" spans="37:37">
      <c r="AK1923" s="979">
        <f t="shared" si="44"/>
        <v>0</v>
      </c>
    </row>
    <row r="1924" spans="37:37">
      <c r="AK1924" s="979">
        <f t="shared" si="44"/>
        <v>0</v>
      </c>
    </row>
    <row r="1925" spans="37:37">
      <c r="AK1925" s="979">
        <f t="shared" si="44"/>
        <v>0</v>
      </c>
    </row>
    <row r="1926" spans="37:37">
      <c r="AK1926" s="979">
        <f t="shared" si="44"/>
        <v>0</v>
      </c>
    </row>
    <row r="1927" spans="37:37">
      <c r="AK1927" s="979">
        <f t="shared" si="44"/>
        <v>0</v>
      </c>
    </row>
    <row r="1928" spans="37:37">
      <c r="AK1928" s="979">
        <f t="shared" si="44"/>
        <v>0</v>
      </c>
    </row>
    <row r="1929" spans="37:37">
      <c r="AK1929" s="979">
        <f t="shared" si="44"/>
        <v>0</v>
      </c>
    </row>
    <row r="1930" spans="37:37">
      <c r="AK1930" s="979">
        <f t="shared" si="44"/>
        <v>0</v>
      </c>
    </row>
    <row r="1931" spans="37:37">
      <c r="AK1931" s="979">
        <f t="shared" si="44"/>
        <v>0</v>
      </c>
    </row>
    <row r="1932" spans="37:37">
      <c r="AK1932" s="979">
        <f t="shared" si="44"/>
        <v>0</v>
      </c>
    </row>
    <row r="1933" spans="37:37">
      <c r="AK1933" s="979">
        <f t="shared" si="44"/>
        <v>0</v>
      </c>
    </row>
    <row r="1934" spans="37:37">
      <c r="AK1934" s="979">
        <f t="shared" si="44"/>
        <v>0</v>
      </c>
    </row>
    <row r="1935" spans="37:37">
      <c r="AK1935" s="979">
        <f t="shared" si="44"/>
        <v>0</v>
      </c>
    </row>
    <row r="1936" spans="37:37">
      <c r="AK1936" s="979">
        <f t="shared" si="44"/>
        <v>0</v>
      </c>
    </row>
    <row r="1937" spans="37:37">
      <c r="AK1937" s="979">
        <f t="shared" si="44"/>
        <v>0</v>
      </c>
    </row>
    <row r="1938" spans="37:37">
      <c r="AK1938" s="979">
        <f t="shared" si="44"/>
        <v>0</v>
      </c>
    </row>
    <row r="1939" spans="37:37">
      <c r="AK1939" s="979">
        <f t="shared" si="44"/>
        <v>0</v>
      </c>
    </row>
    <row r="1940" spans="37:37">
      <c r="AK1940" s="979">
        <f t="shared" si="44"/>
        <v>0</v>
      </c>
    </row>
    <row r="1941" spans="37:37">
      <c r="AK1941" s="979">
        <f t="shared" si="44"/>
        <v>0</v>
      </c>
    </row>
    <row r="1942" spans="37:37">
      <c r="AK1942" s="979">
        <f t="shared" si="44"/>
        <v>0</v>
      </c>
    </row>
    <row r="1943" spans="37:37">
      <c r="AK1943" s="979">
        <f t="shared" si="44"/>
        <v>0</v>
      </c>
    </row>
    <row r="1944" spans="37:37">
      <c r="AK1944" s="979">
        <f t="shared" ref="AK1944:AK2007" si="45">SUM(O1944:AJ1944)</f>
        <v>0</v>
      </c>
    </row>
    <row r="1945" spans="37:37">
      <c r="AK1945" s="979">
        <f t="shared" si="45"/>
        <v>0</v>
      </c>
    </row>
    <row r="1946" spans="37:37">
      <c r="AK1946" s="979">
        <f t="shared" si="45"/>
        <v>0</v>
      </c>
    </row>
    <row r="1947" spans="37:37">
      <c r="AK1947" s="979">
        <f t="shared" si="45"/>
        <v>0</v>
      </c>
    </row>
    <row r="1948" spans="37:37">
      <c r="AK1948" s="979">
        <f t="shared" si="45"/>
        <v>0</v>
      </c>
    </row>
    <row r="1949" spans="37:37">
      <c r="AK1949" s="979">
        <f t="shared" si="45"/>
        <v>0</v>
      </c>
    </row>
    <row r="1950" spans="37:37">
      <c r="AK1950" s="979">
        <f t="shared" si="45"/>
        <v>0</v>
      </c>
    </row>
    <row r="1951" spans="37:37">
      <c r="AK1951" s="979">
        <f t="shared" si="45"/>
        <v>0</v>
      </c>
    </row>
    <row r="1952" spans="37:37">
      <c r="AK1952" s="979">
        <f t="shared" si="45"/>
        <v>0</v>
      </c>
    </row>
    <row r="1953" spans="37:37">
      <c r="AK1953" s="979">
        <f t="shared" si="45"/>
        <v>0</v>
      </c>
    </row>
    <row r="1954" spans="37:37">
      <c r="AK1954" s="979">
        <f t="shared" si="45"/>
        <v>0</v>
      </c>
    </row>
    <row r="1955" spans="37:37">
      <c r="AK1955" s="979">
        <f t="shared" si="45"/>
        <v>0</v>
      </c>
    </row>
    <row r="1956" spans="37:37">
      <c r="AK1956" s="979">
        <f t="shared" si="45"/>
        <v>0</v>
      </c>
    </row>
    <row r="1957" spans="37:37">
      <c r="AK1957" s="979">
        <f t="shared" si="45"/>
        <v>0</v>
      </c>
    </row>
    <row r="1958" spans="37:37">
      <c r="AK1958" s="979">
        <f t="shared" si="45"/>
        <v>0</v>
      </c>
    </row>
    <row r="1959" spans="37:37">
      <c r="AK1959" s="979">
        <f t="shared" si="45"/>
        <v>0</v>
      </c>
    </row>
    <row r="1960" spans="37:37">
      <c r="AK1960" s="979">
        <f t="shared" si="45"/>
        <v>0</v>
      </c>
    </row>
    <row r="1961" spans="37:37">
      <c r="AK1961" s="979">
        <f t="shared" si="45"/>
        <v>0</v>
      </c>
    </row>
    <row r="1962" spans="37:37">
      <c r="AK1962" s="979">
        <f t="shared" si="45"/>
        <v>0</v>
      </c>
    </row>
    <row r="1963" spans="37:37">
      <c r="AK1963" s="979">
        <f t="shared" si="45"/>
        <v>0</v>
      </c>
    </row>
    <row r="1964" spans="37:37">
      <c r="AK1964" s="979">
        <f t="shared" si="45"/>
        <v>0</v>
      </c>
    </row>
    <row r="1965" spans="37:37">
      <c r="AK1965" s="979">
        <f t="shared" si="45"/>
        <v>0</v>
      </c>
    </row>
    <row r="1966" spans="37:37">
      <c r="AK1966" s="979">
        <f t="shared" si="45"/>
        <v>0</v>
      </c>
    </row>
    <row r="1967" spans="37:37">
      <c r="AK1967" s="979">
        <f t="shared" si="45"/>
        <v>0</v>
      </c>
    </row>
    <row r="1968" spans="37:37">
      <c r="AK1968" s="979">
        <f t="shared" si="45"/>
        <v>0</v>
      </c>
    </row>
    <row r="1969" spans="37:37">
      <c r="AK1969" s="979">
        <f t="shared" si="45"/>
        <v>0</v>
      </c>
    </row>
    <row r="1970" spans="37:37">
      <c r="AK1970" s="979">
        <f t="shared" si="45"/>
        <v>0</v>
      </c>
    </row>
    <row r="1971" spans="37:37">
      <c r="AK1971" s="979">
        <f t="shared" si="45"/>
        <v>0</v>
      </c>
    </row>
    <row r="1972" spans="37:37">
      <c r="AK1972" s="979">
        <f t="shared" si="45"/>
        <v>0</v>
      </c>
    </row>
    <row r="1973" spans="37:37">
      <c r="AK1973" s="979">
        <f t="shared" si="45"/>
        <v>0</v>
      </c>
    </row>
    <row r="1974" spans="37:37">
      <c r="AK1974" s="979">
        <f t="shared" si="45"/>
        <v>0</v>
      </c>
    </row>
    <row r="1975" spans="37:37">
      <c r="AK1975" s="979">
        <f t="shared" si="45"/>
        <v>0</v>
      </c>
    </row>
    <row r="1976" spans="37:37">
      <c r="AK1976" s="979">
        <f t="shared" si="45"/>
        <v>0</v>
      </c>
    </row>
    <row r="1977" spans="37:37">
      <c r="AK1977" s="979">
        <f t="shared" si="45"/>
        <v>0</v>
      </c>
    </row>
    <row r="1978" spans="37:37">
      <c r="AK1978" s="979">
        <f t="shared" si="45"/>
        <v>0</v>
      </c>
    </row>
    <row r="1979" spans="37:37">
      <c r="AK1979" s="979">
        <f t="shared" si="45"/>
        <v>0</v>
      </c>
    </row>
    <row r="1980" spans="37:37">
      <c r="AK1980" s="979">
        <f t="shared" si="45"/>
        <v>0</v>
      </c>
    </row>
    <row r="1981" spans="37:37">
      <c r="AK1981" s="979">
        <f t="shared" si="45"/>
        <v>0</v>
      </c>
    </row>
    <row r="1982" spans="37:37">
      <c r="AK1982" s="979">
        <f t="shared" si="45"/>
        <v>0</v>
      </c>
    </row>
    <row r="1983" spans="37:37">
      <c r="AK1983" s="979">
        <f t="shared" si="45"/>
        <v>0</v>
      </c>
    </row>
    <row r="1984" spans="37:37">
      <c r="AK1984" s="979">
        <f t="shared" si="45"/>
        <v>0</v>
      </c>
    </row>
    <row r="1985" spans="37:37">
      <c r="AK1985" s="979">
        <f t="shared" si="45"/>
        <v>0</v>
      </c>
    </row>
    <row r="1986" spans="37:37">
      <c r="AK1986" s="979">
        <f t="shared" si="45"/>
        <v>0</v>
      </c>
    </row>
    <row r="1987" spans="37:37">
      <c r="AK1987" s="979">
        <f t="shared" si="45"/>
        <v>0</v>
      </c>
    </row>
    <row r="1988" spans="37:37">
      <c r="AK1988" s="979">
        <f t="shared" si="45"/>
        <v>0</v>
      </c>
    </row>
    <row r="1989" spans="37:37">
      <c r="AK1989" s="979">
        <f t="shared" si="45"/>
        <v>0</v>
      </c>
    </row>
    <row r="1990" spans="37:37">
      <c r="AK1990" s="979">
        <f t="shared" si="45"/>
        <v>0</v>
      </c>
    </row>
    <row r="1991" spans="37:37">
      <c r="AK1991" s="979">
        <f t="shared" si="45"/>
        <v>0</v>
      </c>
    </row>
    <row r="1992" spans="37:37">
      <c r="AK1992" s="979">
        <f t="shared" si="45"/>
        <v>0</v>
      </c>
    </row>
    <row r="1993" spans="37:37">
      <c r="AK1993" s="979">
        <f t="shared" si="45"/>
        <v>0</v>
      </c>
    </row>
    <row r="1994" spans="37:37">
      <c r="AK1994" s="979">
        <f t="shared" si="45"/>
        <v>0</v>
      </c>
    </row>
    <row r="1995" spans="37:37">
      <c r="AK1995" s="979">
        <f t="shared" si="45"/>
        <v>0</v>
      </c>
    </row>
    <row r="1996" spans="37:37">
      <c r="AK1996" s="979">
        <f t="shared" si="45"/>
        <v>0</v>
      </c>
    </row>
    <row r="1997" spans="37:37">
      <c r="AK1997" s="979">
        <f t="shared" si="45"/>
        <v>0</v>
      </c>
    </row>
    <row r="1998" spans="37:37">
      <c r="AK1998" s="979">
        <f t="shared" si="45"/>
        <v>0</v>
      </c>
    </row>
    <row r="1999" spans="37:37">
      <c r="AK1999" s="979">
        <f t="shared" si="45"/>
        <v>0</v>
      </c>
    </row>
    <row r="2000" spans="37:37">
      <c r="AK2000" s="979">
        <f t="shared" si="45"/>
        <v>0</v>
      </c>
    </row>
    <row r="2001" spans="37:37">
      <c r="AK2001" s="979">
        <f t="shared" si="45"/>
        <v>0</v>
      </c>
    </row>
    <row r="2002" spans="37:37">
      <c r="AK2002" s="979">
        <f t="shared" si="45"/>
        <v>0</v>
      </c>
    </row>
    <row r="2003" spans="37:37">
      <c r="AK2003" s="979">
        <f t="shared" si="45"/>
        <v>0</v>
      </c>
    </row>
    <row r="2004" spans="37:37">
      <c r="AK2004" s="979">
        <f t="shared" si="45"/>
        <v>0</v>
      </c>
    </row>
    <row r="2005" spans="37:37">
      <c r="AK2005" s="979">
        <f t="shared" si="45"/>
        <v>0</v>
      </c>
    </row>
    <row r="2006" spans="37:37">
      <c r="AK2006" s="979">
        <f t="shared" si="45"/>
        <v>0</v>
      </c>
    </row>
    <row r="2007" spans="37:37">
      <c r="AK2007" s="979">
        <f t="shared" si="45"/>
        <v>0</v>
      </c>
    </row>
    <row r="2008" spans="37:37">
      <c r="AK2008" s="979">
        <f t="shared" ref="AK2008:AK2071" si="46">SUM(O2008:AJ2008)</f>
        <v>0</v>
      </c>
    </row>
    <row r="2009" spans="37:37">
      <c r="AK2009" s="979">
        <f t="shared" si="46"/>
        <v>0</v>
      </c>
    </row>
    <row r="2010" spans="37:37">
      <c r="AK2010" s="979">
        <f t="shared" si="46"/>
        <v>0</v>
      </c>
    </row>
    <row r="2011" spans="37:37">
      <c r="AK2011" s="979">
        <f t="shared" si="46"/>
        <v>0</v>
      </c>
    </row>
    <row r="2012" spans="37:37">
      <c r="AK2012" s="979">
        <f t="shared" si="46"/>
        <v>0</v>
      </c>
    </row>
    <row r="2013" spans="37:37">
      <c r="AK2013" s="979">
        <f t="shared" si="46"/>
        <v>0</v>
      </c>
    </row>
    <row r="2014" spans="37:37">
      <c r="AK2014" s="979">
        <f t="shared" si="46"/>
        <v>0</v>
      </c>
    </row>
    <row r="2015" spans="37:37">
      <c r="AK2015" s="979">
        <f t="shared" si="46"/>
        <v>0</v>
      </c>
    </row>
    <row r="2016" spans="37:37">
      <c r="AK2016" s="979">
        <f t="shared" si="46"/>
        <v>0</v>
      </c>
    </row>
    <row r="2017" spans="37:37">
      <c r="AK2017" s="979">
        <f t="shared" si="46"/>
        <v>0</v>
      </c>
    </row>
    <row r="2018" spans="37:37">
      <c r="AK2018" s="979">
        <f t="shared" si="46"/>
        <v>0</v>
      </c>
    </row>
    <row r="2019" spans="37:37">
      <c r="AK2019" s="979">
        <f t="shared" si="46"/>
        <v>0</v>
      </c>
    </row>
    <row r="2020" spans="37:37">
      <c r="AK2020" s="979">
        <f t="shared" si="46"/>
        <v>0</v>
      </c>
    </row>
    <row r="2021" spans="37:37">
      <c r="AK2021" s="979">
        <f t="shared" si="46"/>
        <v>0</v>
      </c>
    </row>
    <row r="2022" spans="37:37">
      <c r="AK2022" s="979">
        <f t="shared" si="46"/>
        <v>0</v>
      </c>
    </row>
    <row r="2023" spans="37:37">
      <c r="AK2023" s="979">
        <f t="shared" si="46"/>
        <v>0</v>
      </c>
    </row>
    <row r="2024" spans="37:37">
      <c r="AK2024" s="979">
        <f t="shared" si="46"/>
        <v>0</v>
      </c>
    </row>
    <row r="2025" spans="37:37">
      <c r="AK2025" s="979">
        <f t="shared" si="46"/>
        <v>0</v>
      </c>
    </row>
    <row r="2026" spans="37:37">
      <c r="AK2026" s="979">
        <f t="shared" si="46"/>
        <v>0</v>
      </c>
    </row>
    <row r="2027" spans="37:37">
      <c r="AK2027" s="979">
        <f t="shared" si="46"/>
        <v>0</v>
      </c>
    </row>
    <row r="2028" spans="37:37">
      <c r="AK2028" s="979">
        <f t="shared" si="46"/>
        <v>0</v>
      </c>
    </row>
    <row r="2029" spans="37:37">
      <c r="AK2029" s="979">
        <f t="shared" si="46"/>
        <v>0</v>
      </c>
    </row>
    <row r="2030" spans="37:37">
      <c r="AK2030" s="979">
        <f t="shared" si="46"/>
        <v>0</v>
      </c>
    </row>
    <row r="2031" spans="37:37">
      <c r="AK2031" s="979">
        <f t="shared" si="46"/>
        <v>0</v>
      </c>
    </row>
    <row r="2032" spans="37:37">
      <c r="AK2032" s="979">
        <f t="shared" si="46"/>
        <v>0</v>
      </c>
    </row>
    <row r="2033" spans="37:37">
      <c r="AK2033" s="979">
        <f t="shared" si="46"/>
        <v>0</v>
      </c>
    </row>
    <row r="2034" spans="37:37">
      <c r="AK2034" s="979">
        <f t="shared" si="46"/>
        <v>0</v>
      </c>
    </row>
    <row r="2035" spans="37:37">
      <c r="AK2035" s="979">
        <f t="shared" si="46"/>
        <v>0</v>
      </c>
    </row>
    <row r="2036" spans="37:37">
      <c r="AK2036" s="979">
        <f t="shared" si="46"/>
        <v>0</v>
      </c>
    </row>
    <row r="2037" spans="37:37">
      <c r="AK2037" s="979">
        <f t="shared" si="46"/>
        <v>0</v>
      </c>
    </row>
    <row r="2038" spans="37:37">
      <c r="AK2038" s="979">
        <f t="shared" si="46"/>
        <v>0</v>
      </c>
    </row>
    <row r="2039" spans="37:37">
      <c r="AK2039" s="979">
        <f t="shared" si="46"/>
        <v>0</v>
      </c>
    </row>
    <row r="2040" spans="37:37">
      <c r="AK2040" s="979">
        <f t="shared" si="46"/>
        <v>0</v>
      </c>
    </row>
    <row r="2041" spans="37:37">
      <c r="AK2041" s="979">
        <f t="shared" si="46"/>
        <v>0</v>
      </c>
    </row>
    <row r="2042" spans="37:37">
      <c r="AK2042" s="979">
        <f t="shared" si="46"/>
        <v>0</v>
      </c>
    </row>
    <row r="2043" spans="37:37">
      <c r="AK2043" s="979">
        <f t="shared" si="46"/>
        <v>0</v>
      </c>
    </row>
    <row r="2044" spans="37:37">
      <c r="AK2044" s="979">
        <f t="shared" si="46"/>
        <v>0</v>
      </c>
    </row>
    <row r="2045" spans="37:37">
      <c r="AK2045" s="979">
        <f t="shared" si="46"/>
        <v>0</v>
      </c>
    </row>
    <row r="2046" spans="37:37">
      <c r="AK2046" s="979">
        <f t="shared" si="46"/>
        <v>0</v>
      </c>
    </row>
    <row r="2047" spans="37:37">
      <c r="AK2047" s="979">
        <f t="shared" si="46"/>
        <v>0</v>
      </c>
    </row>
    <row r="2048" spans="37:37">
      <c r="AK2048" s="979">
        <f t="shared" si="46"/>
        <v>0</v>
      </c>
    </row>
    <row r="2049" spans="37:37">
      <c r="AK2049" s="979">
        <f t="shared" si="46"/>
        <v>0</v>
      </c>
    </row>
    <row r="2050" spans="37:37">
      <c r="AK2050" s="979">
        <f t="shared" si="46"/>
        <v>0</v>
      </c>
    </row>
    <row r="2051" spans="37:37">
      <c r="AK2051" s="979">
        <f t="shared" si="46"/>
        <v>0</v>
      </c>
    </row>
    <row r="2052" spans="37:37">
      <c r="AK2052" s="979">
        <f t="shared" si="46"/>
        <v>0</v>
      </c>
    </row>
    <row r="2053" spans="37:37">
      <c r="AK2053" s="979">
        <f t="shared" si="46"/>
        <v>0</v>
      </c>
    </row>
    <row r="2054" spans="37:37">
      <c r="AK2054" s="979">
        <f t="shared" si="46"/>
        <v>0</v>
      </c>
    </row>
    <row r="2055" spans="37:37">
      <c r="AK2055" s="979">
        <f t="shared" si="46"/>
        <v>0</v>
      </c>
    </row>
    <row r="2056" spans="37:37">
      <c r="AK2056" s="979">
        <f t="shared" si="46"/>
        <v>0</v>
      </c>
    </row>
    <row r="2057" spans="37:37">
      <c r="AK2057" s="979">
        <f t="shared" si="46"/>
        <v>0</v>
      </c>
    </row>
    <row r="2058" spans="37:37">
      <c r="AK2058" s="979">
        <f t="shared" si="46"/>
        <v>0</v>
      </c>
    </row>
    <row r="2059" spans="37:37">
      <c r="AK2059" s="979">
        <f t="shared" si="46"/>
        <v>0</v>
      </c>
    </row>
    <row r="2060" spans="37:37">
      <c r="AK2060" s="979">
        <f t="shared" si="46"/>
        <v>0</v>
      </c>
    </row>
    <row r="2061" spans="37:37">
      <c r="AK2061" s="979">
        <f t="shared" si="46"/>
        <v>0</v>
      </c>
    </row>
    <row r="2062" spans="37:37">
      <c r="AK2062" s="979">
        <f t="shared" si="46"/>
        <v>0</v>
      </c>
    </row>
    <row r="2063" spans="37:37">
      <c r="AK2063" s="979">
        <f t="shared" si="46"/>
        <v>0</v>
      </c>
    </row>
    <row r="2064" spans="37:37">
      <c r="AK2064" s="979">
        <f t="shared" si="46"/>
        <v>0</v>
      </c>
    </row>
    <row r="2065" spans="37:37">
      <c r="AK2065" s="979">
        <f t="shared" si="46"/>
        <v>0</v>
      </c>
    </row>
    <row r="2066" spans="37:37">
      <c r="AK2066" s="979">
        <f t="shared" si="46"/>
        <v>0</v>
      </c>
    </row>
    <row r="2067" spans="37:37">
      <c r="AK2067" s="979">
        <f t="shared" si="46"/>
        <v>0</v>
      </c>
    </row>
    <row r="2068" spans="37:37">
      <c r="AK2068" s="979">
        <f t="shared" si="46"/>
        <v>0</v>
      </c>
    </row>
    <row r="2069" spans="37:37">
      <c r="AK2069" s="979">
        <f t="shared" si="46"/>
        <v>0</v>
      </c>
    </row>
    <row r="2070" spans="37:37">
      <c r="AK2070" s="979">
        <f t="shared" si="46"/>
        <v>0</v>
      </c>
    </row>
    <row r="2071" spans="37:37">
      <c r="AK2071" s="979">
        <f t="shared" si="46"/>
        <v>0</v>
      </c>
    </row>
    <row r="2072" spans="37:37">
      <c r="AK2072" s="979">
        <f t="shared" ref="AK2072:AK2135" si="47">SUM(O2072:AJ2072)</f>
        <v>0</v>
      </c>
    </row>
    <row r="2073" spans="37:37">
      <c r="AK2073" s="979">
        <f t="shared" si="47"/>
        <v>0</v>
      </c>
    </row>
    <row r="2074" spans="37:37">
      <c r="AK2074" s="979">
        <f t="shared" si="47"/>
        <v>0</v>
      </c>
    </row>
    <row r="2075" spans="37:37">
      <c r="AK2075" s="979">
        <f t="shared" si="47"/>
        <v>0</v>
      </c>
    </row>
    <row r="2076" spans="37:37">
      <c r="AK2076" s="979">
        <f t="shared" si="47"/>
        <v>0</v>
      </c>
    </row>
    <row r="2077" spans="37:37">
      <c r="AK2077" s="979">
        <f t="shared" si="47"/>
        <v>0</v>
      </c>
    </row>
    <row r="2078" spans="37:37">
      <c r="AK2078" s="979">
        <f t="shared" si="47"/>
        <v>0</v>
      </c>
    </row>
    <row r="2079" spans="37:37">
      <c r="AK2079" s="979">
        <f t="shared" si="47"/>
        <v>0</v>
      </c>
    </row>
    <row r="2080" spans="37:37">
      <c r="AK2080" s="979">
        <f t="shared" si="47"/>
        <v>0</v>
      </c>
    </row>
    <row r="2081" spans="37:37">
      <c r="AK2081" s="979">
        <f t="shared" si="47"/>
        <v>0</v>
      </c>
    </row>
    <row r="2082" spans="37:37">
      <c r="AK2082" s="979">
        <f t="shared" si="47"/>
        <v>0</v>
      </c>
    </row>
    <row r="2083" spans="37:37">
      <c r="AK2083" s="979">
        <f t="shared" si="47"/>
        <v>0</v>
      </c>
    </row>
    <row r="2084" spans="37:37">
      <c r="AK2084" s="979">
        <f t="shared" si="47"/>
        <v>0</v>
      </c>
    </row>
    <row r="2085" spans="37:37">
      <c r="AK2085" s="979">
        <f t="shared" si="47"/>
        <v>0</v>
      </c>
    </row>
    <row r="2086" spans="37:37">
      <c r="AK2086" s="979">
        <f t="shared" si="47"/>
        <v>0</v>
      </c>
    </row>
    <row r="2087" spans="37:37">
      <c r="AK2087" s="979">
        <f t="shared" si="47"/>
        <v>0</v>
      </c>
    </row>
    <row r="2088" spans="37:37">
      <c r="AK2088" s="979">
        <f t="shared" si="47"/>
        <v>0</v>
      </c>
    </row>
    <row r="2089" spans="37:37">
      <c r="AK2089" s="979">
        <f t="shared" si="47"/>
        <v>0</v>
      </c>
    </row>
    <row r="2090" spans="37:37">
      <c r="AK2090" s="979">
        <f t="shared" si="47"/>
        <v>0</v>
      </c>
    </row>
    <row r="2091" spans="37:37">
      <c r="AK2091" s="979">
        <f t="shared" si="47"/>
        <v>0</v>
      </c>
    </row>
    <row r="2092" spans="37:37">
      <c r="AK2092" s="979">
        <f t="shared" si="47"/>
        <v>0</v>
      </c>
    </row>
    <row r="2093" spans="37:37">
      <c r="AK2093" s="979">
        <f t="shared" si="47"/>
        <v>0</v>
      </c>
    </row>
    <row r="2094" spans="37:37">
      <c r="AK2094" s="979">
        <f t="shared" si="47"/>
        <v>0</v>
      </c>
    </row>
    <row r="2095" spans="37:37">
      <c r="AK2095" s="979">
        <f t="shared" si="47"/>
        <v>0</v>
      </c>
    </row>
    <row r="2096" spans="37:37">
      <c r="AK2096" s="979">
        <f t="shared" si="47"/>
        <v>0</v>
      </c>
    </row>
    <row r="2097" spans="37:37">
      <c r="AK2097" s="979">
        <f t="shared" si="47"/>
        <v>0</v>
      </c>
    </row>
    <row r="2098" spans="37:37">
      <c r="AK2098" s="979">
        <f t="shared" si="47"/>
        <v>0</v>
      </c>
    </row>
    <row r="2099" spans="37:37">
      <c r="AK2099" s="979">
        <f t="shared" si="47"/>
        <v>0</v>
      </c>
    </row>
    <row r="2100" spans="37:37">
      <c r="AK2100" s="979">
        <f t="shared" si="47"/>
        <v>0</v>
      </c>
    </row>
    <row r="2101" spans="37:37">
      <c r="AK2101" s="979">
        <f t="shared" si="47"/>
        <v>0</v>
      </c>
    </row>
    <row r="2102" spans="37:37">
      <c r="AK2102" s="979">
        <f t="shared" si="47"/>
        <v>0</v>
      </c>
    </row>
    <row r="2103" spans="37:37">
      <c r="AK2103" s="979">
        <f t="shared" si="47"/>
        <v>0</v>
      </c>
    </row>
    <row r="2104" spans="37:37">
      <c r="AK2104" s="979">
        <f t="shared" si="47"/>
        <v>0</v>
      </c>
    </row>
    <row r="2105" spans="37:37">
      <c r="AK2105" s="979">
        <f t="shared" si="47"/>
        <v>0</v>
      </c>
    </row>
    <row r="2106" spans="37:37">
      <c r="AK2106" s="979">
        <f t="shared" si="47"/>
        <v>0</v>
      </c>
    </row>
    <row r="2107" spans="37:37">
      <c r="AK2107" s="979">
        <f t="shared" si="47"/>
        <v>0</v>
      </c>
    </row>
    <row r="2108" spans="37:37">
      <c r="AK2108" s="979">
        <f t="shared" si="47"/>
        <v>0</v>
      </c>
    </row>
    <row r="2109" spans="37:37">
      <c r="AK2109" s="979">
        <f t="shared" si="47"/>
        <v>0</v>
      </c>
    </row>
    <row r="2110" spans="37:37">
      <c r="AK2110" s="979">
        <f t="shared" si="47"/>
        <v>0</v>
      </c>
    </row>
    <row r="2111" spans="37:37">
      <c r="AK2111" s="979">
        <f t="shared" si="47"/>
        <v>0</v>
      </c>
    </row>
    <row r="2112" spans="37:37">
      <c r="AK2112" s="979">
        <f t="shared" si="47"/>
        <v>0</v>
      </c>
    </row>
    <row r="2113" spans="37:37">
      <c r="AK2113" s="979">
        <f t="shared" si="47"/>
        <v>0</v>
      </c>
    </row>
    <row r="2114" spans="37:37">
      <c r="AK2114" s="979">
        <f t="shared" si="47"/>
        <v>0</v>
      </c>
    </row>
    <row r="2115" spans="37:37">
      <c r="AK2115" s="979">
        <f t="shared" si="47"/>
        <v>0</v>
      </c>
    </row>
    <row r="2116" spans="37:37">
      <c r="AK2116" s="979">
        <f t="shared" si="47"/>
        <v>0</v>
      </c>
    </row>
    <row r="2117" spans="37:37">
      <c r="AK2117" s="979">
        <f t="shared" si="47"/>
        <v>0</v>
      </c>
    </row>
    <row r="2118" spans="37:37">
      <c r="AK2118" s="979">
        <f t="shared" si="47"/>
        <v>0</v>
      </c>
    </row>
    <row r="2119" spans="37:37">
      <c r="AK2119" s="979">
        <f t="shared" si="47"/>
        <v>0</v>
      </c>
    </row>
    <row r="2120" spans="37:37">
      <c r="AK2120" s="979">
        <f t="shared" si="47"/>
        <v>0</v>
      </c>
    </row>
    <row r="2121" spans="37:37">
      <c r="AK2121" s="979">
        <f t="shared" si="47"/>
        <v>0</v>
      </c>
    </row>
    <row r="2122" spans="37:37">
      <c r="AK2122" s="979">
        <f t="shared" si="47"/>
        <v>0</v>
      </c>
    </row>
    <row r="2123" spans="37:37">
      <c r="AK2123" s="979">
        <f t="shared" si="47"/>
        <v>0</v>
      </c>
    </row>
    <row r="2124" spans="37:37">
      <c r="AK2124" s="979">
        <f t="shared" si="47"/>
        <v>0</v>
      </c>
    </row>
    <row r="2125" spans="37:37">
      <c r="AK2125" s="979">
        <f t="shared" si="47"/>
        <v>0</v>
      </c>
    </row>
    <row r="2126" spans="37:37">
      <c r="AK2126" s="979">
        <f t="shared" si="47"/>
        <v>0</v>
      </c>
    </row>
    <row r="2127" spans="37:37">
      <c r="AK2127" s="979">
        <f t="shared" si="47"/>
        <v>0</v>
      </c>
    </row>
    <row r="2128" spans="37:37">
      <c r="AK2128" s="979">
        <f t="shared" si="47"/>
        <v>0</v>
      </c>
    </row>
    <row r="2129" spans="37:37">
      <c r="AK2129" s="979">
        <f t="shared" si="47"/>
        <v>0</v>
      </c>
    </row>
    <row r="2130" spans="37:37">
      <c r="AK2130" s="979">
        <f t="shared" si="47"/>
        <v>0</v>
      </c>
    </row>
    <row r="2131" spans="37:37">
      <c r="AK2131" s="979">
        <f t="shared" si="47"/>
        <v>0</v>
      </c>
    </row>
    <row r="2132" spans="37:37">
      <c r="AK2132" s="979">
        <f t="shared" si="47"/>
        <v>0</v>
      </c>
    </row>
    <row r="2133" spans="37:37">
      <c r="AK2133" s="979">
        <f t="shared" si="47"/>
        <v>0</v>
      </c>
    </row>
    <row r="2134" spans="37:37">
      <c r="AK2134" s="979">
        <f t="shared" si="47"/>
        <v>0</v>
      </c>
    </row>
    <row r="2135" spans="37:37">
      <c r="AK2135" s="979">
        <f t="shared" si="47"/>
        <v>0</v>
      </c>
    </row>
    <row r="2136" spans="37:37">
      <c r="AK2136" s="979">
        <f t="shared" ref="AK2136:AK2199" si="48">SUM(O2136:AJ2136)</f>
        <v>0</v>
      </c>
    </row>
    <row r="2137" spans="37:37">
      <c r="AK2137" s="979">
        <f t="shared" si="48"/>
        <v>0</v>
      </c>
    </row>
    <row r="2138" spans="37:37">
      <c r="AK2138" s="979">
        <f t="shared" si="48"/>
        <v>0</v>
      </c>
    </row>
    <row r="2139" spans="37:37">
      <c r="AK2139" s="979">
        <f t="shared" si="48"/>
        <v>0</v>
      </c>
    </row>
    <row r="2140" spans="37:37">
      <c r="AK2140" s="979">
        <f t="shared" si="48"/>
        <v>0</v>
      </c>
    </row>
    <row r="2141" spans="37:37">
      <c r="AK2141" s="979">
        <f t="shared" si="48"/>
        <v>0</v>
      </c>
    </row>
    <row r="2142" spans="37:37">
      <c r="AK2142" s="979">
        <f t="shared" si="48"/>
        <v>0</v>
      </c>
    </row>
    <row r="2143" spans="37:37">
      <c r="AK2143" s="979">
        <f t="shared" si="48"/>
        <v>0</v>
      </c>
    </row>
    <row r="2144" spans="37:37">
      <c r="AK2144" s="979">
        <f t="shared" si="48"/>
        <v>0</v>
      </c>
    </row>
    <row r="2145" spans="37:37">
      <c r="AK2145" s="979">
        <f t="shared" si="48"/>
        <v>0</v>
      </c>
    </row>
    <row r="2146" spans="37:37">
      <c r="AK2146" s="979">
        <f t="shared" si="48"/>
        <v>0</v>
      </c>
    </row>
    <row r="2147" spans="37:37">
      <c r="AK2147" s="979">
        <f t="shared" si="48"/>
        <v>0</v>
      </c>
    </row>
    <row r="2148" spans="37:37">
      <c r="AK2148" s="979">
        <f t="shared" si="48"/>
        <v>0</v>
      </c>
    </row>
    <row r="2149" spans="37:37">
      <c r="AK2149" s="979">
        <f t="shared" si="48"/>
        <v>0</v>
      </c>
    </row>
    <row r="2150" spans="37:37">
      <c r="AK2150" s="979">
        <f t="shared" si="48"/>
        <v>0</v>
      </c>
    </row>
    <row r="2151" spans="37:37">
      <c r="AK2151" s="979">
        <f t="shared" si="48"/>
        <v>0</v>
      </c>
    </row>
    <row r="2152" spans="37:37">
      <c r="AK2152" s="979">
        <f t="shared" si="48"/>
        <v>0</v>
      </c>
    </row>
    <row r="2153" spans="37:37">
      <c r="AK2153" s="979">
        <f t="shared" si="48"/>
        <v>0</v>
      </c>
    </row>
    <row r="2154" spans="37:37">
      <c r="AK2154" s="979">
        <f t="shared" si="48"/>
        <v>0</v>
      </c>
    </row>
    <row r="2155" spans="37:37">
      <c r="AK2155" s="979">
        <f t="shared" si="48"/>
        <v>0</v>
      </c>
    </row>
    <row r="2156" spans="37:37">
      <c r="AK2156" s="979">
        <f t="shared" si="48"/>
        <v>0</v>
      </c>
    </row>
    <row r="2157" spans="37:37">
      <c r="AK2157" s="979">
        <f t="shared" si="48"/>
        <v>0</v>
      </c>
    </row>
    <row r="2158" spans="37:37">
      <c r="AK2158" s="979">
        <f t="shared" si="48"/>
        <v>0</v>
      </c>
    </row>
    <row r="2159" spans="37:37">
      <c r="AK2159" s="979">
        <f t="shared" si="48"/>
        <v>0</v>
      </c>
    </row>
    <row r="2160" spans="37:37">
      <c r="AK2160" s="979">
        <f t="shared" si="48"/>
        <v>0</v>
      </c>
    </row>
    <row r="2161" spans="37:37">
      <c r="AK2161" s="979">
        <f t="shared" si="48"/>
        <v>0</v>
      </c>
    </row>
    <row r="2162" spans="37:37">
      <c r="AK2162" s="979">
        <f t="shared" si="48"/>
        <v>0</v>
      </c>
    </row>
    <row r="2163" spans="37:37">
      <c r="AK2163" s="979">
        <f t="shared" si="48"/>
        <v>0</v>
      </c>
    </row>
    <row r="2164" spans="37:37">
      <c r="AK2164" s="979">
        <f t="shared" si="48"/>
        <v>0</v>
      </c>
    </row>
    <row r="2165" spans="37:37">
      <c r="AK2165" s="979">
        <f t="shared" si="48"/>
        <v>0</v>
      </c>
    </row>
    <row r="2166" spans="37:37">
      <c r="AK2166" s="979">
        <f t="shared" si="48"/>
        <v>0</v>
      </c>
    </row>
    <row r="2167" spans="37:37">
      <c r="AK2167" s="979">
        <f t="shared" si="48"/>
        <v>0</v>
      </c>
    </row>
    <row r="2168" spans="37:37">
      <c r="AK2168" s="979">
        <f t="shared" si="48"/>
        <v>0</v>
      </c>
    </row>
    <row r="2169" spans="37:37">
      <c r="AK2169" s="979">
        <f t="shared" si="48"/>
        <v>0</v>
      </c>
    </row>
    <row r="2170" spans="37:37">
      <c r="AK2170" s="979">
        <f t="shared" si="48"/>
        <v>0</v>
      </c>
    </row>
    <row r="2171" spans="37:37">
      <c r="AK2171" s="979">
        <f t="shared" si="48"/>
        <v>0</v>
      </c>
    </row>
    <row r="2172" spans="37:37">
      <c r="AK2172" s="979">
        <f t="shared" si="48"/>
        <v>0</v>
      </c>
    </row>
    <row r="2173" spans="37:37">
      <c r="AK2173" s="979">
        <f t="shared" si="48"/>
        <v>0</v>
      </c>
    </row>
    <row r="2174" spans="37:37">
      <c r="AK2174" s="979">
        <f t="shared" si="48"/>
        <v>0</v>
      </c>
    </row>
    <row r="2175" spans="37:37">
      <c r="AK2175" s="979">
        <f t="shared" si="48"/>
        <v>0</v>
      </c>
    </row>
    <row r="2176" spans="37:37">
      <c r="AK2176" s="979">
        <f t="shared" si="48"/>
        <v>0</v>
      </c>
    </row>
    <row r="2177" spans="37:37">
      <c r="AK2177" s="979">
        <f t="shared" si="48"/>
        <v>0</v>
      </c>
    </row>
    <row r="2178" spans="37:37">
      <c r="AK2178" s="979">
        <f t="shared" si="48"/>
        <v>0</v>
      </c>
    </row>
    <row r="2179" spans="37:37">
      <c r="AK2179" s="979">
        <f t="shared" si="48"/>
        <v>0</v>
      </c>
    </row>
    <row r="2180" spans="37:37">
      <c r="AK2180" s="979">
        <f t="shared" si="48"/>
        <v>0</v>
      </c>
    </row>
    <row r="2181" spans="37:37">
      <c r="AK2181" s="979">
        <f t="shared" si="48"/>
        <v>0</v>
      </c>
    </row>
    <row r="2182" spans="37:37">
      <c r="AK2182" s="979">
        <f t="shared" si="48"/>
        <v>0</v>
      </c>
    </row>
    <row r="2183" spans="37:37">
      <c r="AK2183" s="979">
        <f t="shared" si="48"/>
        <v>0</v>
      </c>
    </row>
    <row r="2184" spans="37:37">
      <c r="AK2184" s="979">
        <f t="shared" si="48"/>
        <v>0</v>
      </c>
    </row>
    <row r="2185" spans="37:37">
      <c r="AK2185" s="979">
        <f t="shared" si="48"/>
        <v>0</v>
      </c>
    </row>
    <row r="2186" spans="37:37">
      <c r="AK2186" s="979">
        <f t="shared" si="48"/>
        <v>0</v>
      </c>
    </row>
    <row r="2187" spans="37:37">
      <c r="AK2187" s="979">
        <f t="shared" si="48"/>
        <v>0</v>
      </c>
    </row>
    <row r="2188" spans="37:37">
      <c r="AK2188" s="979">
        <f t="shared" si="48"/>
        <v>0</v>
      </c>
    </row>
    <row r="2189" spans="37:37">
      <c r="AK2189" s="979">
        <f t="shared" si="48"/>
        <v>0</v>
      </c>
    </row>
    <row r="2190" spans="37:37">
      <c r="AK2190" s="979">
        <f t="shared" si="48"/>
        <v>0</v>
      </c>
    </row>
    <row r="2191" spans="37:37">
      <c r="AK2191" s="979">
        <f t="shared" si="48"/>
        <v>0</v>
      </c>
    </row>
    <row r="2192" spans="37:37">
      <c r="AK2192" s="979">
        <f t="shared" si="48"/>
        <v>0</v>
      </c>
    </row>
    <row r="2193" spans="37:37">
      <c r="AK2193" s="979">
        <f t="shared" si="48"/>
        <v>0</v>
      </c>
    </row>
    <row r="2194" spans="37:37">
      <c r="AK2194" s="979">
        <f t="shared" si="48"/>
        <v>0</v>
      </c>
    </row>
    <row r="2195" spans="37:37">
      <c r="AK2195" s="979">
        <f t="shared" si="48"/>
        <v>0</v>
      </c>
    </row>
    <row r="2196" spans="37:37">
      <c r="AK2196" s="979">
        <f t="shared" si="48"/>
        <v>0</v>
      </c>
    </row>
    <row r="2197" spans="37:37">
      <c r="AK2197" s="979">
        <f t="shared" si="48"/>
        <v>0</v>
      </c>
    </row>
    <row r="2198" spans="37:37">
      <c r="AK2198" s="979">
        <f t="shared" si="48"/>
        <v>0</v>
      </c>
    </row>
    <row r="2199" spans="37:37">
      <c r="AK2199" s="979">
        <f t="shared" si="48"/>
        <v>0</v>
      </c>
    </row>
    <row r="2200" spans="37:37">
      <c r="AK2200" s="979">
        <f t="shared" ref="AK2200:AK2263" si="49">SUM(O2200:AJ2200)</f>
        <v>0</v>
      </c>
    </row>
    <row r="2201" spans="37:37">
      <c r="AK2201" s="979">
        <f t="shared" si="49"/>
        <v>0</v>
      </c>
    </row>
    <row r="2202" spans="37:37">
      <c r="AK2202" s="979">
        <f t="shared" si="49"/>
        <v>0</v>
      </c>
    </row>
    <row r="2203" spans="37:37">
      <c r="AK2203" s="979">
        <f t="shared" si="49"/>
        <v>0</v>
      </c>
    </row>
    <row r="2204" spans="37:37">
      <c r="AK2204" s="979">
        <f t="shared" si="49"/>
        <v>0</v>
      </c>
    </row>
    <row r="2205" spans="37:37">
      <c r="AK2205" s="979">
        <f t="shared" si="49"/>
        <v>0</v>
      </c>
    </row>
    <row r="2206" spans="37:37">
      <c r="AK2206" s="979">
        <f t="shared" si="49"/>
        <v>0</v>
      </c>
    </row>
    <row r="2207" spans="37:37">
      <c r="AK2207" s="979">
        <f t="shared" si="49"/>
        <v>0</v>
      </c>
    </row>
    <row r="2208" spans="37:37">
      <c r="AK2208" s="979">
        <f t="shared" si="49"/>
        <v>0</v>
      </c>
    </row>
    <row r="2209" spans="37:37">
      <c r="AK2209" s="979">
        <f t="shared" si="49"/>
        <v>0</v>
      </c>
    </row>
    <row r="2210" spans="37:37">
      <c r="AK2210" s="979">
        <f t="shared" si="49"/>
        <v>0</v>
      </c>
    </row>
    <row r="2211" spans="37:37">
      <c r="AK2211" s="979">
        <f t="shared" si="49"/>
        <v>0</v>
      </c>
    </row>
    <row r="2212" spans="37:37">
      <c r="AK2212" s="979">
        <f t="shared" si="49"/>
        <v>0</v>
      </c>
    </row>
    <row r="2213" spans="37:37">
      <c r="AK2213" s="979">
        <f t="shared" si="49"/>
        <v>0</v>
      </c>
    </row>
    <row r="2214" spans="37:37">
      <c r="AK2214" s="979">
        <f t="shared" si="49"/>
        <v>0</v>
      </c>
    </row>
    <row r="2215" spans="37:37">
      <c r="AK2215" s="979">
        <f t="shared" si="49"/>
        <v>0</v>
      </c>
    </row>
    <row r="2216" spans="37:37">
      <c r="AK2216" s="979">
        <f t="shared" si="49"/>
        <v>0</v>
      </c>
    </row>
    <row r="2217" spans="37:37">
      <c r="AK2217" s="979">
        <f t="shared" si="49"/>
        <v>0</v>
      </c>
    </row>
    <row r="2218" spans="37:37">
      <c r="AK2218" s="979">
        <f t="shared" si="49"/>
        <v>0</v>
      </c>
    </row>
    <row r="2219" spans="37:37">
      <c r="AK2219" s="979">
        <f t="shared" si="49"/>
        <v>0</v>
      </c>
    </row>
    <row r="2220" spans="37:37">
      <c r="AK2220" s="979">
        <f t="shared" si="49"/>
        <v>0</v>
      </c>
    </row>
    <row r="2221" spans="37:37">
      <c r="AK2221" s="979">
        <f t="shared" si="49"/>
        <v>0</v>
      </c>
    </row>
    <row r="2222" spans="37:37">
      <c r="AK2222" s="979">
        <f t="shared" si="49"/>
        <v>0</v>
      </c>
    </row>
    <row r="2223" spans="37:37">
      <c r="AK2223" s="979">
        <f t="shared" si="49"/>
        <v>0</v>
      </c>
    </row>
    <row r="2224" spans="37:37">
      <c r="AK2224" s="979">
        <f t="shared" si="49"/>
        <v>0</v>
      </c>
    </row>
    <row r="2225" spans="37:37">
      <c r="AK2225" s="979">
        <f t="shared" si="49"/>
        <v>0</v>
      </c>
    </row>
    <row r="2226" spans="37:37">
      <c r="AK2226" s="979">
        <f t="shared" si="49"/>
        <v>0</v>
      </c>
    </row>
    <row r="2227" spans="37:37">
      <c r="AK2227" s="979">
        <f t="shared" si="49"/>
        <v>0</v>
      </c>
    </row>
    <row r="2228" spans="37:37">
      <c r="AK2228" s="979">
        <f t="shared" si="49"/>
        <v>0</v>
      </c>
    </row>
    <row r="2229" spans="37:37">
      <c r="AK2229" s="979">
        <f t="shared" si="49"/>
        <v>0</v>
      </c>
    </row>
    <row r="2230" spans="37:37">
      <c r="AK2230" s="979">
        <f t="shared" si="49"/>
        <v>0</v>
      </c>
    </row>
    <row r="2231" spans="37:37">
      <c r="AK2231" s="979">
        <f t="shared" si="49"/>
        <v>0</v>
      </c>
    </row>
    <row r="2232" spans="37:37">
      <c r="AK2232" s="979">
        <f t="shared" si="49"/>
        <v>0</v>
      </c>
    </row>
    <row r="2233" spans="37:37">
      <c r="AK2233" s="979">
        <f t="shared" si="49"/>
        <v>0</v>
      </c>
    </row>
    <row r="2234" spans="37:37">
      <c r="AK2234" s="979">
        <f t="shared" si="49"/>
        <v>0</v>
      </c>
    </row>
    <row r="2235" spans="37:37">
      <c r="AK2235" s="979">
        <f t="shared" si="49"/>
        <v>0</v>
      </c>
    </row>
    <row r="2236" spans="37:37">
      <c r="AK2236" s="979">
        <f t="shared" si="49"/>
        <v>0</v>
      </c>
    </row>
    <row r="2237" spans="37:37">
      <c r="AK2237" s="979">
        <f t="shared" si="49"/>
        <v>0</v>
      </c>
    </row>
    <row r="2238" spans="37:37">
      <c r="AK2238" s="979">
        <f t="shared" si="49"/>
        <v>0</v>
      </c>
    </row>
    <row r="2239" spans="37:37">
      <c r="AK2239" s="979">
        <f t="shared" si="49"/>
        <v>0</v>
      </c>
    </row>
    <row r="2240" spans="37:37">
      <c r="AK2240" s="979">
        <f t="shared" si="49"/>
        <v>0</v>
      </c>
    </row>
    <row r="2241" spans="37:37">
      <c r="AK2241" s="979">
        <f t="shared" si="49"/>
        <v>0</v>
      </c>
    </row>
    <row r="2242" spans="37:37">
      <c r="AK2242" s="979">
        <f t="shared" si="49"/>
        <v>0</v>
      </c>
    </row>
    <row r="2243" spans="37:37">
      <c r="AK2243" s="979">
        <f t="shared" si="49"/>
        <v>0</v>
      </c>
    </row>
    <row r="2244" spans="37:37">
      <c r="AK2244" s="979">
        <f t="shared" si="49"/>
        <v>0</v>
      </c>
    </row>
    <row r="2245" spans="37:37">
      <c r="AK2245" s="979">
        <f t="shared" si="49"/>
        <v>0</v>
      </c>
    </row>
    <row r="2246" spans="37:37">
      <c r="AK2246" s="979">
        <f t="shared" si="49"/>
        <v>0</v>
      </c>
    </row>
    <row r="2247" spans="37:37">
      <c r="AK2247" s="979">
        <f t="shared" si="49"/>
        <v>0</v>
      </c>
    </row>
    <row r="2248" spans="37:37">
      <c r="AK2248" s="979">
        <f t="shared" si="49"/>
        <v>0</v>
      </c>
    </row>
    <row r="2249" spans="37:37">
      <c r="AK2249" s="979">
        <f t="shared" si="49"/>
        <v>0</v>
      </c>
    </row>
    <row r="2250" spans="37:37">
      <c r="AK2250" s="979">
        <f t="shared" si="49"/>
        <v>0</v>
      </c>
    </row>
    <row r="2251" spans="37:37">
      <c r="AK2251" s="979">
        <f t="shared" si="49"/>
        <v>0</v>
      </c>
    </row>
    <row r="2252" spans="37:37">
      <c r="AK2252" s="979">
        <f t="shared" si="49"/>
        <v>0</v>
      </c>
    </row>
    <row r="2253" spans="37:37">
      <c r="AK2253" s="979">
        <f t="shared" si="49"/>
        <v>0</v>
      </c>
    </row>
    <row r="2254" spans="37:37">
      <c r="AK2254" s="979">
        <f t="shared" si="49"/>
        <v>0</v>
      </c>
    </row>
    <row r="2255" spans="37:37">
      <c r="AK2255" s="979">
        <f t="shared" si="49"/>
        <v>0</v>
      </c>
    </row>
    <row r="2256" spans="37:37">
      <c r="AK2256" s="979">
        <f t="shared" si="49"/>
        <v>0</v>
      </c>
    </row>
    <row r="2257" spans="37:37">
      <c r="AK2257" s="979">
        <f t="shared" si="49"/>
        <v>0</v>
      </c>
    </row>
    <row r="2258" spans="37:37">
      <c r="AK2258" s="979">
        <f t="shared" si="49"/>
        <v>0</v>
      </c>
    </row>
    <row r="2259" spans="37:37">
      <c r="AK2259" s="979">
        <f t="shared" si="49"/>
        <v>0</v>
      </c>
    </row>
    <row r="2260" spans="37:37">
      <c r="AK2260" s="979">
        <f t="shared" si="49"/>
        <v>0</v>
      </c>
    </row>
    <row r="2261" spans="37:37">
      <c r="AK2261" s="979">
        <f t="shared" si="49"/>
        <v>0</v>
      </c>
    </row>
    <row r="2262" spans="37:37">
      <c r="AK2262" s="979">
        <f t="shared" si="49"/>
        <v>0</v>
      </c>
    </row>
    <row r="2263" spans="37:37">
      <c r="AK2263" s="979">
        <f t="shared" si="49"/>
        <v>0</v>
      </c>
    </row>
    <row r="2264" spans="37:37">
      <c r="AK2264" s="979">
        <f t="shared" ref="AK2264:AK2327" si="50">SUM(O2264:AJ2264)</f>
        <v>0</v>
      </c>
    </row>
    <row r="2265" spans="37:37">
      <c r="AK2265" s="979">
        <f t="shared" si="50"/>
        <v>0</v>
      </c>
    </row>
    <row r="2266" spans="37:37">
      <c r="AK2266" s="979">
        <f t="shared" si="50"/>
        <v>0</v>
      </c>
    </row>
    <row r="2267" spans="37:37">
      <c r="AK2267" s="979">
        <f t="shared" si="50"/>
        <v>0</v>
      </c>
    </row>
    <row r="2268" spans="37:37">
      <c r="AK2268" s="979">
        <f t="shared" si="50"/>
        <v>0</v>
      </c>
    </row>
    <row r="2269" spans="37:37">
      <c r="AK2269" s="979">
        <f t="shared" si="50"/>
        <v>0</v>
      </c>
    </row>
    <row r="2270" spans="37:37">
      <c r="AK2270" s="979">
        <f t="shared" si="50"/>
        <v>0</v>
      </c>
    </row>
    <row r="2271" spans="37:37">
      <c r="AK2271" s="979">
        <f t="shared" si="50"/>
        <v>0</v>
      </c>
    </row>
    <row r="2272" spans="37:37">
      <c r="AK2272" s="979">
        <f t="shared" si="50"/>
        <v>0</v>
      </c>
    </row>
    <row r="2273" spans="37:37">
      <c r="AK2273" s="979">
        <f t="shared" si="50"/>
        <v>0</v>
      </c>
    </row>
    <row r="2274" spans="37:37">
      <c r="AK2274" s="979">
        <f t="shared" si="50"/>
        <v>0</v>
      </c>
    </row>
    <row r="2275" spans="37:37">
      <c r="AK2275" s="979">
        <f t="shared" si="50"/>
        <v>0</v>
      </c>
    </row>
    <row r="2276" spans="37:37">
      <c r="AK2276" s="979">
        <f t="shared" si="50"/>
        <v>0</v>
      </c>
    </row>
    <row r="2277" spans="37:37">
      <c r="AK2277" s="979">
        <f t="shared" si="50"/>
        <v>0</v>
      </c>
    </row>
    <row r="2278" spans="37:37">
      <c r="AK2278" s="979">
        <f t="shared" si="50"/>
        <v>0</v>
      </c>
    </row>
    <row r="2279" spans="37:37">
      <c r="AK2279" s="979">
        <f t="shared" si="50"/>
        <v>0</v>
      </c>
    </row>
    <row r="2280" spans="37:37">
      <c r="AK2280" s="979">
        <f t="shared" si="50"/>
        <v>0</v>
      </c>
    </row>
    <row r="2281" spans="37:37">
      <c r="AK2281" s="979">
        <f t="shared" si="50"/>
        <v>0</v>
      </c>
    </row>
    <row r="2282" spans="37:37">
      <c r="AK2282" s="979">
        <f t="shared" si="50"/>
        <v>0</v>
      </c>
    </row>
    <row r="2283" spans="37:37">
      <c r="AK2283" s="979">
        <f t="shared" si="50"/>
        <v>0</v>
      </c>
    </row>
    <row r="2284" spans="37:37">
      <c r="AK2284" s="979">
        <f t="shared" si="50"/>
        <v>0</v>
      </c>
    </row>
    <row r="2285" spans="37:37">
      <c r="AK2285" s="979">
        <f t="shared" si="50"/>
        <v>0</v>
      </c>
    </row>
    <row r="2286" spans="37:37">
      <c r="AK2286" s="979">
        <f t="shared" si="50"/>
        <v>0</v>
      </c>
    </row>
    <row r="2287" spans="37:37">
      <c r="AK2287" s="979">
        <f t="shared" si="50"/>
        <v>0</v>
      </c>
    </row>
    <row r="2288" spans="37:37">
      <c r="AK2288" s="979">
        <f t="shared" si="50"/>
        <v>0</v>
      </c>
    </row>
    <row r="2289" spans="37:37">
      <c r="AK2289" s="979">
        <f t="shared" si="50"/>
        <v>0</v>
      </c>
    </row>
    <row r="2290" spans="37:37">
      <c r="AK2290" s="979">
        <f t="shared" si="50"/>
        <v>0</v>
      </c>
    </row>
    <row r="2291" spans="37:37">
      <c r="AK2291" s="979">
        <f t="shared" si="50"/>
        <v>0</v>
      </c>
    </row>
    <row r="2292" spans="37:37">
      <c r="AK2292" s="979">
        <f t="shared" si="50"/>
        <v>0</v>
      </c>
    </row>
    <row r="2293" spans="37:37">
      <c r="AK2293" s="979">
        <f t="shared" si="50"/>
        <v>0</v>
      </c>
    </row>
    <row r="2294" spans="37:37">
      <c r="AK2294" s="979">
        <f t="shared" si="50"/>
        <v>0</v>
      </c>
    </row>
    <row r="2295" spans="37:37">
      <c r="AK2295" s="979">
        <f t="shared" si="50"/>
        <v>0</v>
      </c>
    </row>
    <row r="2296" spans="37:37">
      <c r="AK2296" s="979">
        <f t="shared" si="50"/>
        <v>0</v>
      </c>
    </row>
    <row r="2297" spans="37:37">
      <c r="AK2297" s="979">
        <f t="shared" si="50"/>
        <v>0</v>
      </c>
    </row>
    <row r="2298" spans="37:37">
      <c r="AK2298" s="979">
        <f t="shared" si="50"/>
        <v>0</v>
      </c>
    </row>
    <row r="2299" spans="37:37">
      <c r="AK2299" s="979">
        <f t="shared" si="50"/>
        <v>0</v>
      </c>
    </row>
    <row r="2300" spans="37:37">
      <c r="AK2300" s="979">
        <f t="shared" si="50"/>
        <v>0</v>
      </c>
    </row>
    <row r="2301" spans="37:37">
      <c r="AK2301" s="979">
        <f t="shared" si="50"/>
        <v>0</v>
      </c>
    </row>
    <row r="2302" spans="37:37">
      <c r="AK2302" s="979">
        <f t="shared" si="50"/>
        <v>0</v>
      </c>
    </row>
    <row r="2303" spans="37:37">
      <c r="AK2303" s="979">
        <f t="shared" si="50"/>
        <v>0</v>
      </c>
    </row>
    <row r="2304" spans="37:37">
      <c r="AK2304" s="979">
        <f t="shared" si="50"/>
        <v>0</v>
      </c>
    </row>
    <row r="2305" spans="37:37">
      <c r="AK2305" s="979">
        <f t="shared" si="50"/>
        <v>0</v>
      </c>
    </row>
    <row r="2306" spans="37:37">
      <c r="AK2306" s="979">
        <f t="shared" si="50"/>
        <v>0</v>
      </c>
    </row>
    <row r="2307" spans="37:37">
      <c r="AK2307" s="979">
        <f t="shared" si="50"/>
        <v>0</v>
      </c>
    </row>
    <row r="2308" spans="37:37">
      <c r="AK2308" s="979">
        <f t="shared" si="50"/>
        <v>0</v>
      </c>
    </row>
    <row r="2309" spans="37:37">
      <c r="AK2309" s="979">
        <f t="shared" si="50"/>
        <v>0</v>
      </c>
    </row>
    <row r="2310" spans="37:37">
      <c r="AK2310" s="979">
        <f t="shared" si="50"/>
        <v>0</v>
      </c>
    </row>
    <row r="2311" spans="37:37">
      <c r="AK2311" s="979">
        <f t="shared" si="50"/>
        <v>0</v>
      </c>
    </row>
    <row r="2312" spans="37:37">
      <c r="AK2312" s="979">
        <f t="shared" si="50"/>
        <v>0</v>
      </c>
    </row>
    <row r="2313" spans="37:37">
      <c r="AK2313" s="979">
        <f t="shared" si="50"/>
        <v>0</v>
      </c>
    </row>
    <row r="2314" spans="37:37">
      <c r="AK2314" s="979">
        <f t="shared" si="50"/>
        <v>0</v>
      </c>
    </row>
    <row r="2315" spans="37:37">
      <c r="AK2315" s="979">
        <f t="shared" si="50"/>
        <v>0</v>
      </c>
    </row>
    <row r="2316" spans="37:37">
      <c r="AK2316" s="979">
        <f t="shared" si="50"/>
        <v>0</v>
      </c>
    </row>
    <row r="2317" spans="37:37">
      <c r="AK2317" s="979">
        <f t="shared" si="50"/>
        <v>0</v>
      </c>
    </row>
    <row r="2318" spans="37:37">
      <c r="AK2318" s="979">
        <f t="shared" si="50"/>
        <v>0</v>
      </c>
    </row>
    <row r="2319" spans="37:37">
      <c r="AK2319" s="979">
        <f t="shared" si="50"/>
        <v>0</v>
      </c>
    </row>
    <row r="2320" spans="37:37">
      <c r="AK2320" s="979">
        <f t="shared" si="50"/>
        <v>0</v>
      </c>
    </row>
    <row r="2321" spans="37:37">
      <c r="AK2321" s="979">
        <f t="shared" si="50"/>
        <v>0</v>
      </c>
    </row>
    <row r="2322" spans="37:37">
      <c r="AK2322" s="979">
        <f t="shared" si="50"/>
        <v>0</v>
      </c>
    </row>
    <row r="2323" spans="37:37">
      <c r="AK2323" s="979">
        <f t="shared" si="50"/>
        <v>0</v>
      </c>
    </row>
    <row r="2324" spans="37:37">
      <c r="AK2324" s="979">
        <f t="shared" si="50"/>
        <v>0</v>
      </c>
    </row>
    <row r="2325" spans="37:37">
      <c r="AK2325" s="979">
        <f t="shared" si="50"/>
        <v>0</v>
      </c>
    </row>
    <row r="2326" spans="37:37">
      <c r="AK2326" s="979">
        <f t="shared" si="50"/>
        <v>0</v>
      </c>
    </row>
    <row r="2327" spans="37:37">
      <c r="AK2327" s="979">
        <f t="shared" si="50"/>
        <v>0</v>
      </c>
    </row>
    <row r="2328" spans="37:37">
      <c r="AK2328" s="979">
        <f t="shared" ref="AK2328:AK2391" si="51">SUM(O2328:AJ2328)</f>
        <v>0</v>
      </c>
    </row>
    <row r="2329" spans="37:37">
      <c r="AK2329" s="979">
        <f t="shared" si="51"/>
        <v>0</v>
      </c>
    </row>
    <row r="2330" spans="37:37">
      <c r="AK2330" s="979">
        <f t="shared" si="51"/>
        <v>0</v>
      </c>
    </row>
    <row r="2331" spans="37:37">
      <c r="AK2331" s="979">
        <f t="shared" si="51"/>
        <v>0</v>
      </c>
    </row>
    <row r="2332" spans="37:37">
      <c r="AK2332" s="979">
        <f t="shared" si="51"/>
        <v>0</v>
      </c>
    </row>
    <row r="2333" spans="37:37">
      <c r="AK2333" s="979">
        <f t="shared" si="51"/>
        <v>0</v>
      </c>
    </row>
    <row r="2334" spans="37:37">
      <c r="AK2334" s="979">
        <f t="shared" si="51"/>
        <v>0</v>
      </c>
    </row>
    <row r="2335" spans="37:37">
      <c r="AK2335" s="979">
        <f t="shared" si="51"/>
        <v>0</v>
      </c>
    </row>
    <row r="2336" spans="37:37">
      <c r="AK2336" s="979">
        <f t="shared" si="51"/>
        <v>0</v>
      </c>
    </row>
    <row r="2337" spans="37:37">
      <c r="AK2337" s="979">
        <f t="shared" si="51"/>
        <v>0</v>
      </c>
    </row>
    <row r="2338" spans="37:37">
      <c r="AK2338" s="979">
        <f t="shared" si="51"/>
        <v>0</v>
      </c>
    </row>
    <row r="2339" spans="37:37">
      <c r="AK2339" s="979">
        <f t="shared" si="51"/>
        <v>0</v>
      </c>
    </row>
    <row r="2340" spans="37:37">
      <c r="AK2340" s="979">
        <f t="shared" si="51"/>
        <v>0</v>
      </c>
    </row>
    <row r="2341" spans="37:37">
      <c r="AK2341" s="979">
        <f t="shared" si="51"/>
        <v>0</v>
      </c>
    </row>
    <row r="2342" spans="37:37">
      <c r="AK2342" s="979">
        <f t="shared" si="51"/>
        <v>0</v>
      </c>
    </row>
    <row r="2343" spans="37:37">
      <c r="AK2343" s="979">
        <f t="shared" si="51"/>
        <v>0</v>
      </c>
    </row>
    <row r="2344" spans="37:37">
      <c r="AK2344" s="979">
        <f t="shared" si="51"/>
        <v>0</v>
      </c>
    </row>
    <row r="2345" spans="37:37">
      <c r="AK2345" s="979">
        <f t="shared" si="51"/>
        <v>0</v>
      </c>
    </row>
    <row r="2346" spans="37:37">
      <c r="AK2346" s="979">
        <f t="shared" si="51"/>
        <v>0</v>
      </c>
    </row>
    <row r="2347" spans="37:37">
      <c r="AK2347" s="979">
        <f t="shared" si="51"/>
        <v>0</v>
      </c>
    </row>
    <row r="2348" spans="37:37">
      <c r="AK2348" s="979">
        <f t="shared" si="51"/>
        <v>0</v>
      </c>
    </row>
    <row r="2349" spans="37:37">
      <c r="AK2349" s="979">
        <f t="shared" si="51"/>
        <v>0</v>
      </c>
    </row>
    <row r="2350" spans="37:37">
      <c r="AK2350" s="979">
        <f t="shared" si="51"/>
        <v>0</v>
      </c>
    </row>
    <row r="2351" spans="37:37">
      <c r="AK2351" s="979">
        <f t="shared" si="51"/>
        <v>0</v>
      </c>
    </row>
    <row r="2352" spans="37:37">
      <c r="AK2352" s="979">
        <f t="shared" si="51"/>
        <v>0</v>
      </c>
    </row>
    <row r="2353" spans="37:37">
      <c r="AK2353" s="979">
        <f t="shared" si="51"/>
        <v>0</v>
      </c>
    </row>
    <row r="2354" spans="37:37">
      <c r="AK2354" s="979">
        <f t="shared" si="51"/>
        <v>0</v>
      </c>
    </row>
    <row r="2355" spans="37:37">
      <c r="AK2355" s="979">
        <f t="shared" si="51"/>
        <v>0</v>
      </c>
    </row>
    <row r="2356" spans="37:37">
      <c r="AK2356" s="979">
        <f t="shared" si="51"/>
        <v>0</v>
      </c>
    </row>
    <row r="2357" spans="37:37">
      <c r="AK2357" s="979">
        <f t="shared" si="51"/>
        <v>0</v>
      </c>
    </row>
    <row r="2358" spans="37:37">
      <c r="AK2358" s="979">
        <f t="shared" si="51"/>
        <v>0</v>
      </c>
    </row>
    <row r="2359" spans="37:37">
      <c r="AK2359" s="979">
        <f t="shared" si="51"/>
        <v>0</v>
      </c>
    </row>
    <row r="2360" spans="37:37">
      <c r="AK2360" s="979">
        <f t="shared" si="51"/>
        <v>0</v>
      </c>
    </row>
    <row r="2361" spans="37:37">
      <c r="AK2361" s="979">
        <f t="shared" si="51"/>
        <v>0</v>
      </c>
    </row>
    <row r="2362" spans="37:37">
      <c r="AK2362" s="979">
        <f t="shared" si="51"/>
        <v>0</v>
      </c>
    </row>
    <row r="2363" spans="37:37">
      <c r="AK2363" s="979">
        <f t="shared" si="51"/>
        <v>0</v>
      </c>
    </row>
    <row r="2364" spans="37:37">
      <c r="AK2364" s="979">
        <f t="shared" si="51"/>
        <v>0</v>
      </c>
    </row>
    <row r="2365" spans="37:37">
      <c r="AK2365" s="979">
        <f t="shared" si="51"/>
        <v>0</v>
      </c>
    </row>
    <row r="2366" spans="37:37">
      <c r="AK2366" s="979">
        <f t="shared" si="51"/>
        <v>0</v>
      </c>
    </row>
    <row r="2367" spans="37:37">
      <c r="AK2367" s="979">
        <f t="shared" si="51"/>
        <v>0</v>
      </c>
    </row>
    <row r="2368" spans="37:37">
      <c r="AK2368" s="979">
        <f t="shared" si="51"/>
        <v>0</v>
      </c>
    </row>
    <row r="2369" spans="37:37">
      <c r="AK2369" s="979">
        <f t="shared" si="51"/>
        <v>0</v>
      </c>
    </row>
    <row r="2370" spans="37:37">
      <c r="AK2370" s="979">
        <f t="shared" si="51"/>
        <v>0</v>
      </c>
    </row>
    <row r="2371" spans="37:37">
      <c r="AK2371" s="979">
        <f t="shared" si="51"/>
        <v>0</v>
      </c>
    </row>
    <row r="2372" spans="37:37">
      <c r="AK2372" s="979">
        <f t="shared" si="51"/>
        <v>0</v>
      </c>
    </row>
    <row r="2373" spans="37:37">
      <c r="AK2373" s="979">
        <f t="shared" si="51"/>
        <v>0</v>
      </c>
    </row>
    <row r="2374" spans="37:37">
      <c r="AK2374" s="979">
        <f t="shared" si="51"/>
        <v>0</v>
      </c>
    </row>
    <row r="2375" spans="37:37">
      <c r="AK2375" s="979">
        <f t="shared" si="51"/>
        <v>0</v>
      </c>
    </row>
    <row r="2376" spans="37:37">
      <c r="AK2376" s="979">
        <f t="shared" si="51"/>
        <v>0</v>
      </c>
    </row>
    <row r="2377" spans="37:37">
      <c r="AK2377" s="979">
        <f t="shared" si="51"/>
        <v>0</v>
      </c>
    </row>
    <row r="2378" spans="37:37">
      <c r="AK2378" s="979">
        <f t="shared" si="51"/>
        <v>0</v>
      </c>
    </row>
    <row r="2379" spans="37:37">
      <c r="AK2379" s="979">
        <f t="shared" si="51"/>
        <v>0</v>
      </c>
    </row>
    <row r="2380" spans="37:37">
      <c r="AK2380" s="979">
        <f t="shared" si="51"/>
        <v>0</v>
      </c>
    </row>
    <row r="2381" spans="37:37">
      <c r="AK2381" s="979">
        <f t="shared" si="51"/>
        <v>0</v>
      </c>
    </row>
    <row r="2382" spans="37:37">
      <c r="AK2382" s="979">
        <f t="shared" si="51"/>
        <v>0</v>
      </c>
    </row>
    <row r="2383" spans="37:37">
      <c r="AK2383" s="979">
        <f t="shared" si="51"/>
        <v>0</v>
      </c>
    </row>
    <row r="2384" spans="37:37">
      <c r="AK2384" s="979">
        <f t="shared" si="51"/>
        <v>0</v>
      </c>
    </row>
    <row r="2385" spans="37:37">
      <c r="AK2385" s="979">
        <f t="shared" si="51"/>
        <v>0</v>
      </c>
    </row>
    <row r="2386" spans="37:37">
      <c r="AK2386" s="979">
        <f t="shared" si="51"/>
        <v>0</v>
      </c>
    </row>
    <row r="2387" spans="37:37">
      <c r="AK2387" s="979">
        <f t="shared" si="51"/>
        <v>0</v>
      </c>
    </row>
    <row r="2388" spans="37:37">
      <c r="AK2388" s="979">
        <f t="shared" si="51"/>
        <v>0</v>
      </c>
    </row>
    <row r="2389" spans="37:37">
      <c r="AK2389" s="979">
        <f t="shared" si="51"/>
        <v>0</v>
      </c>
    </row>
    <row r="2390" spans="37:37">
      <c r="AK2390" s="979">
        <f t="shared" si="51"/>
        <v>0</v>
      </c>
    </row>
    <row r="2391" spans="37:37">
      <c r="AK2391" s="979">
        <f t="shared" si="51"/>
        <v>0</v>
      </c>
    </row>
    <row r="2392" spans="37:37">
      <c r="AK2392" s="979">
        <f t="shared" ref="AK2392:AK2455" si="52">SUM(O2392:AJ2392)</f>
        <v>0</v>
      </c>
    </row>
    <row r="2393" spans="37:37">
      <c r="AK2393" s="979">
        <f t="shared" si="52"/>
        <v>0</v>
      </c>
    </row>
    <row r="2394" spans="37:37">
      <c r="AK2394" s="979">
        <f t="shared" si="52"/>
        <v>0</v>
      </c>
    </row>
    <row r="2395" spans="37:37">
      <c r="AK2395" s="979">
        <f t="shared" si="52"/>
        <v>0</v>
      </c>
    </row>
    <row r="2396" spans="37:37">
      <c r="AK2396" s="979">
        <f t="shared" si="52"/>
        <v>0</v>
      </c>
    </row>
    <row r="2397" spans="37:37">
      <c r="AK2397" s="979">
        <f t="shared" si="52"/>
        <v>0</v>
      </c>
    </row>
    <row r="2398" spans="37:37">
      <c r="AK2398" s="979">
        <f t="shared" si="52"/>
        <v>0</v>
      </c>
    </row>
    <row r="2399" spans="37:37">
      <c r="AK2399" s="979">
        <f t="shared" si="52"/>
        <v>0</v>
      </c>
    </row>
    <row r="2400" spans="37:37">
      <c r="AK2400" s="979">
        <f t="shared" si="52"/>
        <v>0</v>
      </c>
    </row>
    <row r="2401" spans="37:37">
      <c r="AK2401" s="979">
        <f t="shared" si="52"/>
        <v>0</v>
      </c>
    </row>
    <row r="2402" spans="37:37">
      <c r="AK2402" s="979">
        <f t="shared" si="52"/>
        <v>0</v>
      </c>
    </row>
    <row r="2403" spans="37:37">
      <c r="AK2403" s="979">
        <f t="shared" si="52"/>
        <v>0</v>
      </c>
    </row>
    <row r="2404" spans="37:37">
      <c r="AK2404" s="979">
        <f t="shared" si="52"/>
        <v>0</v>
      </c>
    </row>
    <row r="2405" spans="37:37">
      <c r="AK2405" s="979">
        <f t="shared" si="52"/>
        <v>0</v>
      </c>
    </row>
    <row r="2406" spans="37:37">
      <c r="AK2406" s="979">
        <f t="shared" si="52"/>
        <v>0</v>
      </c>
    </row>
    <row r="2407" spans="37:37">
      <c r="AK2407" s="979">
        <f t="shared" si="52"/>
        <v>0</v>
      </c>
    </row>
    <row r="2408" spans="37:37">
      <c r="AK2408" s="979">
        <f t="shared" si="52"/>
        <v>0</v>
      </c>
    </row>
    <row r="2409" spans="37:37">
      <c r="AK2409" s="979">
        <f t="shared" si="52"/>
        <v>0</v>
      </c>
    </row>
    <row r="2410" spans="37:37">
      <c r="AK2410" s="979">
        <f t="shared" si="52"/>
        <v>0</v>
      </c>
    </row>
    <row r="2411" spans="37:37">
      <c r="AK2411" s="979">
        <f t="shared" si="52"/>
        <v>0</v>
      </c>
    </row>
    <row r="2412" spans="37:37">
      <c r="AK2412" s="979">
        <f t="shared" si="52"/>
        <v>0</v>
      </c>
    </row>
    <row r="2413" spans="37:37">
      <c r="AK2413" s="979">
        <f t="shared" si="52"/>
        <v>0</v>
      </c>
    </row>
    <row r="2414" spans="37:37">
      <c r="AK2414" s="979">
        <f t="shared" si="52"/>
        <v>0</v>
      </c>
    </row>
    <row r="2415" spans="37:37">
      <c r="AK2415" s="979">
        <f t="shared" si="52"/>
        <v>0</v>
      </c>
    </row>
    <row r="2416" spans="37:37">
      <c r="AK2416" s="979">
        <f t="shared" si="52"/>
        <v>0</v>
      </c>
    </row>
    <row r="2417" spans="37:37">
      <c r="AK2417" s="979">
        <f t="shared" si="52"/>
        <v>0</v>
      </c>
    </row>
    <row r="2418" spans="37:37">
      <c r="AK2418" s="979">
        <f t="shared" si="52"/>
        <v>0</v>
      </c>
    </row>
    <row r="2419" spans="37:37">
      <c r="AK2419" s="979">
        <f t="shared" si="52"/>
        <v>0</v>
      </c>
    </row>
    <row r="2420" spans="37:37">
      <c r="AK2420" s="979">
        <f t="shared" si="52"/>
        <v>0</v>
      </c>
    </row>
    <row r="2421" spans="37:37">
      <c r="AK2421" s="979">
        <f t="shared" si="52"/>
        <v>0</v>
      </c>
    </row>
    <row r="2422" spans="37:37">
      <c r="AK2422" s="979">
        <f t="shared" si="52"/>
        <v>0</v>
      </c>
    </row>
    <row r="2423" spans="37:37">
      <c r="AK2423" s="979">
        <f t="shared" si="52"/>
        <v>0</v>
      </c>
    </row>
    <row r="2424" spans="37:37">
      <c r="AK2424" s="979">
        <f t="shared" si="52"/>
        <v>0</v>
      </c>
    </row>
    <row r="2425" spans="37:37">
      <c r="AK2425" s="979">
        <f t="shared" si="52"/>
        <v>0</v>
      </c>
    </row>
    <row r="2426" spans="37:37">
      <c r="AK2426" s="979">
        <f t="shared" si="52"/>
        <v>0</v>
      </c>
    </row>
    <row r="2427" spans="37:37">
      <c r="AK2427" s="979">
        <f t="shared" si="52"/>
        <v>0</v>
      </c>
    </row>
    <row r="2428" spans="37:37">
      <c r="AK2428" s="979">
        <f t="shared" si="52"/>
        <v>0</v>
      </c>
    </row>
    <row r="2429" spans="37:37">
      <c r="AK2429" s="979">
        <f t="shared" si="52"/>
        <v>0</v>
      </c>
    </row>
    <row r="2430" spans="37:37">
      <c r="AK2430" s="979">
        <f t="shared" si="52"/>
        <v>0</v>
      </c>
    </row>
    <row r="2431" spans="37:37">
      <c r="AK2431" s="979">
        <f t="shared" si="52"/>
        <v>0</v>
      </c>
    </row>
    <row r="2432" spans="37:37">
      <c r="AK2432" s="979">
        <f t="shared" si="52"/>
        <v>0</v>
      </c>
    </row>
    <row r="2433" spans="37:37">
      <c r="AK2433" s="979">
        <f t="shared" si="52"/>
        <v>0</v>
      </c>
    </row>
    <row r="2434" spans="37:37">
      <c r="AK2434" s="979">
        <f t="shared" si="52"/>
        <v>0</v>
      </c>
    </row>
    <row r="2435" spans="37:37">
      <c r="AK2435" s="979">
        <f t="shared" si="52"/>
        <v>0</v>
      </c>
    </row>
    <row r="2436" spans="37:37">
      <c r="AK2436" s="979">
        <f t="shared" si="52"/>
        <v>0</v>
      </c>
    </row>
    <row r="2437" spans="37:37">
      <c r="AK2437" s="979">
        <f t="shared" si="52"/>
        <v>0</v>
      </c>
    </row>
    <row r="2438" spans="37:37">
      <c r="AK2438" s="979">
        <f t="shared" si="52"/>
        <v>0</v>
      </c>
    </row>
    <row r="2439" spans="37:37">
      <c r="AK2439" s="979">
        <f t="shared" si="52"/>
        <v>0</v>
      </c>
    </row>
    <row r="2440" spans="37:37">
      <c r="AK2440" s="979">
        <f t="shared" si="52"/>
        <v>0</v>
      </c>
    </row>
    <row r="2441" spans="37:37">
      <c r="AK2441" s="979">
        <f t="shared" si="52"/>
        <v>0</v>
      </c>
    </row>
    <row r="2442" spans="37:37">
      <c r="AK2442" s="979">
        <f t="shared" si="52"/>
        <v>0</v>
      </c>
    </row>
    <row r="2443" spans="37:37">
      <c r="AK2443" s="979">
        <f t="shared" si="52"/>
        <v>0</v>
      </c>
    </row>
    <row r="2444" spans="37:37">
      <c r="AK2444" s="979">
        <f t="shared" si="52"/>
        <v>0</v>
      </c>
    </row>
    <row r="2445" spans="37:37">
      <c r="AK2445" s="979">
        <f t="shared" si="52"/>
        <v>0</v>
      </c>
    </row>
    <row r="2446" spans="37:37">
      <c r="AK2446" s="979">
        <f t="shared" si="52"/>
        <v>0</v>
      </c>
    </row>
    <row r="2447" spans="37:37">
      <c r="AK2447" s="979">
        <f t="shared" si="52"/>
        <v>0</v>
      </c>
    </row>
    <row r="2448" spans="37:37">
      <c r="AK2448" s="979">
        <f t="shared" si="52"/>
        <v>0</v>
      </c>
    </row>
    <row r="2449" spans="37:37">
      <c r="AK2449" s="979">
        <f t="shared" si="52"/>
        <v>0</v>
      </c>
    </row>
    <row r="2450" spans="37:37">
      <c r="AK2450" s="979">
        <f t="shared" si="52"/>
        <v>0</v>
      </c>
    </row>
    <row r="2451" spans="37:37">
      <c r="AK2451" s="979">
        <f t="shared" si="52"/>
        <v>0</v>
      </c>
    </row>
    <row r="2452" spans="37:37">
      <c r="AK2452" s="979">
        <f t="shared" si="52"/>
        <v>0</v>
      </c>
    </row>
    <row r="2453" spans="37:37">
      <c r="AK2453" s="979">
        <f t="shared" si="52"/>
        <v>0</v>
      </c>
    </row>
    <row r="2454" spans="37:37">
      <c r="AK2454" s="979">
        <f t="shared" si="52"/>
        <v>0</v>
      </c>
    </row>
    <row r="2455" spans="37:37">
      <c r="AK2455" s="979">
        <f t="shared" si="52"/>
        <v>0</v>
      </c>
    </row>
    <row r="2456" spans="37:37">
      <c r="AK2456" s="979">
        <f t="shared" ref="AK2456:AK2519" si="53">SUM(O2456:AJ2456)</f>
        <v>0</v>
      </c>
    </row>
    <row r="2457" spans="37:37">
      <c r="AK2457" s="979">
        <f t="shared" si="53"/>
        <v>0</v>
      </c>
    </row>
    <row r="2458" spans="37:37">
      <c r="AK2458" s="979">
        <f t="shared" si="53"/>
        <v>0</v>
      </c>
    </row>
    <row r="2459" spans="37:37">
      <c r="AK2459" s="979">
        <f t="shared" si="53"/>
        <v>0</v>
      </c>
    </row>
    <row r="2460" spans="37:37">
      <c r="AK2460" s="979">
        <f t="shared" si="53"/>
        <v>0</v>
      </c>
    </row>
    <row r="2461" spans="37:37">
      <c r="AK2461" s="979">
        <f t="shared" si="53"/>
        <v>0</v>
      </c>
    </row>
    <row r="2462" spans="37:37">
      <c r="AK2462" s="979">
        <f t="shared" si="53"/>
        <v>0</v>
      </c>
    </row>
    <row r="2463" spans="37:37">
      <c r="AK2463" s="979">
        <f t="shared" si="53"/>
        <v>0</v>
      </c>
    </row>
    <row r="2464" spans="37:37">
      <c r="AK2464" s="979">
        <f t="shared" si="53"/>
        <v>0</v>
      </c>
    </row>
    <row r="2465" spans="37:37">
      <c r="AK2465" s="979">
        <f t="shared" si="53"/>
        <v>0</v>
      </c>
    </row>
    <row r="2466" spans="37:37">
      <c r="AK2466" s="979">
        <f t="shared" si="53"/>
        <v>0</v>
      </c>
    </row>
    <row r="2467" spans="37:37">
      <c r="AK2467" s="979">
        <f t="shared" si="53"/>
        <v>0</v>
      </c>
    </row>
    <row r="2468" spans="37:37">
      <c r="AK2468" s="979">
        <f t="shared" si="53"/>
        <v>0</v>
      </c>
    </row>
    <row r="2469" spans="37:37">
      <c r="AK2469" s="979">
        <f t="shared" si="53"/>
        <v>0</v>
      </c>
    </row>
    <row r="2470" spans="37:37">
      <c r="AK2470" s="979">
        <f t="shared" si="53"/>
        <v>0</v>
      </c>
    </row>
    <row r="2471" spans="37:37">
      <c r="AK2471" s="979">
        <f t="shared" si="53"/>
        <v>0</v>
      </c>
    </row>
    <row r="2472" spans="37:37">
      <c r="AK2472" s="979">
        <f t="shared" si="53"/>
        <v>0</v>
      </c>
    </row>
    <row r="2473" spans="37:37">
      <c r="AK2473" s="979">
        <f t="shared" si="53"/>
        <v>0</v>
      </c>
    </row>
    <row r="2474" spans="37:37">
      <c r="AK2474" s="979">
        <f t="shared" si="53"/>
        <v>0</v>
      </c>
    </row>
    <row r="2475" spans="37:37">
      <c r="AK2475" s="979">
        <f t="shared" si="53"/>
        <v>0</v>
      </c>
    </row>
    <row r="2476" spans="37:37">
      <c r="AK2476" s="979">
        <f t="shared" si="53"/>
        <v>0</v>
      </c>
    </row>
    <row r="2477" spans="37:37">
      <c r="AK2477" s="979">
        <f t="shared" si="53"/>
        <v>0</v>
      </c>
    </row>
    <row r="2478" spans="37:37">
      <c r="AK2478" s="979">
        <f t="shared" si="53"/>
        <v>0</v>
      </c>
    </row>
    <row r="2479" spans="37:37">
      <c r="AK2479" s="979">
        <f t="shared" si="53"/>
        <v>0</v>
      </c>
    </row>
    <row r="2480" spans="37:37">
      <c r="AK2480" s="979">
        <f t="shared" si="53"/>
        <v>0</v>
      </c>
    </row>
    <row r="2481" spans="37:37">
      <c r="AK2481" s="979">
        <f t="shared" si="53"/>
        <v>0</v>
      </c>
    </row>
    <row r="2482" spans="37:37">
      <c r="AK2482" s="979">
        <f t="shared" si="53"/>
        <v>0</v>
      </c>
    </row>
    <row r="2483" spans="37:37">
      <c r="AK2483" s="979">
        <f t="shared" si="53"/>
        <v>0</v>
      </c>
    </row>
    <row r="2484" spans="37:37">
      <c r="AK2484" s="979">
        <f t="shared" si="53"/>
        <v>0</v>
      </c>
    </row>
    <row r="2485" spans="37:37">
      <c r="AK2485" s="979">
        <f t="shared" si="53"/>
        <v>0</v>
      </c>
    </row>
    <row r="2486" spans="37:37">
      <c r="AK2486" s="979">
        <f t="shared" si="53"/>
        <v>0</v>
      </c>
    </row>
    <row r="2487" spans="37:37">
      <c r="AK2487" s="979">
        <f t="shared" si="53"/>
        <v>0</v>
      </c>
    </row>
    <row r="2488" spans="37:37">
      <c r="AK2488" s="979">
        <f t="shared" si="53"/>
        <v>0</v>
      </c>
    </row>
    <row r="2489" spans="37:37">
      <c r="AK2489" s="979">
        <f t="shared" si="53"/>
        <v>0</v>
      </c>
    </row>
    <row r="2490" spans="37:37">
      <c r="AK2490" s="979">
        <f t="shared" si="53"/>
        <v>0</v>
      </c>
    </row>
    <row r="2491" spans="37:37">
      <c r="AK2491" s="979">
        <f t="shared" si="53"/>
        <v>0</v>
      </c>
    </row>
    <row r="2492" spans="37:37">
      <c r="AK2492" s="979">
        <f t="shared" si="53"/>
        <v>0</v>
      </c>
    </row>
    <row r="2493" spans="37:37">
      <c r="AK2493" s="979">
        <f t="shared" si="53"/>
        <v>0</v>
      </c>
    </row>
    <row r="2494" spans="37:37">
      <c r="AK2494" s="979">
        <f t="shared" si="53"/>
        <v>0</v>
      </c>
    </row>
    <row r="2495" spans="37:37">
      <c r="AK2495" s="979">
        <f t="shared" si="53"/>
        <v>0</v>
      </c>
    </row>
    <row r="2496" spans="37:37">
      <c r="AK2496" s="979">
        <f t="shared" si="53"/>
        <v>0</v>
      </c>
    </row>
    <row r="2497" spans="37:37">
      <c r="AK2497" s="979">
        <f t="shared" si="53"/>
        <v>0</v>
      </c>
    </row>
    <row r="2498" spans="37:37">
      <c r="AK2498" s="979">
        <f t="shared" si="53"/>
        <v>0</v>
      </c>
    </row>
    <row r="2499" spans="37:37">
      <c r="AK2499" s="979">
        <f t="shared" si="53"/>
        <v>0</v>
      </c>
    </row>
    <row r="2500" spans="37:37">
      <c r="AK2500" s="979">
        <f t="shared" si="53"/>
        <v>0</v>
      </c>
    </row>
    <row r="2501" spans="37:37">
      <c r="AK2501" s="979">
        <f t="shared" si="53"/>
        <v>0</v>
      </c>
    </row>
    <row r="2502" spans="37:37">
      <c r="AK2502" s="979">
        <f t="shared" si="53"/>
        <v>0</v>
      </c>
    </row>
    <row r="2503" spans="37:37">
      <c r="AK2503" s="979">
        <f t="shared" si="53"/>
        <v>0</v>
      </c>
    </row>
    <row r="2504" spans="37:37">
      <c r="AK2504" s="979">
        <f t="shared" si="53"/>
        <v>0</v>
      </c>
    </row>
    <row r="2505" spans="37:37">
      <c r="AK2505" s="979">
        <f t="shared" si="53"/>
        <v>0</v>
      </c>
    </row>
    <row r="2506" spans="37:37">
      <c r="AK2506" s="979">
        <f t="shared" si="53"/>
        <v>0</v>
      </c>
    </row>
    <row r="2507" spans="37:37">
      <c r="AK2507" s="979">
        <f t="shared" si="53"/>
        <v>0</v>
      </c>
    </row>
    <row r="2508" spans="37:37">
      <c r="AK2508" s="979">
        <f t="shared" si="53"/>
        <v>0</v>
      </c>
    </row>
    <row r="2509" spans="37:37">
      <c r="AK2509" s="979">
        <f t="shared" si="53"/>
        <v>0</v>
      </c>
    </row>
    <row r="2510" spans="37:37">
      <c r="AK2510" s="979">
        <f t="shared" si="53"/>
        <v>0</v>
      </c>
    </row>
    <row r="2511" spans="37:37">
      <c r="AK2511" s="979">
        <f t="shared" si="53"/>
        <v>0</v>
      </c>
    </row>
    <row r="2512" spans="37:37">
      <c r="AK2512" s="979">
        <f t="shared" si="53"/>
        <v>0</v>
      </c>
    </row>
    <row r="2513" spans="37:37">
      <c r="AK2513" s="979">
        <f t="shared" si="53"/>
        <v>0</v>
      </c>
    </row>
    <row r="2514" spans="37:37">
      <c r="AK2514" s="979">
        <f t="shared" si="53"/>
        <v>0</v>
      </c>
    </row>
    <row r="2515" spans="37:37">
      <c r="AK2515" s="979">
        <f t="shared" si="53"/>
        <v>0</v>
      </c>
    </row>
    <row r="2516" spans="37:37">
      <c r="AK2516" s="979">
        <f t="shared" si="53"/>
        <v>0</v>
      </c>
    </row>
    <row r="2517" spans="37:37">
      <c r="AK2517" s="979">
        <f t="shared" si="53"/>
        <v>0</v>
      </c>
    </row>
    <row r="2518" spans="37:37">
      <c r="AK2518" s="979">
        <f t="shared" si="53"/>
        <v>0</v>
      </c>
    </row>
    <row r="2519" spans="37:37">
      <c r="AK2519" s="979">
        <f t="shared" si="53"/>
        <v>0</v>
      </c>
    </row>
    <row r="2520" spans="37:37">
      <c r="AK2520" s="979">
        <f t="shared" ref="AK2520:AK2583" si="54">SUM(O2520:AJ2520)</f>
        <v>0</v>
      </c>
    </row>
    <row r="2521" spans="37:37">
      <c r="AK2521" s="979">
        <f t="shared" si="54"/>
        <v>0</v>
      </c>
    </row>
    <row r="2522" spans="37:37">
      <c r="AK2522" s="979">
        <f t="shared" si="54"/>
        <v>0</v>
      </c>
    </row>
    <row r="2523" spans="37:37">
      <c r="AK2523" s="979">
        <f t="shared" si="54"/>
        <v>0</v>
      </c>
    </row>
    <row r="2524" spans="37:37">
      <c r="AK2524" s="979">
        <f t="shared" si="54"/>
        <v>0</v>
      </c>
    </row>
    <row r="2525" spans="37:37">
      <c r="AK2525" s="979">
        <f t="shared" si="54"/>
        <v>0</v>
      </c>
    </row>
    <row r="2526" spans="37:37">
      <c r="AK2526" s="979">
        <f t="shared" si="54"/>
        <v>0</v>
      </c>
    </row>
    <row r="2527" spans="37:37">
      <c r="AK2527" s="979">
        <f t="shared" si="54"/>
        <v>0</v>
      </c>
    </row>
    <row r="2528" spans="37:37">
      <c r="AK2528" s="979">
        <f t="shared" si="54"/>
        <v>0</v>
      </c>
    </row>
    <row r="2529" spans="37:37">
      <c r="AK2529" s="979">
        <f t="shared" si="54"/>
        <v>0</v>
      </c>
    </row>
    <row r="2530" spans="37:37">
      <c r="AK2530" s="979">
        <f t="shared" si="54"/>
        <v>0</v>
      </c>
    </row>
    <row r="2531" spans="37:37">
      <c r="AK2531" s="979">
        <f t="shared" si="54"/>
        <v>0</v>
      </c>
    </row>
    <row r="2532" spans="37:37">
      <c r="AK2532" s="979">
        <f t="shared" si="54"/>
        <v>0</v>
      </c>
    </row>
    <row r="2533" spans="37:37">
      <c r="AK2533" s="979">
        <f t="shared" si="54"/>
        <v>0</v>
      </c>
    </row>
    <row r="2534" spans="37:37">
      <c r="AK2534" s="979">
        <f t="shared" si="54"/>
        <v>0</v>
      </c>
    </row>
    <row r="2535" spans="37:37">
      <c r="AK2535" s="979">
        <f t="shared" si="54"/>
        <v>0</v>
      </c>
    </row>
    <row r="2536" spans="37:37">
      <c r="AK2536" s="979">
        <f t="shared" si="54"/>
        <v>0</v>
      </c>
    </row>
    <row r="2537" spans="37:37">
      <c r="AK2537" s="979">
        <f t="shared" si="54"/>
        <v>0</v>
      </c>
    </row>
    <row r="2538" spans="37:37">
      <c r="AK2538" s="979">
        <f t="shared" si="54"/>
        <v>0</v>
      </c>
    </row>
    <row r="2539" spans="37:37">
      <c r="AK2539" s="979">
        <f t="shared" si="54"/>
        <v>0</v>
      </c>
    </row>
    <row r="2540" spans="37:37">
      <c r="AK2540" s="979">
        <f t="shared" si="54"/>
        <v>0</v>
      </c>
    </row>
    <row r="2541" spans="37:37">
      <c r="AK2541" s="979">
        <f t="shared" si="54"/>
        <v>0</v>
      </c>
    </row>
    <row r="2542" spans="37:37">
      <c r="AK2542" s="979">
        <f t="shared" si="54"/>
        <v>0</v>
      </c>
    </row>
    <row r="2543" spans="37:37">
      <c r="AK2543" s="979">
        <f t="shared" si="54"/>
        <v>0</v>
      </c>
    </row>
    <row r="2544" spans="37:37">
      <c r="AK2544" s="979">
        <f t="shared" si="54"/>
        <v>0</v>
      </c>
    </row>
    <row r="2545" spans="37:37">
      <c r="AK2545" s="979">
        <f t="shared" si="54"/>
        <v>0</v>
      </c>
    </row>
    <row r="2546" spans="37:37">
      <c r="AK2546" s="979">
        <f t="shared" si="54"/>
        <v>0</v>
      </c>
    </row>
    <row r="2547" spans="37:37">
      <c r="AK2547" s="979">
        <f t="shared" si="54"/>
        <v>0</v>
      </c>
    </row>
    <row r="2548" spans="37:37">
      <c r="AK2548" s="979">
        <f t="shared" si="54"/>
        <v>0</v>
      </c>
    </row>
    <row r="2549" spans="37:37">
      <c r="AK2549" s="979">
        <f t="shared" si="54"/>
        <v>0</v>
      </c>
    </row>
    <row r="2550" spans="37:37">
      <c r="AK2550" s="979">
        <f t="shared" si="54"/>
        <v>0</v>
      </c>
    </row>
    <row r="2551" spans="37:37">
      <c r="AK2551" s="979">
        <f t="shared" si="54"/>
        <v>0</v>
      </c>
    </row>
    <row r="2552" spans="37:37">
      <c r="AK2552" s="979">
        <f t="shared" si="54"/>
        <v>0</v>
      </c>
    </row>
    <row r="2553" spans="37:37">
      <c r="AK2553" s="979">
        <f t="shared" si="54"/>
        <v>0</v>
      </c>
    </row>
    <row r="2554" spans="37:37">
      <c r="AK2554" s="979">
        <f t="shared" si="54"/>
        <v>0</v>
      </c>
    </row>
    <row r="2555" spans="37:37">
      <c r="AK2555" s="979">
        <f t="shared" si="54"/>
        <v>0</v>
      </c>
    </row>
    <row r="2556" spans="37:37">
      <c r="AK2556" s="979">
        <f t="shared" si="54"/>
        <v>0</v>
      </c>
    </row>
    <row r="2557" spans="37:37">
      <c r="AK2557" s="979">
        <f t="shared" si="54"/>
        <v>0</v>
      </c>
    </row>
    <row r="2558" spans="37:37">
      <c r="AK2558" s="979">
        <f t="shared" si="54"/>
        <v>0</v>
      </c>
    </row>
    <row r="2559" spans="37:37">
      <c r="AK2559" s="979">
        <f t="shared" si="54"/>
        <v>0</v>
      </c>
    </row>
    <row r="2560" spans="37:37">
      <c r="AK2560" s="979">
        <f t="shared" si="54"/>
        <v>0</v>
      </c>
    </row>
    <row r="2561" spans="37:37">
      <c r="AK2561" s="979">
        <f t="shared" si="54"/>
        <v>0</v>
      </c>
    </row>
    <row r="2562" spans="37:37">
      <c r="AK2562" s="979">
        <f t="shared" si="54"/>
        <v>0</v>
      </c>
    </row>
    <row r="2563" spans="37:37">
      <c r="AK2563" s="979">
        <f t="shared" si="54"/>
        <v>0</v>
      </c>
    </row>
    <row r="2564" spans="37:37">
      <c r="AK2564" s="979">
        <f t="shared" si="54"/>
        <v>0</v>
      </c>
    </row>
    <row r="2565" spans="37:37">
      <c r="AK2565" s="979">
        <f t="shared" si="54"/>
        <v>0</v>
      </c>
    </row>
    <row r="2566" spans="37:37">
      <c r="AK2566" s="979">
        <f t="shared" si="54"/>
        <v>0</v>
      </c>
    </row>
    <row r="2567" spans="37:37">
      <c r="AK2567" s="979">
        <f t="shared" si="54"/>
        <v>0</v>
      </c>
    </row>
    <row r="2568" spans="37:37">
      <c r="AK2568" s="979">
        <f t="shared" si="54"/>
        <v>0</v>
      </c>
    </row>
    <row r="2569" spans="37:37">
      <c r="AK2569" s="979">
        <f t="shared" si="54"/>
        <v>0</v>
      </c>
    </row>
    <row r="2570" spans="37:37">
      <c r="AK2570" s="979">
        <f t="shared" si="54"/>
        <v>0</v>
      </c>
    </row>
    <row r="2571" spans="37:37">
      <c r="AK2571" s="979">
        <f t="shared" si="54"/>
        <v>0</v>
      </c>
    </row>
    <row r="2572" spans="37:37">
      <c r="AK2572" s="979">
        <f t="shared" si="54"/>
        <v>0</v>
      </c>
    </row>
    <row r="2573" spans="37:37">
      <c r="AK2573" s="979">
        <f t="shared" si="54"/>
        <v>0</v>
      </c>
    </row>
    <row r="2574" spans="37:37">
      <c r="AK2574" s="979">
        <f t="shared" si="54"/>
        <v>0</v>
      </c>
    </row>
    <row r="2575" spans="37:37">
      <c r="AK2575" s="979">
        <f t="shared" si="54"/>
        <v>0</v>
      </c>
    </row>
    <row r="2576" spans="37:37">
      <c r="AK2576" s="979">
        <f t="shared" si="54"/>
        <v>0</v>
      </c>
    </row>
    <row r="2577" spans="37:37">
      <c r="AK2577" s="979">
        <f t="shared" si="54"/>
        <v>0</v>
      </c>
    </row>
    <row r="2578" spans="37:37">
      <c r="AK2578" s="979">
        <f t="shared" si="54"/>
        <v>0</v>
      </c>
    </row>
    <row r="2579" spans="37:37">
      <c r="AK2579" s="979">
        <f t="shared" si="54"/>
        <v>0</v>
      </c>
    </row>
    <row r="2580" spans="37:37">
      <c r="AK2580" s="979">
        <f t="shared" si="54"/>
        <v>0</v>
      </c>
    </row>
    <row r="2581" spans="37:37">
      <c r="AK2581" s="979">
        <f t="shared" si="54"/>
        <v>0</v>
      </c>
    </row>
    <row r="2582" spans="37:37">
      <c r="AK2582" s="979">
        <f t="shared" si="54"/>
        <v>0</v>
      </c>
    </row>
    <row r="2583" spans="37:37">
      <c r="AK2583" s="979">
        <f t="shared" si="54"/>
        <v>0</v>
      </c>
    </row>
    <row r="2584" spans="37:37">
      <c r="AK2584" s="979">
        <f t="shared" ref="AK2584:AK2647" si="55">SUM(O2584:AJ2584)</f>
        <v>0</v>
      </c>
    </row>
    <row r="2585" spans="37:37">
      <c r="AK2585" s="979">
        <f t="shared" si="55"/>
        <v>0</v>
      </c>
    </row>
    <row r="2586" spans="37:37">
      <c r="AK2586" s="979">
        <f t="shared" si="55"/>
        <v>0</v>
      </c>
    </row>
    <row r="2587" spans="37:37">
      <c r="AK2587" s="979">
        <f t="shared" si="55"/>
        <v>0</v>
      </c>
    </row>
    <row r="2588" spans="37:37">
      <c r="AK2588" s="979">
        <f t="shared" si="55"/>
        <v>0</v>
      </c>
    </row>
    <row r="2589" spans="37:37">
      <c r="AK2589" s="979">
        <f t="shared" si="55"/>
        <v>0</v>
      </c>
    </row>
    <row r="2590" spans="37:37">
      <c r="AK2590" s="979">
        <f t="shared" si="55"/>
        <v>0</v>
      </c>
    </row>
    <row r="2591" spans="37:37">
      <c r="AK2591" s="979">
        <f t="shared" si="55"/>
        <v>0</v>
      </c>
    </row>
    <row r="2592" spans="37:37">
      <c r="AK2592" s="979">
        <f t="shared" si="55"/>
        <v>0</v>
      </c>
    </row>
    <row r="2593" spans="37:37">
      <c r="AK2593" s="979">
        <f t="shared" si="55"/>
        <v>0</v>
      </c>
    </row>
    <row r="2594" spans="37:37">
      <c r="AK2594" s="979">
        <f t="shared" si="55"/>
        <v>0</v>
      </c>
    </row>
    <row r="2595" spans="37:37">
      <c r="AK2595" s="979">
        <f t="shared" si="55"/>
        <v>0</v>
      </c>
    </row>
    <row r="2596" spans="37:37">
      <c r="AK2596" s="979">
        <f t="shared" si="55"/>
        <v>0</v>
      </c>
    </row>
    <row r="2597" spans="37:37">
      <c r="AK2597" s="979">
        <f t="shared" si="55"/>
        <v>0</v>
      </c>
    </row>
    <row r="2598" spans="37:37">
      <c r="AK2598" s="979">
        <f t="shared" si="55"/>
        <v>0</v>
      </c>
    </row>
    <row r="2599" spans="37:37">
      <c r="AK2599" s="979">
        <f t="shared" si="55"/>
        <v>0</v>
      </c>
    </row>
    <row r="2600" spans="37:37">
      <c r="AK2600" s="979">
        <f t="shared" si="55"/>
        <v>0</v>
      </c>
    </row>
    <row r="2601" spans="37:37">
      <c r="AK2601" s="979">
        <f t="shared" si="55"/>
        <v>0</v>
      </c>
    </row>
    <row r="2602" spans="37:37">
      <c r="AK2602" s="979">
        <f t="shared" si="55"/>
        <v>0</v>
      </c>
    </row>
    <row r="2603" spans="37:37">
      <c r="AK2603" s="979">
        <f t="shared" si="55"/>
        <v>0</v>
      </c>
    </row>
    <row r="2604" spans="37:37">
      <c r="AK2604" s="979">
        <f t="shared" si="55"/>
        <v>0</v>
      </c>
    </row>
    <row r="2605" spans="37:37">
      <c r="AK2605" s="979">
        <f t="shared" si="55"/>
        <v>0</v>
      </c>
    </row>
    <row r="2606" spans="37:37">
      <c r="AK2606" s="979">
        <f t="shared" si="55"/>
        <v>0</v>
      </c>
    </row>
    <row r="2607" spans="37:37">
      <c r="AK2607" s="979">
        <f t="shared" si="55"/>
        <v>0</v>
      </c>
    </row>
    <row r="2608" spans="37:37">
      <c r="AK2608" s="979">
        <f t="shared" si="55"/>
        <v>0</v>
      </c>
    </row>
    <row r="2609" spans="37:37">
      <c r="AK2609" s="979">
        <f t="shared" si="55"/>
        <v>0</v>
      </c>
    </row>
    <row r="2610" spans="37:37">
      <c r="AK2610" s="979">
        <f t="shared" si="55"/>
        <v>0</v>
      </c>
    </row>
    <row r="2611" spans="37:37">
      <c r="AK2611" s="979">
        <f t="shared" si="55"/>
        <v>0</v>
      </c>
    </row>
    <row r="2612" spans="37:37">
      <c r="AK2612" s="979">
        <f t="shared" si="55"/>
        <v>0</v>
      </c>
    </row>
    <row r="2613" spans="37:37">
      <c r="AK2613" s="979">
        <f t="shared" si="55"/>
        <v>0</v>
      </c>
    </row>
    <row r="2614" spans="37:37">
      <c r="AK2614" s="979">
        <f t="shared" si="55"/>
        <v>0</v>
      </c>
    </row>
    <row r="2615" spans="37:37">
      <c r="AK2615" s="979">
        <f t="shared" si="55"/>
        <v>0</v>
      </c>
    </row>
    <row r="2616" spans="37:37">
      <c r="AK2616" s="979">
        <f t="shared" si="55"/>
        <v>0</v>
      </c>
    </row>
    <row r="2617" spans="37:37">
      <c r="AK2617" s="979">
        <f t="shared" si="55"/>
        <v>0</v>
      </c>
    </row>
    <row r="2618" spans="37:37">
      <c r="AK2618" s="979">
        <f t="shared" si="55"/>
        <v>0</v>
      </c>
    </row>
    <row r="2619" spans="37:37">
      <c r="AK2619" s="979">
        <f t="shared" si="55"/>
        <v>0</v>
      </c>
    </row>
    <row r="2620" spans="37:37">
      <c r="AK2620" s="979">
        <f t="shared" si="55"/>
        <v>0</v>
      </c>
    </row>
    <row r="2621" spans="37:37">
      <c r="AK2621" s="979">
        <f t="shared" si="55"/>
        <v>0</v>
      </c>
    </row>
    <row r="2622" spans="37:37">
      <c r="AK2622" s="979">
        <f t="shared" si="55"/>
        <v>0</v>
      </c>
    </row>
    <row r="2623" spans="37:37">
      <c r="AK2623" s="979">
        <f t="shared" si="55"/>
        <v>0</v>
      </c>
    </row>
    <row r="2624" spans="37:37">
      <c r="AK2624" s="979">
        <f t="shared" si="55"/>
        <v>0</v>
      </c>
    </row>
    <row r="2625" spans="37:37">
      <c r="AK2625" s="979">
        <f t="shared" si="55"/>
        <v>0</v>
      </c>
    </row>
    <row r="2626" spans="37:37">
      <c r="AK2626" s="979">
        <f t="shared" si="55"/>
        <v>0</v>
      </c>
    </row>
    <row r="2627" spans="37:37">
      <c r="AK2627" s="979">
        <f t="shared" si="55"/>
        <v>0</v>
      </c>
    </row>
    <row r="2628" spans="37:37">
      <c r="AK2628" s="979">
        <f t="shared" si="55"/>
        <v>0</v>
      </c>
    </row>
    <row r="2629" spans="37:37">
      <c r="AK2629" s="979">
        <f t="shared" si="55"/>
        <v>0</v>
      </c>
    </row>
    <row r="2630" spans="37:37">
      <c r="AK2630" s="979">
        <f t="shared" si="55"/>
        <v>0</v>
      </c>
    </row>
    <row r="2631" spans="37:37">
      <c r="AK2631" s="979">
        <f t="shared" si="55"/>
        <v>0</v>
      </c>
    </row>
    <row r="2632" spans="37:37">
      <c r="AK2632" s="979">
        <f t="shared" si="55"/>
        <v>0</v>
      </c>
    </row>
    <row r="2633" spans="37:37">
      <c r="AK2633" s="979">
        <f t="shared" si="55"/>
        <v>0</v>
      </c>
    </row>
    <row r="2634" spans="37:37">
      <c r="AK2634" s="979">
        <f t="shared" si="55"/>
        <v>0</v>
      </c>
    </row>
    <row r="2635" spans="37:37">
      <c r="AK2635" s="979">
        <f t="shared" si="55"/>
        <v>0</v>
      </c>
    </row>
    <row r="2636" spans="37:37">
      <c r="AK2636" s="979">
        <f t="shared" si="55"/>
        <v>0</v>
      </c>
    </row>
    <row r="2637" spans="37:37">
      <c r="AK2637" s="979">
        <f t="shared" si="55"/>
        <v>0</v>
      </c>
    </row>
    <row r="2638" spans="37:37">
      <c r="AK2638" s="979">
        <f t="shared" si="55"/>
        <v>0</v>
      </c>
    </row>
    <row r="2639" spans="37:37">
      <c r="AK2639" s="979">
        <f t="shared" si="55"/>
        <v>0</v>
      </c>
    </row>
    <row r="2640" spans="37:37">
      <c r="AK2640" s="979">
        <f t="shared" si="55"/>
        <v>0</v>
      </c>
    </row>
    <row r="2641" spans="37:37">
      <c r="AK2641" s="979">
        <f t="shared" si="55"/>
        <v>0</v>
      </c>
    </row>
    <row r="2642" spans="37:37">
      <c r="AK2642" s="979">
        <f t="shared" si="55"/>
        <v>0</v>
      </c>
    </row>
    <row r="2643" spans="37:37">
      <c r="AK2643" s="979">
        <f t="shared" si="55"/>
        <v>0</v>
      </c>
    </row>
    <row r="2644" spans="37:37">
      <c r="AK2644" s="979">
        <f t="shared" si="55"/>
        <v>0</v>
      </c>
    </row>
    <row r="2645" spans="37:37">
      <c r="AK2645" s="979">
        <f t="shared" si="55"/>
        <v>0</v>
      </c>
    </row>
    <row r="2646" spans="37:37">
      <c r="AK2646" s="979">
        <f t="shared" si="55"/>
        <v>0</v>
      </c>
    </row>
    <row r="2647" spans="37:37">
      <c r="AK2647" s="979">
        <f t="shared" si="55"/>
        <v>0</v>
      </c>
    </row>
    <row r="2648" spans="37:37">
      <c r="AK2648" s="979">
        <f t="shared" ref="AK2648:AK2711" si="56">SUM(O2648:AJ2648)</f>
        <v>0</v>
      </c>
    </row>
    <row r="2649" spans="37:37">
      <c r="AK2649" s="979">
        <f t="shared" si="56"/>
        <v>0</v>
      </c>
    </row>
    <row r="2650" spans="37:37">
      <c r="AK2650" s="979">
        <f t="shared" si="56"/>
        <v>0</v>
      </c>
    </row>
    <row r="2651" spans="37:37">
      <c r="AK2651" s="979">
        <f t="shared" si="56"/>
        <v>0</v>
      </c>
    </row>
    <row r="2652" spans="37:37">
      <c r="AK2652" s="979">
        <f t="shared" si="56"/>
        <v>0</v>
      </c>
    </row>
    <row r="2653" spans="37:37">
      <c r="AK2653" s="979">
        <f t="shared" si="56"/>
        <v>0</v>
      </c>
    </row>
    <row r="2654" spans="37:37">
      <c r="AK2654" s="979">
        <f t="shared" si="56"/>
        <v>0</v>
      </c>
    </row>
    <row r="2655" spans="37:37">
      <c r="AK2655" s="979">
        <f t="shared" si="56"/>
        <v>0</v>
      </c>
    </row>
    <row r="2656" spans="37:37">
      <c r="AK2656" s="979">
        <f t="shared" si="56"/>
        <v>0</v>
      </c>
    </row>
    <row r="2657" spans="37:37">
      <c r="AK2657" s="979">
        <f t="shared" si="56"/>
        <v>0</v>
      </c>
    </row>
    <row r="2658" spans="37:37">
      <c r="AK2658" s="979">
        <f t="shared" si="56"/>
        <v>0</v>
      </c>
    </row>
    <row r="2659" spans="37:37">
      <c r="AK2659" s="979">
        <f t="shared" si="56"/>
        <v>0</v>
      </c>
    </row>
    <row r="2660" spans="37:37">
      <c r="AK2660" s="979">
        <f t="shared" si="56"/>
        <v>0</v>
      </c>
    </row>
    <row r="2661" spans="37:37">
      <c r="AK2661" s="979">
        <f t="shared" si="56"/>
        <v>0</v>
      </c>
    </row>
    <row r="2662" spans="37:37">
      <c r="AK2662" s="979">
        <f t="shared" si="56"/>
        <v>0</v>
      </c>
    </row>
    <row r="2663" spans="37:37">
      <c r="AK2663" s="979">
        <f t="shared" si="56"/>
        <v>0</v>
      </c>
    </row>
    <row r="2664" spans="37:37">
      <c r="AK2664" s="979">
        <f t="shared" si="56"/>
        <v>0</v>
      </c>
    </row>
    <row r="2665" spans="37:37">
      <c r="AK2665" s="979">
        <f t="shared" si="56"/>
        <v>0</v>
      </c>
    </row>
    <row r="2666" spans="37:37">
      <c r="AK2666" s="979">
        <f t="shared" si="56"/>
        <v>0</v>
      </c>
    </row>
    <row r="2667" spans="37:37">
      <c r="AK2667" s="979">
        <f t="shared" si="56"/>
        <v>0</v>
      </c>
    </row>
    <row r="2668" spans="37:37">
      <c r="AK2668" s="979">
        <f t="shared" si="56"/>
        <v>0</v>
      </c>
    </row>
    <row r="2669" spans="37:37">
      <c r="AK2669" s="979">
        <f t="shared" si="56"/>
        <v>0</v>
      </c>
    </row>
    <row r="2670" spans="37:37">
      <c r="AK2670" s="979">
        <f t="shared" si="56"/>
        <v>0</v>
      </c>
    </row>
    <row r="2671" spans="37:37">
      <c r="AK2671" s="979">
        <f t="shared" si="56"/>
        <v>0</v>
      </c>
    </row>
    <row r="2672" spans="37:37">
      <c r="AK2672" s="979">
        <f t="shared" si="56"/>
        <v>0</v>
      </c>
    </row>
    <row r="2673" spans="37:37">
      <c r="AK2673" s="979">
        <f t="shared" si="56"/>
        <v>0</v>
      </c>
    </row>
    <row r="2674" spans="37:37">
      <c r="AK2674" s="979">
        <f t="shared" si="56"/>
        <v>0</v>
      </c>
    </row>
    <row r="2675" spans="37:37">
      <c r="AK2675" s="979">
        <f t="shared" si="56"/>
        <v>0</v>
      </c>
    </row>
    <row r="2676" spans="37:37">
      <c r="AK2676" s="979">
        <f t="shared" si="56"/>
        <v>0</v>
      </c>
    </row>
    <row r="2677" spans="37:37">
      <c r="AK2677" s="979">
        <f t="shared" si="56"/>
        <v>0</v>
      </c>
    </row>
    <row r="2678" spans="37:37">
      <c r="AK2678" s="979">
        <f t="shared" si="56"/>
        <v>0</v>
      </c>
    </row>
    <row r="2679" spans="37:37">
      <c r="AK2679" s="979">
        <f t="shared" si="56"/>
        <v>0</v>
      </c>
    </row>
    <row r="2680" spans="37:37">
      <c r="AK2680" s="979">
        <f t="shared" si="56"/>
        <v>0</v>
      </c>
    </row>
    <row r="2681" spans="37:37">
      <c r="AK2681" s="979">
        <f t="shared" si="56"/>
        <v>0</v>
      </c>
    </row>
    <row r="2682" spans="37:37">
      <c r="AK2682" s="979">
        <f t="shared" si="56"/>
        <v>0</v>
      </c>
    </row>
    <row r="2683" spans="37:37">
      <c r="AK2683" s="979">
        <f t="shared" si="56"/>
        <v>0</v>
      </c>
    </row>
    <row r="2684" spans="37:37">
      <c r="AK2684" s="979">
        <f t="shared" si="56"/>
        <v>0</v>
      </c>
    </row>
    <row r="2685" spans="37:37">
      <c r="AK2685" s="979">
        <f t="shared" si="56"/>
        <v>0</v>
      </c>
    </row>
    <row r="2686" spans="37:37">
      <c r="AK2686" s="979">
        <f t="shared" si="56"/>
        <v>0</v>
      </c>
    </row>
    <row r="2687" spans="37:37">
      <c r="AK2687" s="979">
        <f t="shared" si="56"/>
        <v>0</v>
      </c>
    </row>
    <row r="2688" spans="37:37">
      <c r="AK2688" s="979">
        <f t="shared" si="56"/>
        <v>0</v>
      </c>
    </row>
    <row r="2689" spans="37:37">
      <c r="AK2689" s="979">
        <f t="shared" si="56"/>
        <v>0</v>
      </c>
    </row>
    <row r="2690" spans="37:37">
      <c r="AK2690" s="979">
        <f t="shared" si="56"/>
        <v>0</v>
      </c>
    </row>
    <row r="2691" spans="37:37">
      <c r="AK2691" s="979">
        <f t="shared" si="56"/>
        <v>0</v>
      </c>
    </row>
    <row r="2692" spans="37:37">
      <c r="AK2692" s="979">
        <f t="shared" si="56"/>
        <v>0</v>
      </c>
    </row>
    <row r="2693" spans="37:37">
      <c r="AK2693" s="979">
        <f t="shared" si="56"/>
        <v>0</v>
      </c>
    </row>
    <row r="2694" spans="37:37">
      <c r="AK2694" s="979">
        <f t="shared" si="56"/>
        <v>0</v>
      </c>
    </row>
    <row r="2695" spans="37:37">
      <c r="AK2695" s="979">
        <f t="shared" si="56"/>
        <v>0</v>
      </c>
    </row>
    <row r="2696" spans="37:37">
      <c r="AK2696" s="979">
        <f t="shared" si="56"/>
        <v>0</v>
      </c>
    </row>
    <row r="2697" spans="37:37">
      <c r="AK2697" s="979">
        <f t="shared" si="56"/>
        <v>0</v>
      </c>
    </row>
    <row r="2698" spans="37:37">
      <c r="AK2698" s="979">
        <f t="shared" si="56"/>
        <v>0</v>
      </c>
    </row>
    <row r="2699" spans="37:37">
      <c r="AK2699" s="979">
        <f t="shared" si="56"/>
        <v>0</v>
      </c>
    </row>
    <row r="2700" spans="37:37">
      <c r="AK2700" s="979">
        <f t="shared" si="56"/>
        <v>0</v>
      </c>
    </row>
    <row r="2701" spans="37:37">
      <c r="AK2701" s="979">
        <f t="shared" si="56"/>
        <v>0</v>
      </c>
    </row>
    <row r="2702" spans="37:37">
      <c r="AK2702" s="979">
        <f t="shared" si="56"/>
        <v>0</v>
      </c>
    </row>
    <row r="2703" spans="37:37">
      <c r="AK2703" s="979">
        <f t="shared" si="56"/>
        <v>0</v>
      </c>
    </row>
    <row r="2704" spans="37:37">
      <c r="AK2704" s="979">
        <f t="shared" si="56"/>
        <v>0</v>
      </c>
    </row>
    <row r="2705" spans="37:37">
      <c r="AK2705" s="979">
        <f t="shared" si="56"/>
        <v>0</v>
      </c>
    </row>
    <row r="2706" spans="37:37">
      <c r="AK2706" s="979">
        <f t="shared" si="56"/>
        <v>0</v>
      </c>
    </row>
    <row r="2707" spans="37:37">
      <c r="AK2707" s="979">
        <f t="shared" si="56"/>
        <v>0</v>
      </c>
    </row>
    <row r="2708" spans="37:37">
      <c r="AK2708" s="979">
        <f t="shared" si="56"/>
        <v>0</v>
      </c>
    </row>
    <row r="2709" spans="37:37">
      <c r="AK2709" s="979">
        <f t="shared" si="56"/>
        <v>0</v>
      </c>
    </row>
    <row r="2710" spans="37:37">
      <c r="AK2710" s="979">
        <f t="shared" si="56"/>
        <v>0</v>
      </c>
    </row>
    <row r="2711" spans="37:37">
      <c r="AK2711" s="979">
        <f t="shared" si="56"/>
        <v>0</v>
      </c>
    </row>
    <row r="2712" spans="37:37">
      <c r="AK2712" s="979">
        <f t="shared" ref="AK2712:AK2775" si="57">SUM(O2712:AJ2712)</f>
        <v>0</v>
      </c>
    </row>
    <row r="2713" spans="37:37">
      <c r="AK2713" s="979">
        <f t="shared" si="57"/>
        <v>0</v>
      </c>
    </row>
    <row r="2714" spans="37:37">
      <c r="AK2714" s="979">
        <f t="shared" si="57"/>
        <v>0</v>
      </c>
    </row>
    <row r="2715" spans="37:37">
      <c r="AK2715" s="979">
        <f t="shared" si="57"/>
        <v>0</v>
      </c>
    </row>
    <row r="2716" spans="37:37">
      <c r="AK2716" s="979">
        <f t="shared" si="57"/>
        <v>0</v>
      </c>
    </row>
    <row r="2717" spans="37:37">
      <c r="AK2717" s="979">
        <f t="shared" si="57"/>
        <v>0</v>
      </c>
    </row>
    <row r="2718" spans="37:37">
      <c r="AK2718" s="979">
        <f t="shared" si="57"/>
        <v>0</v>
      </c>
    </row>
    <row r="2719" spans="37:37">
      <c r="AK2719" s="979">
        <f t="shared" si="57"/>
        <v>0</v>
      </c>
    </row>
    <row r="2720" spans="37:37">
      <c r="AK2720" s="979">
        <f t="shared" si="57"/>
        <v>0</v>
      </c>
    </row>
    <row r="2721" spans="37:37">
      <c r="AK2721" s="979">
        <f t="shared" si="57"/>
        <v>0</v>
      </c>
    </row>
    <row r="2722" spans="37:37">
      <c r="AK2722" s="979">
        <f t="shared" si="57"/>
        <v>0</v>
      </c>
    </row>
    <row r="2723" spans="37:37">
      <c r="AK2723" s="979">
        <f t="shared" si="57"/>
        <v>0</v>
      </c>
    </row>
    <row r="2724" spans="37:37">
      <c r="AK2724" s="979">
        <f t="shared" si="57"/>
        <v>0</v>
      </c>
    </row>
    <row r="2725" spans="37:37">
      <c r="AK2725" s="979">
        <f t="shared" si="57"/>
        <v>0</v>
      </c>
    </row>
    <row r="2726" spans="37:37">
      <c r="AK2726" s="979">
        <f t="shared" si="57"/>
        <v>0</v>
      </c>
    </row>
    <row r="2727" spans="37:37">
      <c r="AK2727" s="979">
        <f t="shared" si="57"/>
        <v>0</v>
      </c>
    </row>
    <row r="2728" spans="37:37">
      <c r="AK2728" s="979">
        <f t="shared" si="57"/>
        <v>0</v>
      </c>
    </row>
    <row r="2729" spans="37:37">
      <c r="AK2729" s="979">
        <f t="shared" si="57"/>
        <v>0</v>
      </c>
    </row>
    <row r="2730" spans="37:37">
      <c r="AK2730" s="979">
        <f t="shared" si="57"/>
        <v>0</v>
      </c>
    </row>
    <row r="2731" spans="37:37">
      <c r="AK2731" s="979">
        <f t="shared" si="57"/>
        <v>0</v>
      </c>
    </row>
    <row r="2732" spans="37:37">
      <c r="AK2732" s="979">
        <f t="shared" si="57"/>
        <v>0</v>
      </c>
    </row>
    <row r="2733" spans="37:37">
      <c r="AK2733" s="979">
        <f t="shared" si="57"/>
        <v>0</v>
      </c>
    </row>
    <row r="2734" spans="37:37">
      <c r="AK2734" s="979">
        <f t="shared" si="57"/>
        <v>0</v>
      </c>
    </row>
    <row r="2735" spans="37:37">
      <c r="AK2735" s="979">
        <f t="shared" si="57"/>
        <v>0</v>
      </c>
    </row>
    <row r="2736" spans="37:37">
      <c r="AK2736" s="979">
        <f t="shared" si="57"/>
        <v>0</v>
      </c>
    </row>
    <row r="2737" spans="37:37">
      <c r="AK2737" s="979">
        <f t="shared" si="57"/>
        <v>0</v>
      </c>
    </row>
    <row r="2738" spans="37:37">
      <c r="AK2738" s="979">
        <f t="shared" si="57"/>
        <v>0</v>
      </c>
    </row>
    <row r="2739" spans="37:37">
      <c r="AK2739" s="979">
        <f t="shared" si="57"/>
        <v>0</v>
      </c>
    </row>
    <row r="2740" spans="37:37">
      <c r="AK2740" s="979">
        <f t="shared" si="57"/>
        <v>0</v>
      </c>
    </row>
    <row r="2741" spans="37:37">
      <c r="AK2741" s="979">
        <f t="shared" si="57"/>
        <v>0</v>
      </c>
    </row>
    <row r="2742" spans="37:37">
      <c r="AK2742" s="979">
        <f t="shared" si="57"/>
        <v>0</v>
      </c>
    </row>
    <row r="2743" spans="37:37">
      <c r="AK2743" s="979">
        <f t="shared" si="57"/>
        <v>0</v>
      </c>
    </row>
    <row r="2744" spans="37:37">
      <c r="AK2744" s="979">
        <f t="shared" si="57"/>
        <v>0</v>
      </c>
    </row>
    <row r="2745" spans="37:37">
      <c r="AK2745" s="979">
        <f t="shared" si="57"/>
        <v>0</v>
      </c>
    </row>
    <row r="2746" spans="37:37">
      <c r="AK2746" s="979">
        <f t="shared" si="57"/>
        <v>0</v>
      </c>
    </row>
    <row r="2747" spans="37:37">
      <c r="AK2747" s="979">
        <f t="shared" si="57"/>
        <v>0</v>
      </c>
    </row>
    <row r="2748" spans="37:37">
      <c r="AK2748" s="979">
        <f t="shared" si="57"/>
        <v>0</v>
      </c>
    </row>
    <row r="2749" spans="37:37">
      <c r="AK2749" s="979">
        <f t="shared" si="57"/>
        <v>0</v>
      </c>
    </row>
    <row r="2750" spans="37:37">
      <c r="AK2750" s="979">
        <f t="shared" si="57"/>
        <v>0</v>
      </c>
    </row>
    <row r="2751" spans="37:37">
      <c r="AK2751" s="979">
        <f t="shared" si="57"/>
        <v>0</v>
      </c>
    </row>
    <row r="2752" spans="37:37">
      <c r="AK2752" s="979">
        <f t="shared" si="57"/>
        <v>0</v>
      </c>
    </row>
    <row r="2753" spans="37:37">
      <c r="AK2753" s="979">
        <f t="shared" si="57"/>
        <v>0</v>
      </c>
    </row>
    <row r="2754" spans="37:37">
      <c r="AK2754" s="979">
        <f t="shared" si="57"/>
        <v>0</v>
      </c>
    </row>
    <row r="2755" spans="37:37">
      <c r="AK2755" s="979">
        <f t="shared" si="57"/>
        <v>0</v>
      </c>
    </row>
    <row r="2756" spans="37:37">
      <c r="AK2756" s="979">
        <f t="shared" si="57"/>
        <v>0</v>
      </c>
    </row>
    <row r="2757" spans="37:37">
      <c r="AK2757" s="979">
        <f t="shared" si="57"/>
        <v>0</v>
      </c>
    </row>
    <row r="2758" spans="37:37">
      <c r="AK2758" s="979">
        <f t="shared" si="57"/>
        <v>0</v>
      </c>
    </row>
    <row r="2759" spans="37:37">
      <c r="AK2759" s="979">
        <f t="shared" si="57"/>
        <v>0</v>
      </c>
    </row>
    <row r="2760" spans="37:37">
      <c r="AK2760" s="979">
        <f t="shared" si="57"/>
        <v>0</v>
      </c>
    </row>
    <row r="2761" spans="37:37">
      <c r="AK2761" s="979">
        <f t="shared" si="57"/>
        <v>0</v>
      </c>
    </row>
    <row r="2762" spans="37:37">
      <c r="AK2762" s="979">
        <f t="shared" si="57"/>
        <v>0</v>
      </c>
    </row>
    <row r="2763" spans="37:37">
      <c r="AK2763" s="979">
        <f t="shared" si="57"/>
        <v>0</v>
      </c>
    </row>
    <row r="2764" spans="37:37">
      <c r="AK2764" s="979">
        <f t="shared" si="57"/>
        <v>0</v>
      </c>
    </row>
    <row r="2765" spans="37:37">
      <c r="AK2765" s="979">
        <f t="shared" si="57"/>
        <v>0</v>
      </c>
    </row>
    <row r="2766" spans="37:37">
      <c r="AK2766" s="979">
        <f t="shared" si="57"/>
        <v>0</v>
      </c>
    </row>
    <row r="2767" spans="37:37">
      <c r="AK2767" s="979">
        <f t="shared" si="57"/>
        <v>0</v>
      </c>
    </row>
    <row r="2768" spans="37:37">
      <c r="AK2768" s="979">
        <f t="shared" si="57"/>
        <v>0</v>
      </c>
    </row>
    <row r="2769" spans="37:37">
      <c r="AK2769" s="979">
        <f t="shared" si="57"/>
        <v>0</v>
      </c>
    </row>
    <row r="2770" spans="37:37">
      <c r="AK2770" s="979">
        <f t="shared" si="57"/>
        <v>0</v>
      </c>
    </row>
    <row r="2771" spans="37:37">
      <c r="AK2771" s="979">
        <f t="shared" si="57"/>
        <v>0</v>
      </c>
    </row>
    <row r="2772" spans="37:37">
      <c r="AK2772" s="979">
        <f t="shared" si="57"/>
        <v>0</v>
      </c>
    </row>
    <row r="2773" spans="37:37">
      <c r="AK2773" s="979">
        <f t="shared" si="57"/>
        <v>0</v>
      </c>
    </row>
    <row r="2774" spans="37:37">
      <c r="AK2774" s="979">
        <f t="shared" si="57"/>
        <v>0</v>
      </c>
    </row>
    <row r="2775" spans="37:37">
      <c r="AK2775" s="979">
        <f t="shared" si="57"/>
        <v>0</v>
      </c>
    </row>
    <row r="2776" spans="37:37">
      <c r="AK2776" s="979">
        <f t="shared" ref="AK2776:AK2839" si="58">SUM(O2776:AJ2776)</f>
        <v>0</v>
      </c>
    </row>
    <row r="2777" spans="37:37">
      <c r="AK2777" s="979">
        <f t="shared" si="58"/>
        <v>0</v>
      </c>
    </row>
    <row r="2778" spans="37:37">
      <c r="AK2778" s="979">
        <f t="shared" si="58"/>
        <v>0</v>
      </c>
    </row>
    <row r="2779" spans="37:37">
      <c r="AK2779" s="979">
        <f t="shared" si="58"/>
        <v>0</v>
      </c>
    </row>
    <row r="2780" spans="37:37">
      <c r="AK2780" s="979">
        <f t="shared" si="58"/>
        <v>0</v>
      </c>
    </row>
    <row r="2781" spans="37:37">
      <c r="AK2781" s="979">
        <f t="shared" si="58"/>
        <v>0</v>
      </c>
    </row>
    <row r="2782" spans="37:37">
      <c r="AK2782" s="979">
        <f t="shared" si="58"/>
        <v>0</v>
      </c>
    </row>
    <row r="2783" spans="37:37">
      <c r="AK2783" s="979">
        <f t="shared" si="58"/>
        <v>0</v>
      </c>
    </row>
    <row r="2784" spans="37:37">
      <c r="AK2784" s="979">
        <f t="shared" si="58"/>
        <v>0</v>
      </c>
    </row>
    <row r="2785" spans="37:37">
      <c r="AK2785" s="979">
        <f t="shared" si="58"/>
        <v>0</v>
      </c>
    </row>
    <row r="2786" spans="37:37">
      <c r="AK2786" s="979">
        <f t="shared" si="58"/>
        <v>0</v>
      </c>
    </row>
    <row r="2787" spans="37:37">
      <c r="AK2787" s="979">
        <f t="shared" si="58"/>
        <v>0</v>
      </c>
    </row>
    <row r="2788" spans="37:37">
      <c r="AK2788" s="979">
        <f t="shared" si="58"/>
        <v>0</v>
      </c>
    </row>
    <row r="2789" spans="37:37">
      <c r="AK2789" s="979">
        <f t="shared" si="58"/>
        <v>0</v>
      </c>
    </row>
    <row r="2790" spans="37:37">
      <c r="AK2790" s="979">
        <f t="shared" si="58"/>
        <v>0</v>
      </c>
    </row>
    <row r="2791" spans="37:37">
      <c r="AK2791" s="979">
        <f t="shared" si="58"/>
        <v>0</v>
      </c>
    </row>
    <row r="2792" spans="37:37">
      <c r="AK2792" s="979">
        <f t="shared" si="58"/>
        <v>0</v>
      </c>
    </row>
    <row r="2793" spans="37:37">
      <c r="AK2793" s="979">
        <f t="shared" si="58"/>
        <v>0</v>
      </c>
    </row>
    <row r="2794" spans="37:37">
      <c r="AK2794" s="979">
        <f t="shared" si="58"/>
        <v>0</v>
      </c>
    </row>
    <row r="2795" spans="37:37">
      <c r="AK2795" s="979">
        <f t="shared" si="58"/>
        <v>0</v>
      </c>
    </row>
    <row r="2796" spans="37:37">
      <c r="AK2796" s="979">
        <f t="shared" si="58"/>
        <v>0</v>
      </c>
    </row>
    <row r="2797" spans="37:37">
      <c r="AK2797" s="979">
        <f t="shared" si="58"/>
        <v>0</v>
      </c>
    </row>
    <row r="2798" spans="37:37">
      <c r="AK2798" s="979">
        <f t="shared" si="58"/>
        <v>0</v>
      </c>
    </row>
    <row r="2799" spans="37:37">
      <c r="AK2799" s="979">
        <f t="shared" si="58"/>
        <v>0</v>
      </c>
    </row>
    <row r="2800" spans="37:37">
      <c r="AK2800" s="979">
        <f t="shared" si="58"/>
        <v>0</v>
      </c>
    </row>
    <row r="2801" spans="37:37">
      <c r="AK2801" s="979">
        <f t="shared" si="58"/>
        <v>0</v>
      </c>
    </row>
    <row r="2802" spans="37:37">
      <c r="AK2802" s="979">
        <f t="shared" si="58"/>
        <v>0</v>
      </c>
    </row>
    <row r="2803" spans="37:37">
      <c r="AK2803" s="979">
        <f t="shared" si="58"/>
        <v>0</v>
      </c>
    </row>
    <row r="2804" spans="37:37">
      <c r="AK2804" s="979">
        <f t="shared" si="58"/>
        <v>0</v>
      </c>
    </row>
    <row r="2805" spans="37:37">
      <c r="AK2805" s="979">
        <f t="shared" si="58"/>
        <v>0</v>
      </c>
    </row>
    <row r="2806" spans="37:37">
      <c r="AK2806" s="979">
        <f t="shared" si="58"/>
        <v>0</v>
      </c>
    </row>
    <row r="2807" spans="37:37">
      <c r="AK2807" s="979">
        <f t="shared" si="58"/>
        <v>0</v>
      </c>
    </row>
    <row r="2808" spans="37:37">
      <c r="AK2808" s="979">
        <f t="shared" si="58"/>
        <v>0</v>
      </c>
    </row>
    <row r="2809" spans="37:37">
      <c r="AK2809" s="979">
        <f t="shared" si="58"/>
        <v>0</v>
      </c>
    </row>
    <row r="2810" spans="37:37">
      <c r="AK2810" s="979">
        <f t="shared" si="58"/>
        <v>0</v>
      </c>
    </row>
    <row r="2811" spans="37:37">
      <c r="AK2811" s="979">
        <f t="shared" si="58"/>
        <v>0</v>
      </c>
    </row>
    <row r="2812" spans="37:37">
      <c r="AK2812" s="979">
        <f t="shared" si="58"/>
        <v>0</v>
      </c>
    </row>
    <row r="2813" spans="37:37">
      <c r="AK2813" s="979">
        <f t="shared" si="58"/>
        <v>0</v>
      </c>
    </row>
    <row r="2814" spans="37:37">
      <c r="AK2814" s="979">
        <f t="shared" si="58"/>
        <v>0</v>
      </c>
    </row>
    <row r="2815" spans="37:37">
      <c r="AK2815" s="979">
        <f t="shared" si="58"/>
        <v>0</v>
      </c>
    </row>
    <row r="2816" spans="37:37">
      <c r="AK2816" s="979">
        <f t="shared" si="58"/>
        <v>0</v>
      </c>
    </row>
    <row r="2817" spans="37:37">
      <c r="AK2817" s="979">
        <f t="shared" si="58"/>
        <v>0</v>
      </c>
    </row>
    <row r="2818" spans="37:37">
      <c r="AK2818" s="979">
        <f t="shared" si="58"/>
        <v>0</v>
      </c>
    </row>
    <row r="2819" spans="37:37">
      <c r="AK2819" s="979">
        <f t="shared" si="58"/>
        <v>0</v>
      </c>
    </row>
    <row r="2820" spans="37:37">
      <c r="AK2820" s="979">
        <f t="shared" si="58"/>
        <v>0</v>
      </c>
    </row>
    <row r="2821" spans="37:37">
      <c r="AK2821" s="979">
        <f t="shared" si="58"/>
        <v>0</v>
      </c>
    </row>
    <row r="2822" spans="37:37">
      <c r="AK2822" s="979">
        <f t="shared" si="58"/>
        <v>0</v>
      </c>
    </row>
    <row r="2823" spans="37:37">
      <c r="AK2823" s="979">
        <f t="shared" si="58"/>
        <v>0</v>
      </c>
    </row>
    <row r="2824" spans="37:37">
      <c r="AK2824" s="979">
        <f t="shared" si="58"/>
        <v>0</v>
      </c>
    </row>
    <row r="2825" spans="37:37">
      <c r="AK2825" s="979">
        <f t="shared" si="58"/>
        <v>0</v>
      </c>
    </row>
    <row r="2826" spans="37:37">
      <c r="AK2826" s="979">
        <f t="shared" si="58"/>
        <v>0</v>
      </c>
    </row>
    <row r="2827" spans="37:37">
      <c r="AK2827" s="979">
        <f t="shared" si="58"/>
        <v>0</v>
      </c>
    </row>
    <row r="2828" spans="37:37">
      <c r="AK2828" s="979">
        <f t="shared" si="58"/>
        <v>0</v>
      </c>
    </row>
    <row r="2829" spans="37:37">
      <c r="AK2829" s="979">
        <f t="shared" si="58"/>
        <v>0</v>
      </c>
    </row>
    <row r="2830" spans="37:37">
      <c r="AK2830" s="979">
        <f t="shared" si="58"/>
        <v>0</v>
      </c>
    </row>
    <row r="2831" spans="37:37">
      <c r="AK2831" s="979">
        <f t="shared" si="58"/>
        <v>0</v>
      </c>
    </row>
    <row r="2832" spans="37:37">
      <c r="AK2832" s="979">
        <f t="shared" si="58"/>
        <v>0</v>
      </c>
    </row>
    <row r="2833" spans="37:37">
      <c r="AK2833" s="979">
        <f t="shared" si="58"/>
        <v>0</v>
      </c>
    </row>
    <row r="2834" spans="37:37">
      <c r="AK2834" s="979">
        <f t="shared" si="58"/>
        <v>0</v>
      </c>
    </row>
    <row r="2835" spans="37:37">
      <c r="AK2835" s="979">
        <f t="shared" si="58"/>
        <v>0</v>
      </c>
    </row>
    <row r="2836" spans="37:37">
      <c r="AK2836" s="979">
        <f t="shared" si="58"/>
        <v>0</v>
      </c>
    </row>
    <row r="2837" spans="37:37">
      <c r="AK2837" s="979">
        <f t="shared" si="58"/>
        <v>0</v>
      </c>
    </row>
    <row r="2838" spans="37:37">
      <c r="AK2838" s="979">
        <f t="shared" si="58"/>
        <v>0</v>
      </c>
    </row>
    <row r="2839" spans="37:37">
      <c r="AK2839" s="979">
        <f t="shared" si="58"/>
        <v>0</v>
      </c>
    </row>
    <row r="2840" spans="37:37">
      <c r="AK2840" s="979">
        <f t="shared" ref="AK2840:AK2903" si="59">SUM(O2840:AJ2840)</f>
        <v>0</v>
      </c>
    </row>
    <row r="2841" spans="37:37">
      <c r="AK2841" s="979">
        <f t="shared" si="59"/>
        <v>0</v>
      </c>
    </row>
    <row r="2842" spans="37:37">
      <c r="AK2842" s="979">
        <f t="shared" si="59"/>
        <v>0</v>
      </c>
    </row>
    <row r="2843" spans="37:37">
      <c r="AK2843" s="979">
        <f t="shared" si="59"/>
        <v>0</v>
      </c>
    </row>
    <row r="2844" spans="37:37">
      <c r="AK2844" s="979">
        <f t="shared" si="59"/>
        <v>0</v>
      </c>
    </row>
    <row r="2845" spans="37:37">
      <c r="AK2845" s="979">
        <f t="shared" si="59"/>
        <v>0</v>
      </c>
    </row>
    <row r="2846" spans="37:37">
      <c r="AK2846" s="979">
        <f t="shared" si="59"/>
        <v>0</v>
      </c>
    </row>
    <row r="2847" spans="37:37">
      <c r="AK2847" s="979">
        <f t="shared" si="59"/>
        <v>0</v>
      </c>
    </row>
    <row r="2848" spans="37:37">
      <c r="AK2848" s="979">
        <f t="shared" si="59"/>
        <v>0</v>
      </c>
    </row>
    <row r="2849" spans="37:37">
      <c r="AK2849" s="979">
        <f t="shared" si="59"/>
        <v>0</v>
      </c>
    </row>
    <row r="2850" spans="37:37">
      <c r="AK2850" s="979">
        <f t="shared" si="59"/>
        <v>0</v>
      </c>
    </row>
    <row r="2851" spans="37:37">
      <c r="AK2851" s="979">
        <f t="shared" si="59"/>
        <v>0</v>
      </c>
    </row>
    <row r="2852" spans="37:37">
      <c r="AK2852" s="979">
        <f t="shared" si="59"/>
        <v>0</v>
      </c>
    </row>
    <row r="2853" spans="37:37">
      <c r="AK2853" s="979">
        <f t="shared" si="59"/>
        <v>0</v>
      </c>
    </row>
    <row r="2854" spans="37:37">
      <c r="AK2854" s="979">
        <f t="shared" si="59"/>
        <v>0</v>
      </c>
    </row>
    <row r="2855" spans="37:37">
      <c r="AK2855" s="979">
        <f t="shared" si="59"/>
        <v>0</v>
      </c>
    </row>
    <row r="2856" spans="37:37">
      <c r="AK2856" s="979">
        <f t="shared" si="59"/>
        <v>0</v>
      </c>
    </row>
    <row r="2857" spans="37:37">
      <c r="AK2857" s="979">
        <f t="shared" si="59"/>
        <v>0</v>
      </c>
    </row>
    <row r="2858" spans="37:37">
      <c r="AK2858" s="979">
        <f t="shared" si="59"/>
        <v>0</v>
      </c>
    </row>
    <row r="2859" spans="37:37">
      <c r="AK2859" s="979">
        <f t="shared" si="59"/>
        <v>0</v>
      </c>
    </row>
    <row r="2860" spans="37:37">
      <c r="AK2860" s="979">
        <f t="shared" si="59"/>
        <v>0</v>
      </c>
    </row>
    <row r="2861" spans="37:37">
      <c r="AK2861" s="979">
        <f t="shared" si="59"/>
        <v>0</v>
      </c>
    </row>
    <row r="2862" spans="37:37">
      <c r="AK2862" s="979">
        <f t="shared" si="59"/>
        <v>0</v>
      </c>
    </row>
    <row r="2863" spans="37:37">
      <c r="AK2863" s="979">
        <f t="shared" si="59"/>
        <v>0</v>
      </c>
    </row>
    <row r="2864" spans="37:37">
      <c r="AK2864" s="979">
        <f t="shared" si="59"/>
        <v>0</v>
      </c>
    </row>
    <row r="2865" spans="37:37">
      <c r="AK2865" s="979">
        <f t="shared" si="59"/>
        <v>0</v>
      </c>
    </row>
    <row r="2866" spans="37:37">
      <c r="AK2866" s="979">
        <f t="shared" si="59"/>
        <v>0</v>
      </c>
    </row>
    <row r="2867" spans="37:37">
      <c r="AK2867" s="979">
        <f t="shared" si="59"/>
        <v>0</v>
      </c>
    </row>
    <row r="2868" spans="37:37">
      <c r="AK2868" s="979">
        <f t="shared" si="59"/>
        <v>0</v>
      </c>
    </row>
    <row r="2869" spans="37:37">
      <c r="AK2869" s="979">
        <f t="shared" si="59"/>
        <v>0</v>
      </c>
    </row>
    <row r="2870" spans="37:37">
      <c r="AK2870" s="979">
        <f t="shared" si="59"/>
        <v>0</v>
      </c>
    </row>
    <row r="2871" spans="37:37">
      <c r="AK2871" s="979">
        <f t="shared" si="59"/>
        <v>0</v>
      </c>
    </row>
    <row r="2872" spans="37:37">
      <c r="AK2872" s="979">
        <f t="shared" si="59"/>
        <v>0</v>
      </c>
    </row>
    <row r="2873" spans="37:37">
      <c r="AK2873" s="979">
        <f t="shared" si="59"/>
        <v>0</v>
      </c>
    </row>
    <row r="2874" spans="37:37">
      <c r="AK2874" s="979">
        <f t="shared" si="59"/>
        <v>0</v>
      </c>
    </row>
    <row r="2875" spans="37:37">
      <c r="AK2875" s="979">
        <f t="shared" si="59"/>
        <v>0</v>
      </c>
    </row>
    <row r="2876" spans="37:37">
      <c r="AK2876" s="979">
        <f t="shared" si="59"/>
        <v>0</v>
      </c>
    </row>
    <row r="2877" spans="37:37">
      <c r="AK2877" s="979">
        <f t="shared" si="59"/>
        <v>0</v>
      </c>
    </row>
    <row r="2878" spans="37:37">
      <c r="AK2878" s="979">
        <f t="shared" si="59"/>
        <v>0</v>
      </c>
    </row>
    <row r="2879" spans="37:37">
      <c r="AK2879" s="979">
        <f t="shared" si="59"/>
        <v>0</v>
      </c>
    </row>
    <row r="2880" spans="37:37">
      <c r="AK2880" s="979">
        <f t="shared" si="59"/>
        <v>0</v>
      </c>
    </row>
    <row r="2881" spans="37:37">
      <c r="AK2881" s="979">
        <f t="shared" si="59"/>
        <v>0</v>
      </c>
    </row>
    <row r="2882" spans="37:37">
      <c r="AK2882" s="979">
        <f t="shared" si="59"/>
        <v>0</v>
      </c>
    </row>
    <row r="2883" spans="37:37">
      <c r="AK2883" s="979">
        <f t="shared" si="59"/>
        <v>0</v>
      </c>
    </row>
    <row r="2884" spans="37:37">
      <c r="AK2884" s="979">
        <f t="shared" si="59"/>
        <v>0</v>
      </c>
    </row>
    <row r="2885" spans="37:37">
      <c r="AK2885" s="979">
        <f t="shared" si="59"/>
        <v>0</v>
      </c>
    </row>
    <row r="2886" spans="37:37">
      <c r="AK2886" s="979">
        <f t="shared" si="59"/>
        <v>0</v>
      </c>
    </row>
    <row r="2887" spans="37:37">
      <c r="AK2887" s="979">
        <f t="shared" si="59"/>
        <v>0</v>
      </c>
    </row>
    <row r="2888" spans="37:37">
      <c r="AK2888" s="979">
        <f t="shared" si="59"/>
        <v>0</v>
      </c>
    </row>
    <row r="2889" spans="37:37">
      <c r="AK2889" s="979">
        <f t="shared" si="59"/>
        <v>0</v>
      </c>
    </row>
    <row r="2890" spans="37:37">
      <c r="AK2890" s="979">
        <f t="shared" si="59"/>
        <v>0</v>
      </c>
    </row>
    <row r="2891" spans="37:37">
      <c r="AK2891" s="979">
        <f t="shared" si="59"/>
        <v>0</v>
      </c>
    </row>
    <row r="2892" spans="37:37">
      <c r="AK2892" s="979">
        <f t="shared" si="59"/>
        <v>0</v>
      </c>
    </row>
    <row r="2893" spans="37:37">
      <c r="AK2893" s="979">
        <f t="shared" si="59"/>
        <v>0</v>
      </c>
    </row>
    <row r="2894" spans="37:37">
      <c r="AK2894" s="979">
        <f t="shared" si="59"/>
        <v>0</v>
      </c>
    </row>
    <row r="2895" spans="37:37">
      <c r="AK2895" s="979">
        <f t="shared" si="59"/>
        <v>0</v>
      </c>
    </row>
    <row r="2896" spans="37:37">
      <c r="AK2896" s="979">
        <f t="shared" si="59"/>
        <v>0</v>
      </c>
    </row>
    <row r="2897" spans="37:37">
      <c r="AK2897" s="979">
        <f t="shared" si="59"/>
        <v>0</v>
      </c>
    </row>
    <row r="2898" spans="37:37">
      <c r="AK2898" s="979">
        <f t="shared" si="59"/>
        <v>0</v>
      </c>
    </row>
    <row r="2899" spans="37:37">
      <c r="AK2899" s="979">
        <f t="shared" si="59"/>
        <v>0</v>
      </c>
    </row>
    <row r="2900" spans="37:37">
      <c r="AK2900" s="979">
        <f t="shared" si="59"/>
        <v>0</v>
      </c>
    </row>
    <row r="2901" spans="37:37">
      <c r="AK2901" s="979">
        <f t="shared" si="59"/>
        <v>0</v>
      </c>
    </row>
    <row r="2902" spans="37:37">
      <c r="AK2902" s="979">
        <f t="shared" si="59"/>
        <v>0</v>
      </c>
    </row>
    <row r="2903" spans="37:37">
      <c r="AK2903" s="979">
        <f t="shared" si="59"/>
        <v>0</v>
      </c>
    </row>
    <row r="2904" spans="37:37">
      <c r="AK2904" s="979">
        <f t="shared" ref="AK2904:AK2967" si="60">SUM(O2904:AJ2904)</f>
        <v>0</v>
      </c>
    </row>
    <row r="2905" spans="37:37">
      <c r="AK2905" s="979">
        <f t="shared" si="60"/>
        <v>0</v>
      </c>
    </row>
    <row r="2906" spans="37:37">
      <c r="AK2906" s="979">
        <f t="shared" si="60"/>
        <v>0</v>
      </c>
    </row>
    <row r="2907" spans="37:37">
      <c r="AK2907" s="979">
        <f t="shared" si="60"/>
        <v>0</v>
      </c>
    </row>
    <row r="2908" spans="37:37">
      <c r="AK2908" s="979">
        <f t="shared" si="60"/>
        <v>0</v>
      </c>
    </row>
    <row r="2909" spans="37:37">
      <c r="AK2909" s="979">
        <f t="shared" si="60"/>
        <v>0</v>
      </c>
    </row>
    <row r="2910" spans="37:37">
      <c r="AK2910" s="979">
        <f t="shared" si="60"/>
        <v>0</v>
      </c>
    </row>
    <row r="2911" spans="37:37">
      <c r="AK2911" s="979">
        <f t="shared" si="60"/>
        <v>0</v>
      </c>
    </row>
    <row r="2912" spans="37:37">
      <c r="AK2912" s="979">
        <f t="shared" si="60"/>
        <v>0</v>
      </c>
    </row>
    <row r="2913" spans="37:37">
      <c r="AK2913" s="979">
        <f t="shared" si="60"/>
        <v>0</v>
      </c>
    </row>
    <row r="2914" spans="37:37">
      <c r="AK2914" s="979">
        <f t="shared" si="60"/>
        <v>0</v>
      </c>
    </row>
    <row r="2915" spans="37:37">
      <c r="AK2915" s="979">
        <f t="shared" si="60"/>
        <v>0</v>
      </c>
    </row>
    <row r="2916" spans="37:37">
      <c r="AK2916" s="979">
        <f t="shared" si="60"/>
        <v>0</v>
      </c>
    </row>
    <row r="2917" spans="37:37">
      <c r="AK2917" s="979">
        <f t="shared" si="60"/>
        <v>0</v>
      </c>
    </row>
    <row r="2918" spans="37:37">
      <c r="AK2918" s="979">
        <f t="shared" si="60"/>
        <v>0</v>
      </c>
    </row>
    <row r="2919" spans="37:37">
      <c r="AK2919" s="979">
        <f t="shared" si="60"/>
        <v>0</v>
      </c>
    </row>
    <row r="2920" spans="37:37">
      <c r="AK2920" s="979">
        <f t="shared" si="60"/>
        <v>0</v>
      </c>
    </row>
    <row r="2921" spans="37:37">
      <c r="AK2921" s="979">
        <f t="shared" si="60"/>
        <v>0</v>
      </c>
    </row>
    <row r="2922" spans="37:37">
      <c r="AK2922" s="979">
        <f t="shared" si="60"/>
        <v>0</v>
      </c>
    </row>
    <row r="2923" spans="37:37">
      <c r="AK2923" s="979">
        <f t="shared" si="60"/>
        <v>0</v>
      </c>
    </row>
    <row r="2924" spans="37:37">
      <c r="AK2924" s="979">
        <f t="shared" si="60"/>
        <v>0</v>
      </c>
    </row>
    <row r="2925" spans="37:37">
      <c r="AK2925" s="979">
        <f t="shared" si="60"/>
        <v>0</v>
      </c>
    </row>
    <row r="2926" spans="37:37">
      <c r="AK2926" s="979">
        <f t="shared" si="60"/>
        <v>0</v>
      </c>
    </row>
    <row r="2927" spans="37:37">
      <c r="AK2927" s="979">
        <f t="shared" si="60"/>
        <v>0</v>
      </c>
    </row>
    <row r="2928" spans="37:37">
      <c r="AK2928" s="979">
        <f t="shared" si="60"/>
        <v>0</v>
      </c>
    </row>
    <row r="2929" spans="37:37">
      <c r="AK2929" s="979">
        <f t="shared" si="60"/>
        <v>0</v>
      </c>
    </row>
    <row r="2930" spans="37:37">
      <c r="AK2930" s="979">
        <f t="shared" si="60"/>
        <v>0</v>
      </c>
    </row>
    <row r="2931" spans="37:37">
      <c r="AK2931" s="979">
        <f t="shared" si="60"/>
        <v>0</v>
      </c>
    </row>
    <row r="2932" spans="37:37">
      <c r="AK2932" s="979">
        <f t="shared" si="60"/>
        <v>0</v>
      </c>
    </row>
    <row r="2933" spans="37:37">
      <c r="AK2933" s="979">
        <f t="shared" si="60"/>
        <v>0</v>
      </c>
    </row>
    <row r="2934" spans="37:37">
      <c r="AK2934" s="979">
        <f t="shared" si="60"/>
        <v>0</v>
      </c>
    </row>
    <row r="2935" spans="37:37">
      <c r="AK2935" s="979">
        <f t="shared" si="60"/>
        <v>0</v>
      </c>
    </row>
    <row r="2936" spans="37:37">
      <c r="AK2936" s="979">
        <f t="shared" si="60"/>
        <v>0</v>
      </c>
    </row>
    <row r="2937" spans="37:37">
      <c r="AK2937" s="979">
        <f t="shared" si="60"/>
        <v>0</v>
      </c>
    </row>
    <row r="2938" spans="37:37">
      <c r="AK2938" s="979">
        <f t="shared" si="60"/>
        <v>0</v>
      </c>
    </row>
    <row r="2939" spans="37:37">
      <c r="AK2939" s="979">
        <f t="shared" si="60"/>
        <v>0</v>
      </c>
    </row>
    <row r="2940" spans="37:37">
      <c r="AK2940" s="979">
        <f t="shared" si="60"/>
        <v>0</v>
      </c>
    </row>
    <row r="2941" spans="37:37">
      <c r="AK2941" s="979">
        <f t="shared" si="60"/>
        <v>0</v>
      </c>
    </row>
    <row r="2942" spans="37:37">
      <c r="AK2942" s="979">
        <f t="shared" si="60"/>
        <v>0</v>
      </c>
    </row>
    <row r="2943" spans="37:37">
      <c r="AK2943" s="979">
        <f t="shared" si="60"/>
        <v>0</v>
      </c>
    </row>
    <row r="2944" spans="37:37">
      <c r="AK2944" s="979">
        <f t="shared" si="60"/>
        <v>0</v>
      </c>
    </row>
    <row r="2945" spans="37:37">
      <c r="AK2945" s="979">
        <f t="shared" si="60"/>
        <v>0</v>
      </c>
    </row>
    <row r="2946" spans="37:37">
      <c r="AK2946" s="979">
        <f t="shared" si="60"/>
        <v>0</v>
      </c>
    </row>
    <row r="2947" spans="37:37">
      <c r="AK2947" s="979">
        <f t="shared" si="60"/>
        <v>0</v>
      </c>
    </row>
    <row r="2948" spans="37:37">
      <c r="AK2948" s="979">
        <f t="shared" si="60"/>
        <v>0</v>
      </c>
    </row>
    <row r="2949" spans="37:37">
      <c r="AK2949" s="979">
        <f t="shared" si="60"/>
        <v>0</v>
      </c>
    </row>
    <row r="2950" spans="37:37">
      <c r="AK2950" s="979">
        <f t="shared" si="60"/>
        <v>0</v>
      </c>
    </row>
    <row r="2951" spans="37:37">
      <c r="AK2951" s="979">
        <f t="shared" si="60"/>
        <v>0</v>
      </c>
    </row>
    <row r="2952" spans="37:37">
      <c r="AK2952" s="979">
        <f t="shared" si="60"/>
        <v>0</v>
      </c>
    </row>
    <row r="2953" spans="37:37">
      <c r="AK2953" s="979">
        <f t="shared" si="60"/>
        <v>0</v>
      </c>
    </row>
    <row r="2954" spans="37:37">
      <c r="AK2954" s="979">
        <f t="shared" si="60"/>
        <v>0</v>
      </c>
    </row>
    <row r="2955" spans="37:37">
      <c r="AK2955" s="979">
        <f t="shared" si="60"/>
        <v>0</v>
      </c>
    </row>
    <row r="2956" spans="37:37">
      <c r="AK2956" s="979">
        <f t="shared" si="60"/>
        <v>0</v>
      </c>
    </row>
    <row r="2957" spans="37:37">
      <c r="AK2957" s="979">
        <f t="shared" si="60"/>
        <v>0</v>
      </c>
    </row>
    <row r="2958" spans="37:37">
      <c r="AK2958" s="979">
        <f t="shared" si="60"/>
        <v>0</v>
      </c>
    </row>
    <row r="2959" spans="37:37">
      <c r="AK2959" s="979">
        <f t="shared" si="60"/>
        <v>0</v>
      </c>
    </row>
    <row r="2960" spans="37:37">
      <c r="AK2960" s="979">
        <f t="shared" si="60"/>
        <v>0</v>
      </c>
    </row>
    <row r="2961" spans="37:37">
      <c r="AK2961" s="979">
        <f t="shared" si="60"/>
        <v>0</v>
      </c>
    </row>
    <row r="2962" spans="37:37">
      <c r="AK2962" s="979">
        <f t="shared" si="60"/>
        <v>0</v>
      </c>
    </row>
    <row r="2963" spans="37:37">
      <c r="AK2963" s="979">
        <f t="shared" si="60"/>
        <v>0</v>
      </c>
    </row>
    <row r="2964" spans="37:37">
      <c r="AK2964" s="979">
        <f t="shared" si="60"/>
        <v>0</v>
      </c>
    </row>
    <row r="2965" spans="37:37">
      <c r="AK2965" s="979">
        <f t="shared" si="60"/>
        <v>0</v>
      </c>
    </row>
    <row r="2966" spans="37:37">
      <c r="AK2966" s="979">
        <f t="shared" si="60"/>
        <v>0</v>
      </c>
    </row>
    <row r="2967" spans="37:37">
      <c r="AK2967" s="979">
        <f t="shared" si="60"/>
        <v>0</v>
      </c>
    </row>
    <row r="2968" spans="37:37">
      <c r="AK2968" s="979">
        <f t="shared" ref="AK2968:AK3031" si="61">SUM(O2968:AJ2968)</f>
        <v>0</v>
      </c>
    </row>
    <row r="2969" spans="37:37">
      <c r="AK2969" s="979">
        <f t="shared" si="61"/>
        <v>0</v>
      </c>
    </row>
    <row r="2970" spans="37:37">
      <c r="AK2970" s="979">
        <f t="shared" si="61"/>
        <v>0</v>
      </c>
    </row>
    <row r="2971" spans="37:37">
      <c r="AK2971" s="979">
        <f t="shared" si="61"/>
        <v>0</v>
      </c>
    </row>
    <row r="2972" spans="37:37">
      <c r="AK2972" s="979">
        <f t="shared" si="61"/>
        <v>0</v>
      </c>
    </row>
    <row r="2973" spans="37:37">
      <c r="AK2973" s="979">
        <f t="shared" si="61"/>
        <v>0</v>
      </c>
    </row>
    <row r="2974" spans="37:37">
      <c r="AK2974" s="979">
        <f t="shared" si="61"/>
        <v>0</v>
      </c>
    </row>
    <row r="2975" spans="37:37">
      <c r="AK2975" s="979">
        <f t="shared" si="61"/>
        <v>0</v>
      </c>
    </row>
    <row r="2976" spans="37:37">
      <c r="AK2976" s="979">
        <f t="shared" si="61"/>
        <v>0</v>
      </c>
    </row>
    <row r="2977" spans="37:37">
      <c r="AK2977" s="979">
        <f t="shared" si="61"/>
        <v>0</v>
      </c>
    </row>
    <row r="2978" spans="37:37">
      <c r="AK2978" s="979">
        <f t="shared" si="61"/>
        <v>0</v>
      </c>
    </row>
    <row r="2979" spans="37:37">
      <c r="AK2979" s="979">
        <f t="shared" si="61"/>
        <v>0</v>
      </c>
    </row>
    <row r="2980" spans="37:37">
      <c r="AK2980" s="979">
        <f t="shared" si="61"/>
        <v>0</v>
      </c>
    </row>
    <row r="2981" spans="37:37">
      <c r="AK2981" s="979">
        <f t="shared" si="61"/>
        <v>0</v>
      </c>
    </row>
    <row r="2982" spans="37:37">
      <c r="AK2982" s="979">
        <f t="shared" si="61"/>
        <v>0</v>
      </c>
    </row>
    <row r="2983" spans="37:37">
      <c r="AK2983" s="979">
        <f t="shared" si="61"/>
        <v>0</v>
      </c>
    </row>
    <row r="2984" spans="37:37">
      <c r="AK2984" s="979">
        <f t="shared" si="61"/>
        <v>0</v>
      </c>
    </row>
    <row r="2985" spans="37:37">
      <c r="AK2985" s="979">
        <f t="shared" si="61"/>
        <v>0</v>
      </c>
    </row>
    <row r="2986" spans="37:37">
      <c r="AK2986" s="979">
        <f t="shared" si="61"/>
        <v>0</v>
      </c>
    </row>
    <row r="2987" spans="37:37">
      <c r="AK2987" s="979">
        <f t="shared" si="61"/>
        <v>0</v>
      </c>
    </row>
    <row r="2988" spans="37:37">
      <c r="AK2988" s="979">
        <f t="shared" si="61"/>
        <v>0</v>
      </c>
    </row>
    <row r="2989" spans="37:37">
      <c r="AK2989" s="979">
        <f t="shared" si="61"/>
        <v>0</v>
      </c>
    </row>
    <row r="2990" spans="37:37">
      <c r="AK2990" s="979">
        <f t="shared" si="61"/>
        <v>0</v>
      </c>
    </row>
    <row r="2991" spans="37:37">
      <c r="AK2991" s="979">
        <f t="shared" si="61"/>
        <v>0</v>
      </c>
    </row>
    <row r="2992" spans="37:37">
      <c r="AK2992" s="979">
        <f t="shared" si="61"/>
        <v>0</v>
      </c>
    </row>
    <row r="2993" spans="37:37">
      <c r="AK2993" s="979">
        <f t="shared" si="61"/>
        <v>0</v>
      </c>
    </row>
    <row r="2994" spans="37:37">
      <c r="AK2994" s="979">
        <f t="shared" si="61"/>
        <v>0</v>
      </c>
    </row>
    <row r="2995" spans="37:37">
      <c r="AK2995" s="979">
        <f t="shared" si="61"/>
        <v>0</v>
      </c>
    </row>
    <row r="2996" spans="37:37">
      <c r="AK2996" s="979">
        <f t="shared" si="61"/>
        <v>0</v>
      </c>
    </row>
    <row r="2997" spans="37:37">
      <c r="AK2997" s="979">
        <f t="shared" si="61"/>
        <v>0</v>
      </c>
    </row>
    <row r="2998" spans="37:37">
      <c r="AK2998" s="979">
        <f t="shared" si="61"/>
        <v>0</v>
      </c>
    </row>
    <row r="2999" spans="37:37">
      <c r="AK2999" s="979">
        <f t="shared" si="61"/>
        <v>0</v>
      </c>
    </row>
    <row r="3000" spans="37:37">
      <c r="AK3000" s="979">
        <f t="shared" si="61"/>
        <v>0</v>
      </c>
    </row>
    <row r="3001" spans="37:37">
      <c r="AK3001" s="979">
        <f t="shared" si="61"/>
        <v>0</v>
      </c>
    </row>
    <row r="3002" spans="37:37">
      <c r="AK3002" s="979">
        <f t="shared" si="61"/>
        <v>0</v>
      </c>
    </row>
    <row r="3003" spans="37:37">
      <c r="AK3003" s="979">
        <f t="shared" si="61"/>
        <v>0</v>
      </c>
    </row>
    <row r="3004" spans="37:37">
      <c r="AK3004" s="979">
        <f t="shared" si="61"/>
        <v>0</v>
      </c>
    </row>
    <row r="3005" spans="37:37">
      <c r="AK3005" s="979">
        <f t="shared" si="61"/>
        <v>0</v>
      </c>
    </row>
    <row r="3006" spans="37:37">
      <c r="AK3006" s="979">
        <f t="shared" si="61"/>
        <v>0</v>
      </c>
    </row>
    <row r="3007" spans="37:37">
      <c r="AK3007" s="979">
        <f t="shared" si="61"/>
        <v>0</v>
      </c>
    </row>
    <row r="3008" spans="37:37">
      <c r="AK3008" s="979">
        <f t="shared" si="61"/>
        <v>0</v>
      </c>
    </row>
    <row r="3009" spans="37:37">
      <c r="AK3009" s="979">
        <f t="shared" si="61"/>
        <v>0</v>
      </c>
    </row>
    <row r="3010" spans="37:37">
      <c r="AK3010" s="979">
        <f t="shared" si="61"/>
        <v>0</v>
      </c>
    </row>
    <row r="3011" spans="37:37">
      <c r="AK3011" s="979">
        <f t="shared" si="61"/>
        <v>0</v>
      </c>
    </row>
    <row r="3012" spans="37:37">
      <c r="AK3012" s="979">
        <f t="shared" si="61"/>
        <v>0</v>
      </c>
    </row>
    <row r="3013" spans="37:37">
      <c r="AK3013" s="979">
        <f t="shared" si="61"/>
        <v>0</v>
      </c>
    </row>
    <row r="3014" spans="37:37">
      <c r="AK3014" s="979">
        <f t="shared" si="61"/>
        <v>0</v>
      </c>
    </row>
    <row r="3015" spans="37:37">
      <c r="AK3015" s="979">
        <f t="shared" si="61"/>
        <v>0</v>
      </c>
    </row>
    <row r="3016" spans="37:37">
      <c r="AK3016" s="979">
        <f t="shared" si="61"/>
        <v>0</v>
      </c>
    </row>
    <row r="3017" spans="37:37">
      <c r="AK3017" s="979">
        <f t="shared" si="61"/>
        <v>0</v>
      </c>
    </row>
    <row r="3018" spans="37:37">
      <c r="AK3018" s="979">
        <f t="shared" si="61"/>
        <v>0</v>
      </c>
    </row>
    <row r="3019" spans="37:37">
      <c r="AK3019" s="979">
        <f t="shared" si="61"/>
        <v>0</v>
      </c>
    </row>
    <row r="3020" spans="37:37">
      <c r="AK3020" s="979">
        <f t="shared" si="61"/>
        <v>0</v>
      </c>
    </row>
    <row r="3021" spans="37:37">
      <c r="AK3021" s="979">
        <f t="shared" si="61"/>
        <v>0</v>
      </c>
    </row>
    <row r="3022" spans="37:37">
      <c r="AK3022" s="979">
        <f t="shared" si="61"/>
        <v>0</v>
      </c>
    </row>
    <row r="3023" spans="37:37">
      <c r="AK3023" s="979">
        <f t="shared" si="61"/>
        <v>0</v>
      </c>
    </row>
    <row r="3024" spans="37:37">
      <c r="AK3024" s="979">
        <f t="shared" si="61"/>
        <v>0</v>
      </c>
    </row>
    <row r="3025" spans="37:37">
      <c r="AK3025" s="979">
        <f t="shared" si="61"/>
        <v>0</v>
      </c>
    </row>
    <row r="3026" spans="37:37">
      <c r="AK3026" s="979">
        <f t="shared" si="61"/>
        <v>0</v>
      </c>
    </row>
    <row r="3027" spans="37:37">
      <c r="AK3027" s="979">
        <f t="shared" si="61"/>
        <v>0</v>
      </c>
    </row>
    <row r="3028" spans="37:37">
      <c r="AK3028" s="979">
        <f t="shared" si="61"/>
        <v>0</v>
      </c>
    </row>
    <row r="3029" spans="37:37">
      <c r="AK3029" s="979">
        <f t="shared" si="61"/>
        <v>0</v>
      </c>
    </row>
    <row r="3030" spans="37:37">
      <c r="AK3030" s="979">
        <f t="shared" si="61"/>
        <v>0</v>
      </c>
    </row>
    <row r="3031" spans="37:37">
      <c r="AK3031" s="979">
        <f t="shared" si="61"/>
        <v>0</v>
      </c>
    </row>
    <row r="3032" spans="37:37">
      <c r="AK3032" s="979">
        <f t="shared" ref="AK3032:AK3095" si="62">SUM(O3032:AJ3032)</f>
        <v>0</v>
      </c>
    </row>
    <row r="3033" spans="37:37">
      <c r="AK3033" s="979">
        <f t="shared" si="62"/>
        <v>0</v>
      </c>
    </row>
    <row r="3034" spans="37:37">
      <c r="AK3034" s="979">
        <f t="shared" si="62"/>
        <v>0</v>
      </c>
    </row>
    <row r="3035" spans="37:37">
      <c r="AK3035" s="979">
        <f t="shared" si="62"/>
        <v>0</v>
      </c>
    </row>
    <row r="3036" spans="37:37">
      <c r="AK3036" s="979">
        <f t="shared" si="62"/>
        <v>0</v>
      </c>
    </row>
    <row r="3037" spans="37:37">
      <c r="AK3037" s="979">
        <f t="shared" si="62"/>
        <v>0</v>
      </c>
    </row>
    <row r="3038" spans="37:37">
      <c r="AK3038" s="979">
        <f t="shared" si="62"/>
        <v>0</v>
      </c>
    </row>
    <row r="3039" spans="37:37">
      <c r="AK3039" s="979">
        <f t="shared" si="62"/>
        <v>0</v>
      </c>
    </row>
    <row r="3040" spans="37:37">
      <c r="AK3040" s="979">
        <f t="shared" si="62"/>
        <v>0</v>
      </c>
    </row>
    <row r="3041" spans="37:37">
      <c r="AK3041" s="979">
        <f t="shared" si="62"/>
        <v>0</v>
      </c>
    </row>
    <row r="3042" spans="37:37">
      <c r="AK3042" s="979">
        <f t="shared" si="62"/>
        <v>0</v>
      </c>
    </row>
    <row r="3043" spans="37:37">
      <c r="AK3043" s="979">
        <f t="shared" si="62"/>
        <v>0</v>
      </c>
    </row>
    <row r="3044" spans="37:37">
      <c r="AK3044" s="979">
        <f t="shared" si="62"/>
        <v>0</v>
      </c>
    </row>
    <row r="3045" spans="37:37">
      <c r="AK3045" s="979">
        <f t="shared" si="62"/>
        <v>0</v>
      </c>
    </row>
    <row r="3046" spans="37:37">
      <c r="AK3046" s="979">
        <f t="shared" si="62"/>
        <v>0</v>
      </c>
    </row>
    <row r="3047" spans="37:37">
      <c r="AK3047" s="979">
        <f t="shared" si="62"/>
        <v>0</v>
      </c>
    </row>
    <row r="3048" spans="37:37">
      <c r="AK3048" s="979">
        <f t="shared" si="62"/>
        <v>0</v>
      </c>
    </row>
    <row r="3049" spans="37:37">
      <c r="AK3049" s="979">
        <f t="shared" si="62"/>
        <v>0</v>
      </c>
    </row>
    <row r="3050" spans="37:37">
      <c r="AK3050" s="979">
        <f t="shared" si="62"/>
        <v>0</v>
      </c>
    </row>
    <row r="3051" spans="37:37">
      <c r="AK3051" s="979">
        <f t="shared" si="62"/>
        <v>0</v>
      </c>
    </row>
    <row r="3052" spans="37:37">
      <c r="AK3052" s="979">
        <f t="shared" si="62"/>
        <v>0</v>
      </c>
    </row>
    <row r="3053" spans="37:37">
      <c r="AK3053" s="979">
        <f t="shared" si="62"/>
        <v>0</v>
      </c>
    </row>
    <row r="3054" spans="37:37">
      <c r="AK3054" s="979">
        <f t="shared" si="62"/>
        <v>0</v>
      </c>
    </row>
    <row r="3055" spans="37:37">
      <c r="AK3055" s="979">
        <f t="shared" si="62"/>
        <v>0</v>
      </c>
    </row>
    <row r="3056" spans="37:37">
      <c r="AK3056" s="979">
        <f t="shared" si="62"/>
        <v>0</v>
      </c>
    </row>
    <row r="3057" spans="37:37">
      <c r="AK3057" s="979">
        <f t="shared" si="62"/>
        <v>0</v>
      </c>
    </row>
    <row r="3058" spans="37:37">
      <c r="AK3058" s="979">
        <f t="shared" si="62"/>
        <v>0</v>
      </c>
    </row>
    <row r="3059" spans="37:37">
      <c r="AK3059" s="979">
        <f t="shared" si="62"/>
        <v>0</v>
      </c>
    </row>
    <row r="3060" spans="37:37">
      <c r="AK3060" s="979">
        <f t="shared" si="62"/>
        <v>0</v>
      </c>
    </row>
    <row r="3061" spans="37:37">
      <c r="AK3061" s="979">
        <f t="shared" si="62"/>
        <v>0</v>
      </c>
    </row>
    <row r="3062" spans="37:37">
      <c r="AK3062" s="979">
        <f t="shared" si="62"/>
        <v>0</v>
      </c>
    </row>
    <row r="3063" spans="37:37">
      <c r="AK3063" s="979">
        <f t="shared" si="62"/>
        <v>0</v>
      </c>
    </row>
    <row r="3064" spans="37:37">
      <c r="AK3064" s="979">
        <f t="shared" si="62"/>
        <v>0</v>
      </c>
    </row>
    <row r="3065" spans="37:37">
      <c r="AK3065" s="979">
        <f t="shared" si="62"/>
        <v>0</v>
      </c>
    </row>
    <row r="3066" spans="37:37">
      <c r="AK3066" s="979">
        <f t="shared" si="62"/>
        <v>0</v>
      </c>
    </row>
    <row r="3067" spans="37:37">
      <c r="AK3067" s="979">
        <f t="shared" si="62"/>
        <v>0</v>
      </c>
    </row>
    <row r="3068" spans="37:37">
      <c r="AK3068" s="979">
        <f t="shared" si="62"/>
        <v>0</v>
      </c>
    </row>
    <row r="3069" spans="37:37">
      <c r="AK3069" s="979">
        <f t="shared" si="62"/>
        <v>0</v>
      </c>
    </row>
    <row r="3070" spans="37:37">
      <c r="AK3070" s="979">
        <f t="shared" si="62"/>
        <v>0</v>
      </c>
    </row>
    <row r="3071" spans="37:37">
      <c r="AK3071" s="979">
        <f t="shared" si="62"/>
        <v>0</v>
      </c>
    </row>
    <row r="3072" spans="37:37">
      <c r="AK3072" s="979">
        <f t="shared" si="62"/>
        <v>0</v>
      </c>
    </row>
    <row r="3073" spans="37:37">
      <c r="AK3073" s="979">
        <f t="shared" si="62"/>
        <v>0</v>
      </c>
    </row>
    <row r="3074" spans="37:37">
      <c r="AK3074" s="979">
        <f t="shared" si="62"/>
        <v>0</v>
      </c>
    </row>
    <row r="3075" spans="37:37">
      <c r="AK3075" s="979">
        <f t="shared" si="62"/>
        <v>0</v>
      </c>
    </row>
    <row r="3076" spans="37:37">
      <c r="AK3076" s="979">
        <f t="shared" si="62"/>
        <v>0</v>
      </c>
    </row>
    <row r="3077" spans="37:37">
      <c r="AK3077" s="979">
        <f t="shared" si="62"/>
        <v>0</v>
      </c>
    </row>
    <row r="3078" spans="37:37">
      <c r="AK3078" s="979">
        <f t="shared" si="62"/>
        <v>0</v>
      </c>
    </row>
    <row r="3079" spans="37:37">
      <c r="AK3079" s="979">
        <f t="shared" si="62"/>
        <v>0</v>
      </c>
    </row>
    <row r="3080" spans="37:37">
      <c r="AK3080" s="979">
        <f t="shared" si="62"/>
        <v>0</v>
      </c>
    </row>
    <row r="3081" spans="37:37">
      <c r="AK3081" s="979">
        <f t="shared" si="62"/>
        <v>0</v>
      </c>
    </row>
    <row r="3082" spans="37:37">
      <c r="AK3082" s="979">
        <f t="shared" si="62"/>
        <v>0</v>
      </c>
    </row>
    <row r="3083" spans="37:37">
      <c r="AK3083" s="979">
        <f t="shared" si="62"/>
        <v>0</v>
      </c>
    </row>
    <row r="3084" spans="37:37">
      <c r="AK3084" s="979">
        <f t="shared" si="62"/>
        <v>0</v>
      </c>
    </row>
    <row r="3085" spans="37:37">
      <c r="AK3085" s="979">
        <f t="shared" si="62"/>
        <v>0</v>
      </c>
    </row>
    <row r="3086" spans="37:37">
      <c r="AK3086" s="979">
        <f t="shared" si="62"/>
        <v>0</v>
      </c>
    </row>
    <row r="3087" spans="37:37">
      <c r="AK3087" s="979">
        <f t="shared" si="62"/>
        <v>0</v>
      </c>
    </row>
    <row r="3088" spans="37:37">
      <c r="AK3088" s="979">
        <f t="shared" si="62"/>
        <v>0</v>
      </c>
    </row>
    <row r="3089" spans="37:37">
      <c r="AK3089" s="979">
        <f t="shared" si="62"/>
        <v>0</v>
      </c>
    </row>
    <row r="3090" spans="37:37">
      <c r="AK3090" s="979">
        <f t="shared" si="62"/>
        <v>0</v>
      </c>
    </row>
    <row r="3091" spans="37:37">
      <c r="AK3091" s="979">
        <f t="shared" si="62"/>
        <v>0</v>
      </c>
    </row>
    <row r="3092" spans="37:37">
      <c r="AK3092" s="979">
        <f t="shared" si="62"/>
        <v>0</v>
      </c>
    </row>
    <row r="3093" spans="37:37">
      <c r="AK3093" s="979">
        <f t="shared" si="62"/>
        <v>0</v>
      </c>
    </row>
    <row r="3094" spans="37:37">
      <c r="AK3094" s="979">
        <f t="shared" si="62"/>
        <v>0</v>
      </c>
    </row>
    <row r="3095" spans="37:37">
      <c r="AK3095" s="979">
        <f t="shared" si="62"/>
        <v>0</v>
      </c>
    </row>
    <row r="3096" spans="37:37">
      <c r="AK3096" s="979">
        <f t="shared" ref="AK3096:AK3159" si="63">SUM(O3096:AJ3096)</f>
        <v>0</v>
      </c>
    </row>
    <row r="3097" spans="37:37">
      <c r="AK3097" s="979">
        <f t="shared" si="63"/>
        <v>0</v>
      </c>
    </row>
    <row r="3098" spans="37:37">
      <c r="AK3098" s="979">
        <f t="shared" si="63"/>
        <v>0</v>
      </c>
    </row>
    <row r="3099" spans="37:37">
      <c r="AK3099" s="979">
        <f t="shared" si="63"/>
        <v>0</v>
      </c>
    </row>
    <row r="3100" spans="37:37">
      <c r="AK3100" s="979">
        <f t="shared" si="63"/>
        <v>0</v>
      </c>
    </row>
    <row r="3101" spans="37:37">
      <c r="AK3101" s="979">
        <f t="shared" si="63"/>
        <v>0</v>
      </c>
    </row>
    <row r="3102" spans="37:37">
      <c r="AK3102" s="979">
        <f t="shared" si="63"/>
        <v>0</v>
      </c>
    </row>
    <row r="3103" spans="37:37">
      <c r="AK3103" s="979">
        <f t="shared" si="63"/>
        <v>0</v>
      </c>
    </row>
    <row r="3104" spans="37:37">
      <c r="AK3104" s="979">
        <f t="shared" si="63"/>
        <v>0</v>
      </c>
    </row>
    <row r="3105" spans="37:37">
      <c r="AK3105" s="979">
        <f t="shared" si="63"/>
        <v>0</v>
      </c>
    </row>
    <row r="3106" spans="37:37">
      <c r="AK3106" s="979">
        <f t="shared" si="63"/>
        <v>0</v>
      </c>
    </row>
    <row r="3107" spans="37:37">
      <c r="AK3107" s="979">
        <f t="shared" si="63"/>
        <v>0</v>
      </c>
    </row>
    <row r="3108" spans="37:37">
      <c r="AK3108" s="979">
        <f t="shared" si="63"/>
        <v>0</v>
      </c>
    </row>
    <row r="3109" spans="37:37">
      <c r="AK3109" s="979">
        <f t="shared" si="63"/>
        <v>0</v>
      </c>
    </row>
    <row r="3110" spans="37:37">
      <c r="AK3110" s="979">
        <f t="shared" si="63"/>
        <v>0</v>
      </c>
    </row>
    <row r="3111" spans="37:37">
      <c r="AK3111" s="979">
        <f t="shared" si="63"/>
        <v>0</v>
      </c>
    </row>
    <row r="3112" spans="37:37">
      <c r="AK3112" s="979">
        <f t="shared" si="63"/>
        <v>0</v>
      </c>
    </row>
    <row r="3113" spans="37:37">
      <c r="AK3113" s="979">
        <f t="shared" si="63"/>
        <v>0</v>
      </c>
    </row>
    <row r="3114" spans="37:37">
      <c r="AK3114" s="979">
        <f t="shared" si="63"/>
        <v>0</v>
      </c>
    </row>
    <row r="3115" spans="37:37">
      <c r="AK3115" s="979">
        <f t="shared" si="63"/>
        <v>0</v>
      </c>
    </row>
    <row r="3116" spans="37:37">
      <c r="AK3116" s="979">
        <f t="shared" si="63"/>
        <v>0</v>
      </c>
    </row>
    <row r="3117" spans="37:37">
      <c r="AK3117" s="979">
        <f t="shared" si="63"/>
        <v>0</v>
      </c>
    </row>
    <row r="3118" spans="37:37">
      <c r="AK3118" s="979">
        <f t="shared" si="63"/>
        <v>0</v>
      </c>
    </row>
    <row r="3119" spans="37:37">
      <c r="AK3119" s="979">
        <f t="shared" si="63"/>
        <v>0</v>
      </c>
    </row>
    <row r="3120" spans="37:37">
      <c r="AK3120" s="979">
        <f t="shared" si="63"/>
        <v>0</v>
      </c>
    </row>
    <row r="3121" spans="37:37">
      <c r="AK3121" s="979">
        <f t="shared" si="63"/>
        <v>0</v>
      </c>
    </row>
    <row r="3122" spans="37:37">
      <c r="AK3122" s="979">
        <f t="shared" si="63"/>
        <v>0</v>
      </c>
    </row>
    <row r="3123" spans="37:37">
      <c r="AK3123" s="979">
        <f t="shared" si="63"/>
        <v>0</v>
      </c>
    </row>
    <row r="3124" spans="37:37">
      <c r="AK3124" s="979">
        <f t="shared" si="63"/>
        <v>0</v>
      </c>
    </row>
    <row r="3125" spans="37:37">
      <c r="AK3125" s="979">
        <f t="shared" si="63"/>
        <v>0</v>
      </c>
    </row>
    <row r="3126" spans="37:37">
      <c r="AK3126" s="979">
        <f t="shared" si="63"/>
        <v>0</v>
      </c>
    </row>
    <row r="3127" spans="37:37">
      <c r="AK3127" s="979">
        <f t="shared" si="63"/>
        <v>0</v>
      </c>
    </row>
    <row r="3128" spans="37:37">
      <c r="AK3128" s="979">
        <f t="shared" si="63"/>
        <v>0</v>
      </c>
    </row>
    <row r="3129" spans="37:37">
      <c r="AK3129" s="979">
        <f t="shared" si="63"/>
        <v>0</v>
      </c>
    </row>
    <row r="3130" spans="37:37">
      <c r="AK3130" s="979">
        <f t="shared" si="63"/>
        <v>0</v>
      </c>
    </row>
    <row r="3131" spans="37:37">
      <c r="AK3131" s="979">
        <f t="shared" si="63"/>
        <v>0</v>
      </c>
    </row>
    <row r="3132" spans="37:37">
      <c r="AK3132" s="979">
        <f t="shared" si="63"/>
        <v>0</v>
      </c>
    </row>
    <row r="3133" spans="37:37">
      <c r="AK3133" s="979">
        <f t="shared" si="63"/>
        <v>0</v>
      </c>
    </row>
    <row r="3134" spans="37:37">
      <c r="AK3134" s="979">
        <f t="shared" si="63"/>
        <v>0</v>
      </c>
    </row>
    <row r="3135" spans="37:37">
      <c r="AK3135" s="979">
        <f t="shared" si="63"/>
        <v>0</v>
      </c>
    </row>
    <row r="3136" spans="37:37">
      <c r="AK3136" s="979">
        <f t="shared" si="63"/>
        <v>0</v>
      </c>
    </row>
    <row r="3137" spans="37:37">
      <c r="AK3137" s="979">
        <f t="shared" si="63"/>
        <v>0</v>
      </c>
    </row>
    <row r="3138" spans="37:37">
      <c r="AK3138" s="979">
        <f t="shared" si="63"/>
        <v>0</v>
      </c>
    </row>
    <row r="3139" spans="37:37">
      <c r="AK3139" s="979">
        <f t="shared" si="63"/>
        <v>0</v>
      </c>
    </row>
    <row r="3140" spans="37:37">
      <c r="AK3140" s="979">
        <f t="shared" si="63"/>
        <v>0</v>
      </c>
    </row>
    <row r="3141" spans="37:37">
      <c r="AK3141" s="979">
        <f t="shared" si="63"/>
        <v>0</v>
      </c>
    </row>
    <row r="3142" spans="37:37">
      <c r="AK3142" s="979">
        <f t="shared" si="63"/>
        <v>0</v>
      </c>
    </row>
    <row r="3143" spans="37:37">
      <c r="AK3143" s="979">
        <f t="shared" si="63"/>
        <v>0</v>
      </c>
    </row>
    <row r="3144" spans="37:37">
      <c r="AK3144" s="979">
        <f t="shared" si="63"/>
        <v>0</v>
      </c>
    </row>
    <row r="3145" spans="37:37">
      <c r="AK3145" s="979">
        <f t="shared" si="63"/>
        <v>0</v>
      </c>
    </row>
    <row r="3146" spans="37:37">
      <c r="AK3146" s="979">
        <f t="shared" si="63"/>
        <v>0</v>
      </c>
    </row>
    <row r="3147" spans="37:37">
      <c r="AK3147" s="979">
        <f t="shared" si="63"/>
        <v>0</v>
      </c>
    </row>
    <row r="3148" spans="37:37">
      <c r="AK3148" s="979">
        <f t="shared" si="63"/>
        <v>0</v>
      </c>
    </row>
    <row r="3149" spans="37:37">
      <c r="AK3149" s="979">
        <f t="shared" si="63"/>
        <v>0</v>
      </c>
    </row>
    <row r="3150" spans="37:37">
      <c r="AK3150" s="979">
        <f t="shared" si="63"/>
        <v>0</v>
      </c>
    </row>
    <row r="3151" spans="37:37">
      <c r="AK3151" s="979">
        <f t="shared" si="63"/>
        <v>0</v>
      </c>
    </row>
    <row r="3152" spans="37:37">
      <c r="AK3152" s="979">
        <f t="shared" si="63"/>
        <v>0</v>
      </c>
    </row>
    <row r="3153" spans="37:37">
      <c r="AK3153" s="979">
        <f t="shared" si="63"/>
        <v>0</v>
      </c>
    </row>
    <row r="3154" spans="37:37">
      <c r="AK3154" s="979">
        <f t="shared" si="63"/>
        <v>0</v>
      </c>
    </row>
    <row r="3155" spans="37:37">
      <c r="AK3155" s="979">
        <f t="shared" si="63"/>
        <v>0</v>
      </c>
    </row>
    <row r="3156" spans="37:37">
      <c r="AK3156" s="979">
        <f t="shared" si="63"/>
        <v>0</v>
      </c>
    </row>
    <row r="3157" spans="37:37">
      <c r="AK3157" s="979">
        <f t="shared" si="63"/>
        <v>0</v>
      </c>
    </row>
    <row r="3158" spans="37:37">
      <c r="AK3158" s="979">
        <f t="shared" si="63"/>
        <v>0</v>
      </c>
    </row>
    <row r="3159" spans="37:37">
      <c r="AK3159" s="979">
        <f t="shared" si="63"/>
        <v>0</v>
      </c>
    </row>
    <row r="3160" spans="37:37">
      <c r="AK3160" s="979">
        <f t="shared" ref="AK3160:AK3223" si="64">SUM(O3160:AJ3160)</f>
        <v>0</v>
      </c>
    </row>
    <row r="3161" spans="37:37">
      <c r="AK3161" s="979">
        <f t="shared" si="64"/>
        <v>0</v>
      </c>
    </row>
    <row r="3162" spans="37:37">
      <c r="AK3162" s="979">
        <f t="shared" si="64"/>
        <v>0</v>
      </c>
    </row>
    <row r="3163" spans="37:37">
      <c r="AK3163" s="979">
        <f t="shared" si="64"/>
        <v>0</v>
      </c>
    </row>
    <row r="3164" spans="37:37">
      <c r="AK3164" s="979">
        <f t="shared" si="64"/>
        <v>0</v>
      </c>
    </row>
    <row r="3165" spans="37:37">
      <c r="AK3165" s="979">
        <f t="shared" si="64"/>
        <v>0</v>
      </c>
    </row>
    <row r="3166" spans="37:37">
      <c r="AK3166" s="979">
        <f t="shared" si="64"/>
        <v>0</v>
      </c>
    </row>
    <row r="3167" spans="37:37">
      <c r="AK3167" s="979">
        <f t="shared" si="64"/>
        <v>0</v>
      </c>
    </row>
    <row r="3168" spans="37:37">
      <c r="AK3168" s="979">
        <f t="shared" si="64"/>
        <v>0</v>
      </c>
    </row>
    <row r="3169" spans="37:37">
      <c r="AK3169" s="979">
        <f t="shared" si="64"/>
        <v>0</v>
      </c>
    </row>
    <row r="3170" spans="37:37">
      <c r="AK3170" s="979">
        <f t="shared" si="64"/>
        <v>0</v>
      </c>
    </row>
    <row r="3171" spans="37:37">
      <c r="AK3171" s="979">
        <f t="shared" si="64"/>
        <v>0</v>
      </c>
    </row>
    <row r="3172" spans="37:37">
      <c r="AK3172" s="979">
        <f t="shared" si="64"/>
        <v>0</v>
      </c>
    </row>
    <row r="3173" spans="37:37">
      <c r="AK3173" s="979">
        <f t="shared" si="64"/>
        <v>0</v>
      </c>
    </row>
    <row r="3174" spans="37:37">
      <c r="AK3174" s="979">
        <f t="shared" si="64"/>
        <v>0</v>
      </c>
    </row>
    <row r="3175" spans="37:37">
      <c r="AK3175" s="979">
        <f t="shared" si="64"/>
        <v>0</v>
      </c>
    </row>
    <row r="3176" spans="37:37">
      <c r="AK3176" s="979">
        <f t="shared" si="64"/>
        <v>0</v>
      </c>
    </row>
    <row r="3177" spans="37:37">
      <c r="AK3177" s="979">
        <f t="shared" si="64"/>
        <v>0</v>
      </c>
    </row>
    <row r="3178" spans="37:37">
      <c r="AK3178" s="979">
        <f t="shared" si="64"/>
        <v>0</v>
      </c>
    </row>
    <row r="3179" spans="37:37">
      <c r="AK3179" s="979">
        <f t="shared" si="64"/>
        <v>0</v>
      </c>
    </row>
    <row r="3180" spans="37:37">
      <c r="AK3180" s="979">
        <f t="shared" si="64"/>
        <v>0</v>
      </c>
    </row>
    <row r="3181" spans="37:37">
      <c r="AK3181" s="979">
        <f t="shared" si="64"/>
        <v>0</v>
      </c>
    </row>
    <row r="3182" spans="37:37">
      <c r="AK3182" s="979">
        <f t="shared" si="64"/>
        <v>0</v>
      </c>
    </row>
    <row r="3183" spans="37:37">
      <c r="AK3183" s="979">
        <f t="shared" si="64"/>
        <v>0</v>
      </c>
    </row>
    <row r="3184" spans="37:37">
      <c r="AK3184" s="979">
        <f t="shared" si="64"/>
        <v>0</v>
      </c>
    </row>
    <row r="3185" spans="37:37">
      <c r="AK3185" s="979">
        <f t="shared" si="64"/>
        <v>0</v>
      </c>
    </row>
    <row r="3186" spans="37:37">
      <c r="AK3186" s="979">
        <f t="shared" si="64"/>
        <v>0</v>
      </c>
    </row>
    <row r="3187" spans="37:37">
      <c r="AK3187" s="979">
        <f t="shared" si="64"/>
        <v>0</v>
      </c>
    </row>
    <row r="3188" spans="37:37">
      <c r="AK3188" s="979">
        <f t="shared" si="64"/>
        <v>0</v>
      </c>
    </row>
    <row r="3189" spans="37:37">
      <c r="AK3189" s="979">
        <f t="shared" si="64"/>
        <v>0</v>
      </c>
    </row>
    <row r="3190" spans="37:37">
      <c r="AK3190" s="979">
        <f t="shared" si="64"/>
        <v>0</v>
      </c>
    </row>
    <row r="3191" spans="37:37">
      <c r="AK3191" s="979">
        <f t="shared" si="64"/>
        <v>0</v>
      </c>
    </row>
    <row r="3192" spans="37:37">
      <c r="AK3192" s="979">
        <f t="shared" si="64"/>
        <v>0</v>
      </c>
    </row>
    <row r="3193" spans="37:37">
      <c r="AK3193" s="979">
        <f t="shared" si="64"/>
        <v>0</v>
      </c>
    </row>
    <row r="3194" spans="37:37">
      <c r="AK3194" s="979">
        <f t="shared" si="64"/>
        <v>0</v>
      </c>
    </row>
    <row r="3195" spans="37:37">
      <c r="AK3195" s="979">
        <f t="shared" si="64"/>
        <v>0</v>
      </c>
    </row>
    <row r="3196" spans="37:37">
      <c r="AK3196" s="979">
        <f t="shared" si="64"/>
        <v>0</v>
      </c>
    </row>
    <row r="3197" spans="37:37">
      <c r="AK3197" s="979">
        <f t="shared" si="64"/>
        <v>0</v>
      </c>
    </row>
    <row r="3198" spans="37:37">
      <c r="AK3198" s="979">
        <f t="shared" si="64"/>
        <v>0</v>
      </c>
    </row>
    <row r="3199" spans="37:37">
      <c r="AK3199" s="979">
        <f t="shared" si="64"/>
        <v>0</v>
      </c>
    </row>
    <row r="3200" spans="37:37">
      <c r="AK3200" s="979">
        <f t="shared" si="64"/>
        <v>0</v>
      </c>
    </row>
    <row r="3201" spans="37:37">
      <c r="AK3201" s="979">
        <f t="shared" si="64"/>
        <v>0</v>
      </c>
    </row>
    <row r="3202" spans="37:37">
      <c r="AK3202" s="979">
        <f t="shared" si="64"/>
        <v>0</v>
      </c>
    </row>
    <row r="3203" spans="37:37">
      <c r="AK3203" s="979">
        <f t="shared" si="64"/>
        <v>0</v>
      </c>
    </row>
    <row r="3204" spans="37:37">
      <c r="AK3204" s="979">
        <f t="shared" si="64"/>
        <v>0</v>
      </c>
    </row>
    <row r="3205" spans="37:37">
      <c r="AK3205" s="979">
        <f t="shared" si="64"/>
        <v>0</v>
      </c>
    </row>
    <row r="3206" spans="37:37">
      <c r="AK3206" s="979">
        <f t="shared" si="64"/>
        <v>0</v>
      </c>
    </row>
    <row r="3207" spans="37:37">
      <c r="AK3207" s="979">
        <f t="shared" si="64"/>
        <v>0</v>
      </c>
    </row>
    <row r="3208" spans="37:37">
      <c r="AK3208" s="979">
        <f t="shared" si="64"/>
        <v>0</v>
      </c>
    </row>
    <row r="3209" spans="37:37">
      <c r="AK3209" s="979">
        <f t="shared" si="64"/>
        <v>0</v>
      </c>
    </row>
    <row r="3210" spans="37:37">
      <c r="AK3210" s="979">
        <f t="shared" si="64"/>
        <v>0</v>
      </c>
    </row>
    <row r="3211" spans="37:37">
      <c r="AK3211" s="979">
        <f t="shared" si="64"/>
        <v>0</v>
      </c>
    </row>
    <row r="3212" spans="37:37">
      <c r="AK3212" s="979">
        <f t="shared" si="64"/>
        <v>0</v>
      </c>
    </row>
    <row r="3213" spans="37:37">
      <c r="AK3213" s="979">
        <f t="shared" si="64"/>
        <v>0</v>
      </c>
    </row>
    <row r="3214" spans="37:37">
      <c r="AK3214" s="979">
        <f t="shared" si="64"/>
        <v>0</v>
      </c>
    </row>
    <row r="3215" spans="37:37">
      <c r="AK3215" s="979">
        <f t="shared" si="64"/>
        <v>0</v>
      </c>
    </row>
    <row r="3216" spans="37:37">
      <c r="AK3216" s="979">
        <f t="shared" si="64"/>
        <v>0</v>
      </c>
    </row>
    <row r="3217" spans="37:37">
      <c r="AK3217" s="979">
        <f t="shared" si="64"/>
        <v>0</v>
      </c>
    </row>
    <row r="3218" spans="37:37">
      <c r="AK3218" s="979">
        <f t="shared" si="64"/>
        <v>0</v>
      </c>
    </row>
    <row r="3219" spans="37:37">
      <c r="AK3219" s="979">
        <f t="shared" si="64"/>
        <v>0</v>
      </c>
    </row>
    <row r="3220" spans="37:37">
      <c r="AK3220" s="979">
        <f t="shared" si="64"/>
        <v>0</v>
      </c>
    </row>
    <row r="3221" spans="37:37">
      <c r="AK3221" s="979">
        <f t="shared" si="64"/>
        <v>0</v>
      </c>
    </row>
    <row r="3222" spans="37:37">
      <c r="AK3222" s="979">
        <f t="shared" si="64"/>
        <v>0</v>
      </c>
    </row>
    <row r="3223" spans="37:37">
      <c r="AK3223" s="979">
        <f t="shared" si="64"/>
        <v>0</v>
      </c>
    </row>
    <row r="3224" spans="37:37">
      <c r="AK3224" s="979">
        <f t="shared" ref="AK3224:AK3287" si="65">SUM(O3224:AJ3224)</f>
        <v>0</v>
      </c>
    </row>
    <row r="3225" spans="37:37">
      <c r="AK3225" s="979">
        <f t="shared" si="65"/>
        <v>0</v>
      </c>
    </row>
    <row r="3226" spans="37:37">
      <c r="AK3226" s="979">
        <f t="shared" si="65"/>
        <v>0</v>
      </c>
    </row>
    <row r="3227" spans="37:37">
      <c r="AK3227" s="979">
        <f t="shared" si="65"/>
        <v>0</v>
      </c>
    </row>
    <row r="3228" spans="37:37">
      <c r="AK3228" s="979">
        <f t="shared" si="65"/>
        <v>0</v>
      </c>
    </row>
    <row r="3229" spans="37:37">
      <c r="AK3229" s="979">
        <f t="shared" si="65"/>
        <v>0</v>
      </c>
    </row>
    <row r="3230" spans="37:37">
      <c r="AK3230" s="979">
        <f t="shared" si="65"/>
        <v>0</v>
      </c>
    </row>
    <row r="3231" spans="37:37">
      <c r="AK3231" s="979">
        <f t="shared" si="65"/>
        <v>0</v>
      </c>
    </row>
    <row r="3232" spans="37:37">
      <c r="AK3232" s="979">
        <f t="shared" si="65"/>
        <v>0</v>
      </c>
    </row>
    <row r="3233" spans="37:37">
      <c r="AK3233" s="979">
        <f t="shared" si="65"/>
        <v>0</v>
      </c>
    </row>
    <row r="3234" spans="37:37">
      <c r="AK3234" s="979">
        <f t="shared" si="65"/>
        <v>0</v>
      </c>
    </row>
    <row r="3235" spans="37:37">
      <c r="AK3235" s="979">
        <f t="shared" si="65"/>
        <v>0</v>
      </c>
    </row>
    <row r="3236" spans="37:37">
      <c r="AK3236" s="979">
        <f t="shared" si="65"/>
        <v>0</v>
      </c>
    </row>
    <row r="3237" spans="37:37">
      <c r="AK3237" s="979">
        <f t="shared" si="65"/>
        <v>0</v>
      </c>
    </row>
    <row r="3238" spans="37:37">
      <c r="AK3238" s="979">
        <f t="shared" si="65"/>
        <v>0</v>
      </c>
    </row>
    <row r="3239" spans="37:37">
      <c r="AK3239" s="979">
        <f t="shared" si="65"/>
        <v>0</v>
      </c>
    </row>
    <row r="3240" spans="37:37">
      <c r="AK3240" s="979">
        <f t="shared" si="65"/>
        <v>0</v>
      </c>
    </row>
    <row r="3241" spans="37:37">
      <c r="AK3241" s="979">
        <f t="shared" si="65"/>
        <v>0</v>
      </c>
    </row>
    <row r="3242" spans="37:37">
      <c r="AK3242" s="979">
        <f t="shared" si="65"/>
        <v>0</v>
      </c>
    </row>
    <row r="3243" spans="37:37">
      <c r="AK3243" s="979">
        <f t="shared" si="65"/>
        <v>0</v>
      </c>
    </row>
    <row r="3244" spans="37:37">
      <c r="AK3244" s="979">
        <f t="shared" si="65"/>
        <v>0</v>
      </c>
    </row>
    <row r="3245" spans="37:37">
      <c r="AK3245" s="979">
        <f t="shared" si="65"/>
        <v>0</v>
      </c>
    </row>
    <row r="3246" spans="37:37">
      <c r="AK3246" s="979">
        <f t="shared" si="65"/>
        <v>0</v>
      </c>
    </row>
    <row r="3247" spans="37:37">
      <c r="AK3247" s="979">
        <f t="shared" si="65"/>
        <v>0</v>
      </c>
    </row>
    <row r="3248" spans="37:37">
      <c r="AK3248" s="979">
        <f t="shared" si="65"/>
        <v>0</v>
      </c>
    </row>
    <row r="3249" spans="37:37">
      <c r="AK3249" s="979">
        <f t="shared" si="65"/>
        <v>0</v>
      </c>
    </row>
    <row r="3250" spans="37:37">
      <c r="AK3250" s="979">
        <f t="shared" si="65"/>
        <v>0</v>
      </c>
    </row>
    <row r="3251" spans="37:37">
      <c r="AK3251" s="979">
        <f t="shared" si="65"/>
        <v>0</v>
      </c>
    </row>
    <row r="3252" spans="37:37">
      <c r="AK3252" s="979">
        <f t="shared" si="65"/>
        <v>0</v>
      </c>
    </row>
    <row r="3253" spans="37:37">
      <c r="AK3253" s="979">
        <f t="shared" si="65"/>
        <v>0</v>
      </c>
    </row>
    <row r="3254" spans="37:37">
      <c r="AK3254" s="979">
        <f t="shared" si="65"/>
        <v>0</v>
      </c>
    </row>
    <row r="3255" spans="37:37">
      <c r="AK3255" s="979">
        <f t="shared" si="65"/>
        <v>0</v>
      </c>
    </row>
    <row r="3256" spans="37:37">
      <c r="AK3256" s="979">
        <f t="shared" si="65"/>
        <v>0</v>
      </c>
    </row>
    <row r="3257" spans="37:37">
      <c r="AK3257" s="979">
        <f t="shared" si="65"/>
        <v>0</v>
      </c>
    </row>
    <row r="3258" spans="37:37">
      <c r="AK3258" s="979">
        <f t="shared" si="65"/>
        <v>0</v>
      </c>
    </row>
    <row r="3259" spans="37:37">
      <c r="AK3259" s="979">
        <f t="shared" si="65"/>
        <v>0</v>
      </c>
    </row>
    <row r="3260" spans="37:37">
      <c r="AK3260" s="979">
        <f t="shared" si="65"/>
        <v>0</v>
      </c>
    </row>
    <row r="3261" spans="37:37">
      <c r="AK3261" s="979">
        <f t="shared" si="65"/>
        <v>0</v>
      </c>
    </row>
    <row r="3262" spans="37:37">
      <c r="AK3262" s="979">
        <f t="shared" si="65"/>
        <v>0</v>
      </c>
    </row>
    <row r="3263" spans="37:37">
      <c r="AK3263" s="979">
        <f t="shared" si="65"/>
        <v>0</v>
      </c>
    </row>
    <row r="3264" spans="37:37">
      <c r="AK3264" s="979">
        <f t="shared" si="65"/>
        <v>0</v>
      </c>
    </row>
    <row r="3265" spans="37:37">
      <c r="AK3265" s="979">
        <f t="shared" si="65"/>
        <v>0</v>
      </c>
    </row>
    <row r="3266" spans="37:37">
      <c r="AK3266" s="979">
        <f t="shared" si="65"/>
        <v>0</v>
      </c>
    </row>
    <row r="3267" spans="37:37">
      <c r="AK3267" s="979">
        <f t="shared" si="65"/>
        <v>0</v>
      </c>
    </row>
    <row r="3268" spans="37:37">
      <c r="AK3268" s="979">
        <f t="shared" si="65"/>
        <v>0</v>
      </c>
    </row>
    <row r="3269" spans="37:37">
      <c r="AK3269" s="979">
        <f t="shared" si="65"/>
        <v>0</v>
      </c>
    </row>
    <row r="3270" spans="37:37">
      <c r="AK3270" s="979">
        <f t="shared" si="65"/>
        <v>0</v>
      </c>
    </row>
    <row r="3271" spans="37:37">
      <c r="AK3271" s="979">
        <f t="shared" si="65"/>
        <v>0</v>
      </c>
    </row>
    <row r="3272" spans="37:37">
      <c r="AK3272" s="979">
        <f t="shared" si="65"/>
        <v>0</v>
      </c>
    </row>
    <row r="3273" spans="37:37">
      <c r="AK3273" s="979">
        <f t="shared" si="65"/>
        <v>0</v>
      </c>
    </row>
    <row r="3274" spans="37:37">
      <c r="AK3274" s="979">
        <f t="shared" si="65"/>
        <v>0</v>
      </c>
    </row>
    <row r="3275" spans="37:37">
      <c r="AK3275" s="979">
        <f t="shared" si="65"/>
        <v>0</v>
      </c>
    </row>
    <row r="3276" spans="37:37">
      <c r="AK3276" s="979">
        <f t="shared" si="65"/>
        <v>0</v>
      </c>
    </row>
    <row r="3277" spans="37:37">
      <c r="AK3277" s="979">
        <f t="shared" si="65"/>
        <v>0</v>
      </c>
    </row>
    <row r="3278" spans="37:37">
      <c r="AK3278" s="979">
        <f t="shared" si="65"/>
        <v>0</v>
      </c>
    </row>
    <row r="3279" spans="37:37">
      <c r="AK3279" s="979">
        <f t="shared" si="65"/>
        <v>0</v>
      </c>
    </row>
    <row r="3280" spans="37:37">
      <c r="AK3280" s="979">
        <f t="shared" si="65"/>
        <v>0</v>
      </c>
    </row>
    <row r="3281" spans="37:37">
      <c r="AK3281" s="979">
        <f t="shared" si="65"/>
        <v>0</v>
      </c>
    </row>
    <row r="3282" spans="37:37">
      <c r="AK3282" s="979">
        <f t="shared" si="65"/>
        <v>0</v>
      </c>
    </row>
    <row r="3283" spans="37:37">
      <c r="AK3283" s="979">
        <f t="shared" si="65"/>
        <v>0</v>
      </c>
    </row>
    <row r="3284" spans="37:37">
      <c r="AK3284" s="979">
        <f t="shared" si="65"/>
        <v>0</v>
      </c>
    </row>
    <row r="3285" spans="37:37">
      <c r="AK3285" s="979">
        <f t="shared" si="65"/>
        <v>0</v>
      </c>
    </row>
    <row r="3286" spans="37:37">
      <c r="AK3286" s="979">
        <f t="shared" si="65"/>
        <v>0</v>
      </c>
    </row>
    <row r="3287" spans="37:37">
      <c r="AK3287" s="979">
        <f t="shared" si="65"/>
        <v>0</v>
      </c>
    </row>
    <row r="3288" spans="37:37">
      <c r="AK3288" s="979">
        <f t="shared" ref="AK3288:AK3351" si="66">SUM(O3288:AJ3288)</f>
        <v>0</v>
      </c>
    </row>
    <row r="3289" spans="37:37">
      <c r="AK3289" s="979">
        <f t="shared" si="66"/>
        <v>0</v>
      </c>
    </row>
    <row r="3290" spans="37:37">
      <c r="AK3290" s="979">
        <f t="shared" si="66"/>
        <v>0</v>
      </c>
    </row>
    <row r="3291" spans="37:37">
      <c r="AK3291" s="979">
        <f t="shared" si="66"/>
        <v>0</v>
      </c>
    </row>
    <row r="3292" spans="37:37">
      <c r="AK3292" s="979">
        <f t="shared" si="66"/>
        <v>0</v>
      </c>
    </row>
    <row r="3293" spans="37:37">
      <c r="AK3293" s="979">
        <f t="shared" si="66"/>
        <v>0</v>
      </c>
    </row>
    <row r="3294" spans="37:37">
      <c r="AK3294" s="979">
        <f t="shared" si="66"/>
        <v>0</v>
      </c>
    </row>
    <row r="3295" spans="37:37">
      <c r="AK3295" s="979">
        <f t="shared" si="66"/>
        <v>0</v>
      </c>
    </row>
    <row r="3296" spans="37:37">
      <c r="AK3296" s="979">
        <f t="shared" si="66"/>
        <v>0</v>
      </c>
    </row>
    <row r="3297" spans="37:37">
      <c r="AK3297" s="979">
        <f t="shared" si="66"/>
        <v>0</v>
      </c>
    </row>
    <row r="3298" spans="37:37">
      <c r="AK3298" s="979">
        <f t="shared" si="66"/>
        <v>0</v>
      </c>
    </row>
    <row r="3299" spans="37:37">
      <c r="AK3299" s="979">
        <f t="shared" si="66"/>
        <v>0</v>
      </c>
    </row>
    <row r="3300" spans="37:37">
      <c r="AK3300" s="979">
        <f t="shared" si="66"/>
        <v>0</v>
      </c>
    </row>
    <row r="3301" spans="37:37">
      <c r="AK3301" s="979">
        <f t="shared" si="66"/>
        <v>0</v>
      </c>
    </row>
    <row r="3302" spans="37:37">
      <c r="AK3302" s="979">
        <f t="shared" si="66"/>
        <v>0</v>
      </c>
    </row>
    <row r="3303" spans="37:37">
      <c r="AK3303" s="979">
        <f t="shared" si="66"/>
        <v>0</v>
      </c>
    </row>
    <row r="3304" spans="37:37">
      <c r="AK3304" s="979">
        <f t="shared" si="66"/>
        <v>0</v>
      </c>
    </row>
    <row r="3305" spans="37:37">
      <c r="AK3305" s="979">
        <f t="shared" si="66"/>
        <v>0</v>
      </c>
    </row>
    <row r="3306" spans="37:37">
      <c r="AK3306" s="979">
        <f t="shared" si="66"/>
        <v>0</v>
      </c>
    </row>
    <row r="3307" spans="37:37">
      <c r="AK3307" s="979">
        <f t="shared" si="66"/>
        <v>0</v>
      </c>
    </row>
    <row r="3308" spans="37:37">
      <c r="AK3308" s="979">
        <f t="shared" si="66"/>
        <v>0</v>
      </c>
    </row>
    <row r="3309" spans="37:37">
      <c r="AK3309" s="979">
        <f t="shared" si="66"/>
        <v>0</v>
      </c>
    </row>
    <row r="3310" spans="37:37">
      <c r="AK3310" s="979">
        <f t="shared" si="66"/>
        <v>0</v>
      </c>
    </row>
    <row r="3311" spans="37:37">
      <c r="AK3311" s="979">
        <f t="shared" si="66"/>
        <v>0</v>
      </c>
    </row>
    <row r="3312" spans="37:37">
      <c r="AK3312" s="979">
        <f t="shared" si="66"/>
        <v>0</v>
      </c>
    </row>
    <row r="3313" spans="37:37">
      <c r="AK3313" s="979">
        <f t="shared" si="66"/>
        <v>0</v>
      </c>
    </row>
    <row r="3314" spans="37:37">
      <c r="AK3314" s="979">
        <f t="shared" si="66"/>
        <v>0</v>
      </c>
    </row>
    <row r="3315" spans="37:37">
      <c r="AK3315" s="979">
        <f t="shared" si="66"/>
        <v>0</v>
      </c>
    </row>
    <row r="3316" spans="37:37">
      <c r="AK3316" s="979">
        <f t="shared" si="66"/>
        <v>0</v>
      </c>
    </row>
    <row r="3317" spans="37:37">
      <c r="AK3317" s="979">
        <f t="shared" si="66"/>
        <v>0</v>
      </c>
    </row>
    <row r="3318" spans="37:37">
      <c r="AK3318" s="979">
        <f t="shared" si="66"/>
        <v>0</v>
      </c>
    </row>
    <row r="3319" spans="37:37">
      <c r="AK3319" s="979">
        <f t="shared" si="66"/>
        <v>0</v>
      </c>
    </row>
    <row r="3320" spans="37:37">
      <c r="AK3320" s="979">
        <f t="shared" si="66"/>
        <v>0</v>
      </c>
    </row>
    <row r="3321" spans="37:37">
      <c r="AK3321" s="979">
        <f t="shared" si="66"/>
        <v>0</v>
      </c>
    </row>
    <row r="3322" spans="37:37">
      <c r="AK3322" s="979">
        <f t="shared" si="66"/>
        <v>0</v>
      </c>
    </row>
    <row r="3323" spans="37:37">
      <c r="AK3323" s="979">
        <f t="shared" si="66"/>
        <v>0</v>
      </c>
    </row>
    <row r="3324" spans="37:37">
      <c r="AK3324" s="979">
        <f t="shared" si="66"/>
        <v>0</v>
      </c>
    </row>
    <row r="3325" spans="37:37">
      <c r="AK3325" s="979">
        <f t="shared" si="66"/>
        <v>0</v>
      </c>
    </row>
    <row r="3326" spans="37:37">
      <c r="AK3326" s="979">
        <f t="shared" si="66"/>
        <v>0</v>
      </c>
    </row>
    <row r="3327" spans="37:37">
      <c r="AK3327" s="979">
        <f t="shared" si="66"/>
        <v>0</v>
      </c>
    </row>
    <row r="3328" spans="37:37">
      <c r="AK3328" s="979">
        <f t="shared" si="66"/>
        <v>0</v>
      </c>
    </row>
    <row r="3329" spans="37:37">
      <c r="AK3329" s="979">
        <f t="shared" si="66"/>
        <v>0</v>
      </c>
    </row>
    <row r="3330" spans="37:37">
      <c r="AK3330" s="979">
        <f t="shared" si="66"/>
        <v>0</v>
      </c>
    </row>
    <row r="3331" spans="37:37">
      <c r="AK3331" s="979">
        <f t="shared" si="66"/>
        <v>0</v>
      </c>
    </row>
    <row r="3332" spans="37:37">
      <c r="AK3332" s="979">
        <f t="shared" si="66"/>
        <v>0</v>
      </c>
    </row>
    <row r="3333" spans="37:37">
      <c r="AK3333" s="979">
        <f t="shared" si="66"/>
        <v>0</v>
      </c>
    </row>
    <row r="3334" spans="37:37">
      <c r="AK3334" s="979">
        <f t="shared" si="66"/>
        <v>0</v>
      </c>
    </row>
    <row r="3335" spans="37:37">
      <c r="AK3335" s="979">
        <f t="shared" si="66"/>
        <v>0</v>
      </c>
    </row>
    <row r="3336" spans="37:37">
      <c r="AK3336" s="979">
        <f t="shared" si="66"/>
        <v>0</v>
      </c>
    </row>
    <row r="3337" spans="37:37">
      <c r="AK3337" s="979">
        <f t="shared" si="66"/>
        <v>0</v>
      </c>
    </row>
    <row r="3338" spans="37:37">
      <c r="AK3338" s="979">
        <f t="shared" si="66"/>
        <v>0</v>
      </c>
    </row>
    <row r="3339" spans="37:37">
      <c r="AK3339" s="979">
        <f t="shared" si="66"/>
        <v>0</v>
      </c>
    </row>
    <row r="3340" spans="37:37">
      <c r="AK3340" s="979">
        <f t="shared" si="66"/>
        <v>0</v>
      </c>
    </row>
    <row r="3341" spans="37:37">
      <c r="AK3341" s="979">
        <f t="shared" si="66"/>
        <v>0</v>
      </c>
    </row>
    <row r="3342" spans="37:37">
      <c r="AK3342" s="979">
        <f t="shared" si="66"/>
        <v>0</v>
      </c>
    </row>
    <row r="3343" spans="37:37">
      <c r="AK3343" s="979">
        <f t="shared" si="66"/>
        <v>0</v>
      </c>
    </row>
    <row r="3344" spans="37:37">
      <c r="AK3344" s="979">
        <f t="shared" si="66"/>
        <v>0</v>
      </c>
    </row>
    <row r="3345" spans="37:37">
      <c r="AK3345" s="979">
        <f t="shared" si="66"/>
        <v>0</v>
      </c>
    </row>
    <row r="3346" spans="37:37">
      <c r="AK3346" s="979">
        <f t="shared" si="66"/>
        <v>0</v>
      </c>
    </row>
    <row r="3347" spans="37:37">
      <c r="AK3347" s="979">
        <f t="shared" si="66"/>
        <v>0</v>
      </c>
    </row>
    <row r="3348" spans="37:37">
      <c r="AK3348" s="979">
        <f t="shared" si="66"/>
        <v>0</v>
      </c>
    </row>
    <row r="3349" spans="37:37">
      <c r="AK3349" s="979">
        <f t="shared" si="66"/>
        <v>0</v>
      </c>
    </row>
    <row r="3350" spans="37:37">
      <c r="AK3350" s="979">
        <f t="shared" si="66"/>
        <v>0</v>
      </c>
    </row>
    <row r="3351" spans="37:37">
      <c r="AK3351" s="979">
        <f t="shared" si="66"/>
        <v>0</v>
      </c>
    </row>
    <row r="3352" spans="37:37">
      <c r="AK3352" s="979">
        <f t="shared" ref="AK3352:AK3415" si="67">SUM(O3352:AJ3352)</f>
        <v>0</v>
      </c>
    </row>
    <row r="3353" spans="37:37">
      <c r="AK3353" s="979">
        <f t="shared" si="67"/>
        <v>0</v>
      </c>
    </row>
    <row r="3354" spans="37:37">
      <c r="AK3354" s="979">
        <f t="shared" si="67"/>
        <v>0</v>
      </c>
    </row>
    <row r="3355" spans="37:37">
      <c r="AK3355" s="979">
        <f t="shared" si="67"/>
        <v>0</v>
      </c>
    </row>
    <row r="3356" spans="37:37">
      <c r="AK3356" s="979">
        <f t="shared" si="67"/>
        <v>0</v>
      </c>
    </row>
    <row r="3357" spans="37:37">
      <c r="AK3357" s="979">
        <f t="shared" si="67"/>
        <v>0</v>
      </c>
    </row>
    <row r="3358" spans="37:37">
      <c r="AK3358" s="979">
        <f t="shared" si="67"/>
        <v>0</v>
      </c>
    </row>
    <row r="3359" spans="37:37">
      <c r="AK3359" s="979">
        <f t="shared" si="67"/>
        <v>0</v>
      </c>
    </row>
    <row r="3360" spans="37:37">
      <c r="AK3360" s="979">
        <f t="shared" si="67"/>
        <v>0</v>
      </c>
    </row>
    <row r="3361" spans="37:37">
      <c r="AK3361" s="979">
        <f t="shared" si="67"/>
        <v>0</v>
      </c>
    </row>
    <row r="3362" spans="37:37">
      <c r="AK3362" s="979">
        <f t="shared" si="67"/>
        <v>0</v>
      </c>
    </row>
    <row r="3363" spans="37:37">
      <c r="AK3363" s="979">
        <f t="shared" si="67"/>
        <v>0</v>
      </c>
    </row>
    <row r="3364" spans="37:37">
      <c r="AK3364" s="979">
        <f t="shared" si="67"/>
        <v>0</v>
      </c>
    </row>
    <row r="3365" spans="37:37">
      <c r="AK3365" s="979">
        <f t="shared" si="67"/>
        <v>0</v>
      </c>
    </row>
    <row r="3366" spans="37:37">
      <c r="AK3366" s="979">
        <f t="shared" si="67"/>
        <v>0</v>
      </c>
    </row>
    <row r="3367" spans="37:37">
      <c r="AK3367" s="979">
        <f t="shared" si="67"/>
        <v>0</v>
      </c>
    </row>
    <row r="3368" spans="37:37">
      <c r="AK3368" s="979">
        <f t="shared" si="67"/>
        <v>0</v>
      </c>
    </row>
    <row r="3369" spans="37:37">
      <c r="AK3369" s="979">
        <f t="shared" si="67"/>
        <v>0</v>
      </c>
    </row>
    <row r="3370" spans="37:37">
      <c r="AK3370" s="979">
        <f t="shared" si="67"/>
        <v>0</v>
      </c>
    </row>
    <row r="3371" spans="37:37">
      <c r="AK3371" s="979">
        <f t="shared" si="67"/>
        <v>0</v>
      </c>
    </row>
    <row r="3372" spans="37:37">
      <c r="AK3372" s="979">
        <f t="shared" si="67"/>
        <v>0</v>
      </c>
    </row>
    <row r="3373" spans="37:37">
      <c r="AK3373" s="979">
        <f t="shared" si="67"/>
        <v>0</v>
      </c>
    </row>
    <row r="3374" spans="37:37">
      <c r="AK3374" s="979">
        <f t="shared" si="67"/>
        <v>0</v>
      </c>
    </row>
    <row r="3375" spans="37:37">
      <c r="AK3375" s="979">
        <f t="shared" si="67"/>
        <v>0</v>
      </c>
    </row>
    <row r="3376" spans="37:37">
      <c r="AK3376" s="979">
        <f t="shared" si="67"/>
        <v>0</v>
      </c>
    </row>
    <row r="3377" spans="37:37">
      <c r="AK3377" s="979">
        <f t="shared" si="67"/>
        <v>0</v>
      </c>
    </row>
    <row r="3378" spans="37:37">
      <c r="AK3378" s="979">
        <f t="shared" si="67"/>
        <v>0</v>
      </c>
    </row>
    <row r="3379" spans="37:37">
      <c r="AK3379" s="979">
        <f t="shared" si="67"/>
        <v>0</v>
      </c>
    </row>
    <row r="3380" spans="37:37">
      <c r="AK3380" s="979">
        <f t="shared" si="67"/>
        <v>0</v>
      </c>
    </row>
    <row r="3381" spans="37:37">
      <c r="AK3381" s="979">
        <f t="shared" si="67"/>
        <v>0</v>
      </c>
    </row>
    <row r="3382" spans="37:37">
      <c r="AK3382" s="979">
        <f t="shared" si="67"/>
        <v>0</v>
      </c>
    </row>
    <row r="3383" spans="37:37">
      <c r="AK3383" s="979">
        <f t="shared" si="67"/>
        <v>0</v>
      </c>
    </row>
    <row r="3384" spans="37:37">
      <c r="AK3384" s="979">
        <f t="shared" si="67"/>
        <v>0</v>
      </c>
    </row>
    <row r="3385" spans="37:37">
      <c r="AK3385" s="979">
        <f t="shared" si="67"/>
        <v>0</v>
      </c>
    </row>
    <row r="3386" spans="37:37">
      <c r="AK3386" s="979">
        <f t="shared" si="67"/>
        <v>0</v>
      </c>
    </row>
    <row r="3387" spans="37:37">
      <c r="AK3387" s="979">
        <f t="shared" si="67"/>
        <v>0</v>
      </c>
    </row>
    <row r="3388" spans="37:37">
      <c r="AK3388" s="979">
        <f t="shared" si="67"/>
        <v>0</v>
      </c>
    </row>
    <row r="3389" spans="37:37">
      <c r="AK3389" s="979">
        <f t="shared" si="67"/>
        <v>0</v>
      </c>
    </row>
    <row r="3390" spans="37:37">
      <c r="AK3390" s="979">
        <f t="shared" si="67"/>
        <v>0</v>
      </c>
    </row>
    <row r="3391" spans="37:37">
      <c r="AK3391" s="979">
        <f t="shared" si="67"/>
        <v>0</v>
      </c>
    </row>
    <row r="3392" spans="37:37">
      <c r="AK3392" s="979">
        <f t="shared" si="67"/>
        <v>0</v>
      </c>
    </row>
    <row r="3393" spans="37:37">
      <c r="AK3393" s="979">
        <f t="shared" si="67"/>
        <v>0</v>
      </c>
    </row>
    <row r="3394" spans="37:37">
      <c r="AK3394" s="979">
        <f t="shared" si="67"/>
        <v>0</v>
      </c>
    </row>
    <row r="3395" spans="37:37">
      <c r="AK3395" s="979">
        <f t="shared" si="67"/>
        <v>0</v>
      </c>
    </row>
    <row r="3396" spans="37:37">
      <c r="AK3396" s="979">
        <f t="shared" si="67"/>
        <v>0</v>
      </c>
    </row>
    <row r="3397" spans="37:37">
      <c r="AK3397" s="979">
        <f t="shared" si="67"/>
        <v>0</v>
      </c>
    </row>
    <row r="3398" spans="37:37">
      <c r="AK3398" s="979">
        <f t="shared" si="67"/>
        <v>0</v>
      </c>
    </row>
    <row r="3399" spans="37:37">
      <c r="AK3399" s="979">
        <f t="shared" si="67"/>
        <v>0</v>
      </c>
    </row>
    <row r="3400" spans="37:37">
      <c r="AK3400" s="979">
        <f t="shared" si="67"/>
        <v>0</v>
      </c>
    </row>
    <row r="3401" spans="37:37">
      <c r="AK3401" s="979">
        <f t="shared" si="67"/>
        <v>0</v>
      </c>
    </row>
    <row r="3402" spans="37:37">
      <c r="AK3402" s="979">
        <f t="shared" si="67"/>
        <v>0</v>
      </c>
    </row>
    <row r="3403" spans="37:37">
      <c r="AK3403" s="979">
        <f t="shared" si="67"/>
        <v>0</v>
      </c>
    </row>
    <row r="3404" spans="37:37">
      <c r="AK3404" s="979">
        <f t="shared" si="67"/>
        <v>0</v>
      </c>
    </row>
    <row r="3405" spans="37:37">
      <c r="AK3405" s="979">
        <f t="shared" si="67"/>
        <v>0</v>
      </c>
    </row>
    <row r="3406" spans="37:37">
      <c r="AK3406" s="979">
        <f t="shared" si="67"/>
        <v>0</v>
      </c>
    </row>
    <row r="3407" spans="37:37">
      <c r="AK3407" s="979">
        <f t="shared" si="67"/>
        <v>0</v>
      </c>
    </row>
    <row r="3408" spans="37:37">
      <c r="AK3408" s="979">
        <f t="shared" si="67"/>
        <v>0</v>
      </c>
    </row>
    <row r="3409" spans="37:37">
      <c r="AK3409" s="979">
        <f t="shared" si="67"/>
        <v>0</v>
      </c>
    </row>
    <row r="3410" spans="37:37">
      <c r="AK3410" s="979">
        <f t="shared" si="67"/>
        <v>0</v>
      </c>
    </row>
    <row r="3411" spans="37:37">
      <c r="AK3411" s="979">
        <f t="shared" si="67"/>
        <v>0</v>
      </c>
    </row>
    <row r="3412" spans="37:37">
      <c r="AK3412" s="979">
        <f t="shared" si="67"/>
        <v>0</v>
      </c>
    </row>
    <row r="3413" spans="37:37">
      <c r="AK3413" s="979">
        <f t="shared" si="67"/>
        <v>0</v>
      </c>
    </row>
    <row r="3414" spans="37:37">
      <c r="AK3414" s="979">
        <f t="shared" si="67"/>
        <v>0</v>
      </c>
    </row>
    <row r="3415" spans="37:37">
      <c r="AK3415" s="979">
        <f t="shared" si="67"/>
        <v>0</v>
      </c>
    </row>
    <row r="3416" spans="37:37">
      <c r="AK3416" s="979">
        <f t="shared" ref="AK3416:AK3479" si="68">SUM(O3416:AJ3416)</f>
        <v>0</v>
      </c>
    </row>
    <row r="3417" spans="37:37">
      <c r="AK3417" s="979">
        <f t="shared" si="68"/>
        <v>0</v>
      </c>
    </row>
    <row r="3418" spans="37:37">
      <c r="AK3418" s="979">
        <f t="shared" si="68"/>
        <v>0</v>
      </c>
    </row>
    <row r="3419" spans="37:37">
      <c r="AK3419" s="979">
        <f t="shared" si="68"/>
        <v>0</v>
      </c>
    </row>
    <row r="3420" spans="37:37">
      <c r="AK3420" s="979">
        <f t="shared" si="68"/>
        <v>0</v>
      </c>
    </row>
    <row r="3421" spans="37:37">
      <c r="AK3421" s="979">
        <f t="shared" si="68"/>
        <v>0</v>
      </c>
    </row>
    <row r="3422" spans="37:37">
      <c r="AK3422" s="979">
        <f t="shared" si="68"/>
        <v>0</v>
      </c>
    </row>
    <row r="3423" spans="37:37">
      <c r="AK3423" s="979">
        <f t="shared" si="68"/>
        <v>0</v>
      </c>
    </row>
    <row r="3424" spans="37:37">
      <c r="AK3424" s="979">
        <f t="shared" si="68"/>
        <v>0</v>
      </c>
    </row>
    <row r="3425" spans="37:37">
      <c r="AK3425" s="979">
        <f t="shared" si="68"/>
        <v>0</v>
      </c>
    </row>
    <row r="3426" spans="37:37">
      <c r="AK3426" s="979">
        <f t="shared" si="68"/>
        <v>0</v>
      </c>
    </row>
    <row r="3427" spans="37:37">
      <c r="AK3427" s="979">
        <f t="shared" si="68"/>
        <v>0</v>
      </c>
    </row>
    <row r="3428" spans="37:37">
      <c r="AK3428" s="979">
        <f t="shared" si="68"/>
        <v>0</v>
      </c>
    </row>
    <row r="3429" spans="37:37">
      <c r="AK3429" s="979">
        <f t="shared" si="68"/>
        <v>0</v>
      </c>
    </row>
    <row r="3430" spans="37:37">
      <c r="AK3430" s="979">
        <f t="shared" si="68"/>
        <v>0</v>
      </c>
    </row>
    <row r="3431" spans="37:37">
      <c r="AK3431" s="979">
        <f t="shared" si="68"/>
        <v>0</v>
      </c>
    </row>
    <row r="3432" spans="37:37">
      <c r="AK3432" s="979">
        <f t="shared" si="68"/>
        <v>0</v>
      </c>
    </row>
    <row r="3433" spans="37:37">
      <c r="AK3433" s="979">
        <f t="shared" si="68"/>
        <v>0</v>
      </c>
    </row>
    <row r="3434" spans="37:37">
      <c r="AK3434" s="979">
        <f t="shared" si="68"/>
        <v>0</v>
      </c>
    </row>
    <row r="3435" spans="37:37">
      <c r="AK3435" s="979">
        <f t="shared" si="68"/>
        <v>0</v>
      </c>
    </row>
    <row r="3436" spans="37:37">
      <c r="AK3436" s="979">
        <f t="shared" si="68"/>
        <v>0</v>
      </c>
    </row>
    <row r="3437" spans="37:37">
      <c r="AK3437" s="979">
        <f t="shared" si="68"/>
        <v>0</v>
      </c>
    </row>
    <row r="3438" spans="37:37">
      <c r="AK3438" s="979">
        <f t="shared" si="68"/>
        <v>0</v>
      </c>
    </row>
    <row r="3439" spans="37:37">
      <c r="AK3439" s="979">
        <f t="shared" si="68"/>
        <v>0</v>
      </c>
    </row>
    <row r="3440" spans="37:37">
      <c r="AK3440" s="979">
        <f t="shared" si="68"/>
        <v>0</v>
      </c>
    </row>
    <row r="3441" spans="37:37">
      <c r="AK3441" s="979">
        <f t="shared" si="68"/>
        <v>0</v>
      </c>
    </row>
    <row r="3442" spans="37:37">
      <c r="AK3442" s="979">
        <f t="shared" si="68"/>
        <v>0</v>
      </c>
    </row>
    <row r="3443" spans="37:37">
      <c r="AK3443" s="979">
        <f t="shared" si="68"/>
        <v>0</v>
      </c>
    </row>
    <row r="3444" spans="37:37">
      <c r="AK3444" s="979">
        <f t="shared" si="68"/>
        <v>0</v>
      </c>
    </row>
    <row r="3445" spans="37:37">
      <c r="AK3445" s="979">
        <f t="shared" si="68"/>
        <v>0</v>
      </c>
    </row>
    <row r="3446" spans="37:37">
      <c r="AK3446" s="979">
        <f t="shared" si="68"/>
        <v>0</v>
      </c>
    </row>
    <row r="3447" spans="37:37">
      <c r="AK3447" s="979">
        <f t="shared" si="68"/>
        <v>0</v>
      </c>
    </row>
    <row r="3448" spans="37:37">
      <c r="AK3448" s="979">
        <f t="shared" si="68"/>
        <v>0</v>
      </c>
    </row>
    <row r="3449" spans="37:37">
      <c r="AK3449" s="979">
        <f t="shared" si="68"/>
        <v>0</v>
      </c>
    </row>
    <row r="3450" spans="37:37">
      <c r="AK3450" s="979">
        <f t="shared" si="68"/>
        <v>0</v>
      </c>
    </row>
    <row r="3451" spans="37:37">
      <c r="AK3451" s="979">
        <f t="shared" si="68"/>
        <v>0</v>
      </c>
    </row>
    <row r="3452" spans="37:37">
      <c r="AK3452" s="979">
        <f t="shared" si="68"/>
        <v>0</v>
      </c>
    </row>
    <row r="3453" spans="37:37">
      <c r="AK3453" s="979">
        <f t="shared" si="68"/>
        <v>0</v>
      </c>
    </row>
    <row r="3454" spans="37:37">
      <c r="AK3454" s="979">
        <f t="shared" si="68"/>
        <v>0</v>
      </c>
    </row>
    <row r="3455" spans="37:37">
      <c r="AK3455" s="979">
        <f t="shared" si="68"/>
        <v>0</v>
      </c>
    </row>
    <row r="3456" spans="37:37">
      <c r="AK3456" s="979">
        <f t="shared" si="68"/>
        <v>0</v>
      </c>
    </row>
    <row r="3457" spans="37:37">
      <c r="AK3457" s="979">
        <f t="shared" si="68"/>
        <v>0</v>
      </c>
    </row>
    <row r="3458" spans="37:37">
      <c r="AK3458" s="979">
        <f t="shared" si="68"/>
        <v>0</v>
      </c>
    </row>
    <row r="3459" spans="37:37">
      <c r="AK3459" s="979">
        <f t="shared" si="68"/>
        <v>0</v>
      </c>
    </row>
    <row r="3460" spans="37:37">
      <c r="AK3460" s="979">
        <f t="shared" si="68"/>
        <v>0</v>
      </c>
    </row>
    <row r="3461" spans="37:37">
      <c r="AK3461" s="979">
        <f t="shared" si="68"/>
        <v>0</v>
      </c>
    </row>
    <row r="3462" spans="37:37">
      <c r="AK3462" s="979">
        <f t="shared" si="68"/>
        <v>0</v>
      </c>
    </row>
    <row r="3463" spans="37:37">
      <c r="AK3463" s="979">
        <f t="shared" si="68"/>
        <v>0</v>
      </c>
    </row>
    <row r="3464" spans="37:37">
      <c r="AK3464" s="979">
        <f t="shared" si="68"/>
        <v>0</v>
      </c>
    </row>
    <row r="3465" spans="37:37">
      <c r="AK3465" s="979">
        <f t="shared" si="68"/>
        <v>0</v>
      </c>
    </row>
    <row r="3466" spans="37:37">
      <c r="AK3466" s="979">
        <f t="shared" si="68"/>
        <v>0</v>
      </c>
    </row>
    <row r="3467" spans="37:37">
      <c r="AK3467" s="979">
        <f t="shared" si="68"/>
        <v>0</v>
      </c>
    </row>
    <row r="3468" spans="37:37">
      <c r="AK3468" s="979">
        <f t="shared" si="68"/>
        <v>0</v>
      </c>
    </row>
    <row r="3469" spans="37:37">
      <c r="AK3469" s="979">
        <f t="shared" si="68"/>
        <v>0</v>
      </c>
    </row>
    <row r="3470" spans="37:37">
      <c r="AK3470" s="979">
        <f t="shared" si="68"/>
        <v>0</v>
      </c>
    </row>
    <row r="3471" spans="37:37">
      <c r="AK3471" s="979">
        <f t="shared" si="68"/>
        <v>0</v>
      </c>
    </row>
    <row r="3472" spans="37:37">
      <c r="AK3472" s="979">
        <f t="shared" si="68"/>
        <v>0</v>
      </c>
    </row>
    <row r="3473" spans="37:37">
      <c r="AK3473" s="979">
        <f t="shared" si="68"/>
        <v>0</v>
      </c>
    </row>
    <row r="3474" spans="37:37">
      <c r="AK3474" s="979">
        <f t="shared" si="68"/>
        <v>0</v>
      </c>
    </row>
    <row r="3475" spans="37:37">
      <c r="AK3475" s="979">
        <f t="shared" si="68"/>
        <v>0</v>
      </c>
    </row>
    <row r="3476" spans="37:37">
      <c r="AK3476" s="979">
        <f t="shared" si="68"/>
        <v>0</v>
      </c>
    </row>
    <row r="3477" spans="37:37">
      <c r="AK3477" s="979">
        <f t="shared" si="68"/>
        <v>0</v>
      </c>
    </row>
    <row r="3478" spans="37:37">
      <c r="AK3478" s="979">
        <f t="shared" si="68"/>
        <v>0</v>
      </c>
    </row>
    <row r="3479" spans="37:37">
      <c r="AK3479" s="979">
        <f t="shared" si="68"/>
        <v>0</v>
      </c>
    </row>
    <row r="3480" spans="37:37">
      <c r="AK3480" s="979">
        <f t="shared" ref="AK3480:AK3543" si="69">SUM(O3480:AJ3480)</f>
        <v>0</v>
      </c>
    </row>
    <row r="3481" spans="37:37">
      <c r="AK3481" s="979">
        <f t="shared" si="69"/>
        <v>0</v>
      </c>
    </row>
    <row r="3482" spans="37:37">
      <c r="AK3482" s="979">
        <f t="shared" si="69"/>
        <v>0</v>
      </c>
    </row>
    <row r="3483" spans="37:37">
      <c r="AK3483" s="979">
        <f t="shared" si="69"/>
        <v>0</v>
      </c>
    </row>
    <row r="3484" spans="37:37">
      <c r="AK3484" s="979">
        <f t="shared" si="69"/>
        <v>0</v>
      </c>
    </row>
    <row r="3485" spans="37:37">
      <c r="AK3485" s="979">
        <f t="shared" si="69"/>
        <v>0</v>
      </c>
    </row>
    <row r="3486" spans="37:37">
      <c r="AK3486" s="979">
        <f t="shared" si="69"/>
        <v>0</v>
      </c>
    </row>
    <row r="3487" spans="37:37">
      <c r="AK3487" s="979">
        <f t="shared" si="69"/>
        <v>0</v>
      </c>
    </row>
    <row r="3488" spans="37:37">
      <c r="AK3488" s="979">
        <f t="shared" si="69"/>
        <v>0</v>
      </c>
    </row>
    <row r="3489" spans="37:37">
      <c r="AK3489" s="979">
        <f t="shared" si="69"/>
        <v>0</v>
      </c>
    </row>
    <row r="3490" spans="37:37">
      <c r="AK3490" s="979">
        <f t="shared" si="69"/>
        <v>0</v>
      </c>
    </row>
    <row r="3491" spans="37:37">
      <c r="AK3491" s="979">
        <f t="shared" si="69"/>
        <v>0</v>
      </c>
    </row>
    <row r="3492" spans="37:37">
      <c r="AK3492" s="979">
        <f t="shared" si="69"/>
        <v>0</v>
      </c>
    </row>
    <row r="3493" spans="37:37">
      <c r="AK3493" s="979">
        <f t="shared" si="69"/>
        <v>0</v>
      </c>
    </row>
    <row r="3494" spans="37:37">
      <c r="AK3494" s="979">
        <f t="shared" si="69"/>
        <v>0</v>
      </c>
    </row>
    <row r="3495" spans="37:37">
      <c r="AK3495" s="979">
        <f t="shared" si="69"/>
        <v>0</v>
      </c>
    </row>
    <row r="3496" spans="37:37">
      <c r="AK3496" s="979">
        <f t="shared" si="69"/>
        <v>0</v>
      </c>
    </row>
    <row r="3497" spans="37:37">
      <c r="AK3497" s="979">
        <f t="shared" si="69"/>
        <v>0</v>
      </c>
    </row>
    <row r="3498" spans="37:37">
      <c r="AK3498" s="979">
        <f t="shared" si="69"/>
        <v>0</v>
      </c>
    </row>
    <row r="3499" spans="37:37">
      <c r="AK3499" s="979">
        <f t="shared" si="69"/>
        <v>0</v>
      </c>
    </row>
    <row r="3500" spans="37:37">
      <c r="AK3500" s="979">
        <f t="shared" si="69"/>
        <v>0</v>
      </c>
    </row>
    <row r="3501" spans="37:37">
      <c r="AK3501" s="979">
        <f t="shared" si="69"/>
        <v>0</v>
      </c>
    </row>
    <row r="3502" spans="37:37">
      <c r="AK3502" s="979">
        <f t="shared" si="69"/>
        <v>0</v>
      </c>
    </row>
    <row r="3503" spans="37:37">
      <c r="AK3503" s="979">
        <f t="shared" si="69"/>
        <v>0</v>
      </c>
    </row>
    <row r="3504" spans="37:37">
      <c r="AK3504" s="979">
        <f t="shared" si="69"/>
        <v>0</v>
      </c>
    </row>
    <row r="3505" spans="37:37">
      <c r="AK3505" s="979">
        <f t="shared" si="69"/>
        <v>0</v>
      </c>
    </row>
    <row r="3506" spans="37:37">
      <c r="AK3506" s="979">
        <f t="shared" si="69"/>
        <v>0</v>
      </c>
    </row>
    <row r="3507" spans="37:37">
      <c r="AK3507" s="979">
        <f t="shared" si="69"/>
        <v>0</v>
      </c>
    </row>
    <row r="3508" spans="37:37">
      <c r="AK3508" s="979">
        <f t="shared" si="69"/>
        <v>0</v>
      </c>
    </row>
    <row r="3509" spans="37:37">
      <c r="AK3509" s="979">
        <f t="shared" si="69"/>
        <v>0</v>
      </c>
    </row>
    <row r="3510" spans="37:37">
      <c r="AK3510" s="979">
        <f t="shared" si="69"/>
        <v>0</v>
      </c>
    </row>
    <row r="3511" spans="37:37">
      <c r="AK3511" s="979">
        <f t="shared" si="69"/>
        <v>0</v>
      </c>
    </row>
    <row r="3512" spans="37:37">
      <c r="AK3512" s="979">
        <f t="shared" si="69"/>
        <v>0</v>
      </c>
    </row>
    <row r="3513" spans="37:37">
      <c r="AK3513" s="979">
        <f t="shared" si="69"/>
        <v>0</v>
      </c>
    </row>
    <row r="3514" spans="37:37">
      <c r="AK3514" s="979">
        <f t="shared" si="69"/>
        <v>0</v>
      </c>
    </row>
    <row r="3515" spans="37:37">
      <c r="AK3515" s="979">
        <f t="shared" si="69"/>
        <v>0</v>
      </c>
    </row>
    <row r="3516" spans="37:37">
      <c r="AK3516" s="979">
        <f t="shared" si="69"/>
        <v>0</v>
      </c>
    </row>
    <row r="3517" spans="37:37">
      <c r="AK3517" s="979">
        <f t="shared" si="69"/>
        <v>0</v>
      </c>
    </row>
    <row r="3518" spans="37:37">
      <c r="AK3518" s="979">
        <f t="shared" si="69"/>
        <v>0</v>
      </c>
    </row>
    <row r="3519" spans="37:37">
      <c r="AK3519" s="979">
        <f t="shared" si="69"/>
        <v>0</v>
      </c>
    </row>
    <row r="3520" spans="37:37">
      <c r="AK3520" s="979">
        <f t="shared" si="69"/>
        <v>0</v>
      </c>
    </row>
    <row r="3521" spans="37:37">
      <c r="AK3521" s="979">
        <f t="shared" si="69"/>
        <v>0</v>
      </c>
    </row>
    <row r="3522" spans="37:37">
      <c r="AK3522" s="979">
        <f t="shared" si="69"/>
        <v>0</v>
      </c>
    </row>
    <row r="3523" spans="37:37">
      <c r="AK3523" s="979">
        <f t="shared" si="69"/>
        <v>0</v>
      </c>
    </row>
    <row r="3524" spans="37:37">
      <c r="AK3524" s="979">
        <f t="shared" si="69"/>
        <v>0</v>
      </c>
    </row>
    <row r="3525" spans="37:37">
      <c r="AK3525" s="979">
        <f t="shared" si="69"/>
        <v>0</v>
      </c>
    </row>
    <row r="3526" spans="37:37">
      <c r="AK3526" s="979">
        <f t="shared" si="69"/>
        <v>0</v>
      </c>
    </row>
    <row r="3527" spans="37:37">
      <c r="AK3527" s="979">
        <f t="shared" si="69"/>
        <v>0</v>
      </c>
    </row>
    <row r="3528" spans="37:37">
      <c r="AK3528" s="979">
        <f t="shared" si="69"/>
        <v>0</v>
      </c>
    </row>
    <row r="3529" spans="37:37">
      <c r="AK3529" s="979">
        <f t="shared" si="69"/>
        <v>0</v>
      </c>
    </row>
    <row r="3530" spans="37:37">
      <c r="AK3530" s="979">
        <f t="shared" si="69"/>
        <v>0</v>
      </c>
    </row>
    <row r="3531" spans="37:37">
      <c r="AK3531" s="979">
        <f t="shared" si="69"/>
        <v>0</v>
      </c>
    </row>
    <row r="3532" spans="37:37">
      <c r="AK3532" s="979">
        <f t="shared" si="69"/>
        <v>0</v>
      </c>
    </row>
    <row r="3533" spans="37:37">
      <c r="AK3533" s="979">
        <f t="shared" si="69"/>
        <v>0</v>
      </c>
    </row>
    <row r="3534" spans="37:37">
      <c r="AK3534" s="979">
        <f t="shared" si="69"/>
        <v>0</v>
      </c>
    </row>
    <row r="3535" spans="37:37">
      <c r="AK3535" s="979">
        <f t="shared" si="69"/>
        <v>0</v>
      </c>
    </row>
    <row r="3536" spans="37:37">
      <c r="AK3536" s="979">
        <f t="shared" si="69"/>
        <v>0</v>
      </c>
    </row>
    <row r="3537" spans="37:37">
      <c r="AK3537" s="979">
        <f t="shared" si="69"/>
        <v>0</v>
      </c>
    </row>
    <row r="3538" spans="37:37">
      <c r="AK3538" s="979">
        <f t="shared" si="69"/>
        <v>0</v>
      </c>
    </row>
    <row r="3539" spans="37:37">
      <c r="AK3539" s="979">
        <f t="shared" si="69"/>
        <v>0</v>
      </c>
    </row>
    <row r="3540" spans="37:37">
      <c r="AK3540" s="979">
        <f t="shared" si="69"/>
        <v>0</v>
      </c>
    </row>
    <row r="3541" spans="37:37">
      <c r="AK3541" s="979">
        <f t="shared" si="69"/>
        <v>0</v>
      </c>
    </row>
    <row r="3542" spans="37:37">
      <c r="AK3542" s="979">
        <f t="shared" si="69"/>
        <v>0</v>
      </c>
    </row>
    <row r="3543" spans="37:37">
      <c r="AK3543" s="979">
        <f t="shared" si="69"/>
        <v>0</v>
      </c>
    </row>
    <row r="3544" spans="37:37">
      <c r="AK3544" s="979">
        <f t="shared" ref="AK3544:AK3607" si="70">SUM(O3544:AJ3544)</f>
        <v>0</v>
      </c>
    </row>
    <row r="3545" spans="37:37">
      <c r="AK3545" s="979">
        <f t="shared" si="70"/>
        <v>0</v>
      </c>
    </row>
    <row r="3546" spans="37:37">
      <c r="AK3546" s="979">
        <f t="shared" si="70"/>
        <v>0</v>
      </c>
    </row>
    <row r="3547" spans="37:37">
      <c r="AK3547" s="979">
        <f t="shared" si="70"/>
        <v>0</v>
      </c>
    </row>
    <row r="3548" spans="37:37">
      <c r="AK3548" s="979">
        <f t="shared" si="70"/>
        <v>0</v>
      </c>
    </row>
    <row r="3549" spans="37:37">
      <c r="AK3549" s="979">
        <f t="shared" si="70"/>
        <v>0</v>
      </c>
    </row>
    <row r="3550" spans="37:37">
      <c r="AK3550" s="979">
        <f t="shared" si="70"/>
        <v>0</v>
      </c>
    </row>
    <row r="3551" spans="37:37">
      <c r="AK3551" s="979">
        <f t="shared" si="70"/>
        <v>0</v>
      </c>
    </row>
    <row r="3552" spans="37:37">
      <c r="AK3552" s="979">
        <f t="shared" si="70"/>
        <v>0</v>
      </c>
    </row>
    <row r="3553" spans="37:37">
      <c r="AK3553" s="979">
        <f t="shared" si="70"/>
        <v>0</v>
      </c>
    </row>
    <row r="3554" spans="37:37">
      <c r="AK3554" s="979">
        <f t="shared" si="70"/>
        <v>0</v>
      </c>
    </row>
    <row r="3555" spans="37:37">
      <c r="AK3555" s="979">
        <f t="shared" si="70"/>
        <v>0</v>
      </c>
    </row>
    <row r="3556" spans="37:37">
      <c r="AK3556" s="979">
        <f t="shared" si="70"/>
        <v>0</v>
      </c>
    </row>
    <row r="3557" spans="37:37">
      <c r="AK3557" s="979">
        <f t="shared" si="70"/>
        <v>0</v>
      </c>
    </row>
    <row r="3558" spans="37:37">
      <c r="AK3558" s="979">
        <f t="shared" si="70"/>
        <v>0</v>
      </c>
    </row>
    <row r="3559" spans="37:37">
      <c r="AK3559" s="979">
        <f t="shared" si="70"/>
        <v>0</v>
      </c>
    </row>
    <row r="3560" spans="37:37">
      <c r="AK3560" s="979">
        <f t="shared" si="70"/>
        <v>0</v>
      </c>
    </row>
    <row r="3561" spans="37:37">
      <c r="AK3561" s="979">
        <f t="shared" si="70"/>
        <v>0</v>
      </c>
    </row>
    <row r="3562" spans="37:37">
      <c r="AK3562" s="979">
        <f t="shared" si="70"/>
        <v>0</v>
      </c>
    </row>
    <row r="3563" spans="37:37">
      <c r="AK3563" s="979">
        <f t="shared" si="70"/>
        <v>0</v>
      </c>
    </row>
    <row r="3564" spans="37:37">
      <c r="AK3564" s="979">
        <f t="shared" si="70"/>
        <v>0</v>
      </c>
    </row>
    <row r="3565" spans="37:37">
      <c r="AK3565" s="979">
        <f t="shared" si="70"/>
        <v>0</v>
      </c>
    </row>
    <row r="3566" spans="37:37">
      <c r="AK3566" s="979">
        <f t="shared" si="70"/>
        <v>0</v>
      </c>
    </row>
    <row r="3567" spans="37:37">
      <c r="AK3567" s="979">
        <f t="shared" si="70"/>
        <v>0</v>
      </c>
    </row>
    <row r="3568" spans="37:37">
      <c r="AK3568" s="979">
        <f t="shared" si="70"/>
        <v>0</v>
      </c>
    </row>
    <row r="3569" spans="37:37">
      <c r="AK3569" s="979">
        <f t="shared" si="70"/>
        <v>0</v>
      </c>
    </row>
    <row r="3570" spans="37:37">
      <c r="AK3570" s="979">
        <f t="shared" si="70"/>
        <v>0</v>
      </c>
    </row>
    <row r="3571" spans="37:37">
      <c r="AK3571" s="979">
        <f t="shared" si="70"/>
        <v>0</v>
      </c>
    </row>
    <row r="3572" spans="37:37">
      <c r="AK3572" s="979">
        <f t="shared" si="70"/>
        <v>0</v>
      </c>
    </row>
    <row r="3573" spans="37:37">
      <c r="AK3573" s="979">
        <f t="shared" si="70"/>
        <v>0</v>
      </c>
    </row>
    <row r="3574" spans="37:37">
      <c r="AK3574" s="979">
        <f t="shared" si="70"/>
        <v>0</v>
      </c>
    </row>
    <row r="3575" spans="37:37">
      <c r="AK3575" s="979">
        <f t="shared" si="70"/>
        <v>0</v>
      </c>
    </row>
    <row r="3576" spans="37:37">
      <c r="AK3576" s="979">
        <f t="shared" si="70"/>
        <v>0</v>
      </c>
    </row>
    <row r="3577" spans="37:37">
      <c r="AK3577" s="979">
        <f t="shared" si="70"/>
        <v>0</v>
      </c>
    </row>
    <row r="3578" spans="37:37">
      <c r="AK3578" s="979">
        <f t="shared" si="70"/>
        <v>0</v>
      </c>
    </row>
    <row r="3579" spans="37:37">
      <c r="AK3579" s="979">
        <f t="shared" si="70"/>
        <v>0</v>
      </c>
    </row>
    <row r="3580" spans="37:37">
      <c r="AK3580" s="979">
        <f t="shared" si="70"/>
        <v>0</v>
      </c>
    </row>
    <row r="3581" spans="37:37">
      <c r="AK3581" s="979">
        <f t="shared" si="70"/>
        <v>0</v>
      </c>
    </row>
    <row r="3582" spans="37:37">
      <c r="AK3582" s="979">
        <f t="shared" si="70"/>
        <v>0</v>
      </c>
    </row>
    <row r="3583" spans="37:37">
      <c r="AK3583" s="979">
        <f t="shared" si="70"/>
        <v>0</v>
      </c>
    </row>
    <row r="3584" spans="37:37">
      <c r="AK3584" s="979">
        <f t="shared" si="70"/>
        <v>0</v>
      </c>
    </row>
    <row r="3585" spans="37:37">
      <c r="AK3585" s="979">
        <f t="shared" si="70"/>
        <v>0</v>
      </c>
    </row>
    <row r="3586" spans="37:37">
      <c r="AK3586" s="979">
        <f t="shared" si="70"/>
        <v>0</v>
      </c>
    </row>
    <row r="3587" spans="37:37">
      <c r="AK3587" s="979">
        <f t="shared" si="70"/>
        <v>0</v>
      </c>
    </row>
    <row r="3588" spans="37:37">
      <c r="AK3588" s="979">
        <f t="shared" si="70"/>
        <v>0</v>
      </c>
    </row>
    <row r="3589" spans="37:37">
      <c r="AK3589" s="979">
        <f t="shared" si="70"/>
        <v>0</v>
      </c>
    </row>
    <row r="3590" spans="37:37">
      <c r="AK3590" s="979">
        <f t="shared" si="70"/>
        <v>0</v>
      </c>
    </row>
    <row r="3591" spans="37:37">
      <c r="AK3591" s="979">
        <f t="shared" si="70"/>
        <v>0</v>
      </c>
    </row>
    <row r="3592" spans="37:37">
      <c r="AK3592" s="979">
        <f t="shared" si="70"/>
        <v>0</v>
      </c>
    </row>
    <row r="3593" spans="37:37">
      <c r="AK3593" s="979">
        <f t="shared" si="70"/>
        <v>0</v>
      </c>
    </row>
    <row r="3594" spans="37:37">
      <c r="AK3594" s="979">
        <f t="shared" si="70"/>
        <v>0</v>
      </c>
    </row>
    <row r="3595" spans="37:37">
      <c r="AK3595" s="979">
        <f t="shared" si="70"/>
        <v>0</v>
      </c>
    </row>
    <row r="3596" spans="37:37">
      <c r="AK3596" s="979">
        <f t="shared" si="70"/>
        <v>0</v>
      </c>
    </row>
    <row r="3597" spans="37:37">
      <c r="AK3597" s="979">
        <f t="shared" si="70"/>
        <v>0</v>
      </c>
    </row>
    <row r="3598" spans="37:37">
      <c r="AK3598" s="979">
        <f t="shared" si="70"/>
        <v>0</v>
      </c>
    </row>
    <row r="3599" spans="37:37">
      <c r="AK3599" s="979">
        <f t="shared" si="70"/>
        <v>0</v>
      </c>
    </row>
    <row r="3600" spans="37:37">
      <c r="AK3600" s="979">
        <f t="shared" si="70"/>
        <v>0</v>
      </c>
    </row>
    <row r="3601" spans="37:37">
      <c r="AK3601" s="979">
        <f t="shared" si="70"/>
        <v>0</v>
      </c>
    </row>
    <row r="3602" spans="37:37">
      <c r="AK3602" s="979">
        <f t="shared" si="70"/>
        <v>0</v>
      </c>
    </row>
    <row r="3603" spans="37:37">
      <c r="AK3603" s="979">
        <f t="shared" si="70"/>
        <v>0</v>
      </c>
    </row>
    <row r="3604" spans="37:37">
      <c r="AK3604" s="979">
        <f t="shared" si="70"/>
        <v>0</v>
      </c>
    </row>
    <row r="3605" spans="37:37">
      <c r="AK3605" s="979">
        <f t="shared" si="70"/>
        <v>0</v>
      </c>
    </row>
    <row r="3606" spans="37:37">
      <c r="AK3606" s="979">
        <f t="shared" si="70"/>
        <v>0</v>
      </c>
    </row>
    <row r="3607" spans="37:37">
      <c r="AK3607" s="979">
        <f t="shared" si="70"/>
        <v>0</v>
      </c>
    </row>
    <row r="3608" spans="37:37">
      <c r="AK3608" s="979">
        <f t="shared" ref="AK3608:AK3671" si="71">SUM(O3608:AJ3608)</f>
        <v>0</v>
      </c>
    </row>
    <row r="3609" spans="37:37">
      <c r="AK3609" s="979">
        <f t="shared" si="71"/>
        <v>0</v>
      </c>
    </row>
    <row r="3610" spans="37:37">
      <c r="AK3610" s="979">
        <f t="shared" si="71"/>
        <v>0</v>
      </c>
    </row>
    <row r="3611" spans="37:37">
      <c r="AK3611" s="979">
        <f t="shared" si="71"/>
        <v>0</v>
      </c>
    </row>
    <row r="3612" spans="37:37">
      <c r="AK3612" s="979">
        <f t="shared" si="71"/>
        <v>0</v>
      </c>
    </row>
    <row r="3613" spans="37:37">
      <c r="AK3613" s="979">
        <f t="shared" si="71"/>
        <v>0</v>
      </c>
    </row>
    <row r="3614" spans="37:37">
      <c r="AK3614" s="979">
        <f t="shared" si="71"/>
        <v>0</v>
      </c>
    </row>
    <row r="3615" spans="37:37">
      <c r="AK3615" s="979">
        <f t="shared" si="71"/>
        <v>0</v>
      </c>
    </row>
    <row r="3616" spans="37:37">
      <c r="AK3616" s="979">
        <f t="shared" si="71"/>
        <v>0</v>
      </c>
    </row>
    <row r="3617" spans="37:37">
      <c r="AK3617" s="979">
        <f t="shared" si="71"/>
        <v>0</v>
      </c>
    </row>
    <row r="3618" spans="37:37">
      <c r="AK3618" s="979">
        <f t="shared" si="71"/>
        <v>0</v>
      </c>
    </row>
    <row r="3619" spans="37:37">
      <c r="AK3619" s="979">
        <f t="shared" si="71"/>
        <v>0</v>
      </c>
    </row>
    <row r="3620" spans="37:37">
      <c r="AK3620" s="979">
        <f t="shared" si="71"/>
        <v>0</v>
      </c>
    </row>
    <row r="3621" spans="37:37">
      <c r="AK3621" s="979">
        <f t="shared" si="71"/>
        <v>0</v>
      </c>
    </row>
    <row r="3622" spans="37:37">
      <c r="AK3622" s="979">
        <f t="shared" si="71"/>
        <v>0</v>
      </c>
    </row>
    <row r="3623" spans="37:37">
      <c r="AK3623" s="979">
        <f t="shared" si="71"/>
        <v>0</v>
      </c>
    </row>
    <row r="3624" spans="37:37">
      <c r="AK3624" s="979">
        <f t="shared" si="71"/>
        <v>0</v>
      </c>
    </row>
    <row r="3625" spans="37:37">
      <c r="AK3625" s="979">
        <f t="shared" si="71"/>
        <v>0</v>
      </c>
    </row>
    <row r="3626" spans="37:37">
      <c r="AK3626" s="979">
        <f t="shared" si="71"/>
        <v>0</v>
      </c>
    </row>
    <row r="3627" spans="37:37">
      <c r="AK3627" s="979">
        <f t="shared" si="71"/>
        <v>0</v>
      </c>
    </row>
    <row r="3628" spans="37:37">
      <c r="AK3628" s="979">
        <f t="shared" si="71"/>
        <v>0</v>
      </c>
    </row>
    <row r="3629" spans="37:37">
      <c r="AK3629" s="979">
        <f t="shared" si="71"/>
        <v>0</v>
      </c>
    </row>
    <row r="3630" spans="37:37">
      <c r="AK3630" s="979">
        <f t="shared" si="71"/>
        <v>0</v>
      </c>
    </row>
    <row r="3631" spans="37:37">
      <c r="AK3631" s="979">
        <f t="shared" si="71"/>
        <v>0</v>
      </c>
    </row>
    <row r="3632" spans="37:37">
      <c r="AK3632" s="979">
        <f t="shared" si="71"/>
        <v>0</v>
      </c>
    </row>
    <row r="3633" spans="37:37">
      <c r="AK3633" s="979">
        <f t="shared" si="71"/>
        <v>0</v>
      </c>
    </row>
    <row r="3634" spans="37:37">
      <c r="AK3634" s="979">
        <f t="shared" si="71"/>
        <v>0</v>
      </c>
    </row>
    <row r="3635" spans="37:37">
      <c r="AK3635" s="979">
        <f t="shared" si="71"/>
        <v>0</v>
      </c>
    </row>
    <row r="3636" spans="37:37">
      <c r="AK3636" s="979">
        <f t="shared" si="71"/>
        <v>0</v>
      </c>
    </row>
    <row r="3637" spans="37:37">
      <c r="AK3637" s="979">
        <f t="shared" si="71"/>
        <v>0</v>
      </c>
    </row>
    <row r="3638" spans="37:37">
      <c r="AK3638" s="979">
        <f t="shared" si="71"/>
        <v>0</v>
      </c>
    </row>
    <row r="3639" spans="37:37">
      <c r="AK3639" s="979">
        <f t="shared" si="71"/>
        <v>0</v>
      </c>
    </row>
    <row r="3640" spans="37:37">
      <c r="AK3640" s="979">
        <f t="shared" si="71"/>
        <v>0</v>
      </c>
    </row>
    <row r="3641" spans="37:37">
      <c r="AK3641" s="979">
        <f t="shared" si="71"/>
        <v>0</v>
      </c>
    </row>
    <row r="3642" spans="37:37">
      <c r="AK3642" s="979">
        <f t="shared" si="71"/>
        <v>0</v>
      </c>
    </row>
    <row r="3643" spans="37:37">
      <c r="AK3643" s="979">
        <f t="shared" si="71"/>
        <v>0</v>
      </c>
    </row>
    <row r="3644" spans="37:37">
      <c r="AK3644" s="979">
        <f t="shared" si="71"/>
        <v>0</v>
      </c>
    </row>
    <row r="3645" spans="37:37">
      <c r="AK3645" s="979">
        <f t="shared" si="71"/>
        <v>0</v>
      </c>
    </row>
    <row r="3646" spans="37:37">
      <c r="AK3646" s="979">
        <f t="shared" si="71"/>
        <v>0</v>
      </c>
    </row>
    <row r="3647" spans="37:37">
      <c r="AK3647" s="979">
        <f t="shared" si="71"/>
        <v>0</v>
      </c>
    </row>
    <row r="3648" spans="37:37">
      <c r="AK3648" s="979">
        <f t="shared" si="71"/>
        <v>0</v>
      </c>
    </row>
    <row r="3649" spans="37:37">
      <c r="AK3649" s="979">
        <f t="shared" si="71"/>
        <v>0</v>
      </c>
    </row>
    <row r="3650" spans="37:37">
      <c r="AK3650" s="979">
        <f t="shared" si="71"/>
        <v>0</v>
      </c>
    </row>
    <row r="3651" spans="37:37">
      <c r="AK3651" s="979">
        <f t="shared" si="71"/>
        <v>0</v>
      </c>
    </row>
    <row r="3652" spans="37:37">
      <c r="AK3652" s="979">
        <f t="shared" si="71"/>
        <v>0</v>
      </c>
    </row>
    <row r="3653" spans="37:37">
      <c r="AK3653" s="979">
        <f t="shared" si="71"/>
        <v>0</v>
      </c>
    </row>
    <row r="3654" spans="37:37">
      <c r="AK3654" s="979">
        <f t="shared" si="71"/>
        <v>0</v>
      </c>
    </row>
    <row r="3655" spans="37:37">
      <c r="AK3655" s="979">
        <f t="shared" si="71"/>
        <v>0</v>
      </c>
    </row>
    <row r="3656" spans="37:37">
      <c r="AK3656" s="979">
        <f t="shared" si="71"/>
        <v>0</v>
      </c>
    </row>
    <row r="3657" spans="37:37">
      <c r="AK3657" s="979">
        <f t="shared" si="71"/>
        <v>0</v>
      </c>
    </row>
    <row r="3658" spans="37:37">
      <c r="AK3658" s="979">
        <f t="shared" si="71"/>
        <v>0</v>
      </c>
    </row>
    <row r="3659" spans="37:37">
      <c r="AK3659" s="979">
        <f t="shared" si="71"/>
        <v>0</v>
      </c>
    </row>
    <row r="3660" spans="37:37">
      <c r="AK3660" s="979">
        <f t="shared" si="71"/>
        <v>0</v>
      </c>
    </row>
    <row r="3661" spans="37:37">
      <c r="AK3661" s="979">
        <f t="shared" si="71"/>
        <v>0</v>
      </c>
    </row>
    <row r="3662" spans="37:37">
      <c r="AK3662" s="979">
        <f t="shared" si="71"/>
        <v>0</v>
      </c>
    </row>
    <row r="3663" spans="37:37">
      <c r="AK3663" s="979">
        <f t="shared" si="71"/>
        <v>0</v>
      </c>
    </row>
    <row r="3664" spans="37:37">
      <c r="AK3664" s="979">
        <f t="shared" si="71"/>
        <v>0</v>
      </c>
    </row>
    <row r="3665" spans="37:37">
      <c r="AK3665" s="979">
        <f t="shared" si="71"/>
        <v>0</v>
      </c>
    </row>
    <row r="3666" spans="37:37">
      <c r="AK3666" s="979">
        <f t="shared" si="71"/>
        <v>0</v>
      </c>
    </row>
    <row r="3667" spans="37:37">
      <c r="AK3667" s="979">
        <f t="shared" si="71"/>
        <v>0</v>
      </c>
    </row>
    <row r="3668" spans="37:37">
      <c r="AK3668" s="979">
        <f t="shared" si="71"/>
        <v>0</v>
      </c>
    </row>
    <row r="3669" spans="37:37">
      <c r="AK3669" s="979">
        <f t="shared" si="71"/>
        <v>0</v>
      </c>
    </row>
    <row r="3670" spans="37:37">
      <c r="AK3670" s="979">
        <f t="shared" si="71"/>
        <v>0</v>
      </c>
    </row>
    <row r="3671" spans="37:37">
      <c r="AK3671" s="979">
        <f t="shared" si="71"/>
        <v>0</v>
      </c>
    </row>
    <row r="3672" spans="37:37">
      <c r="AK3672" s="979">
        <f t="shared" ref="AK3672:AK3684" si="72">SUM(O3672:AJ3672)</f>
        <v>0</v>
      </c>
    </row>
    <row r="3673" spans="37:37">
      <c r="AK3673" s="979">
        <f t="shared" si="72"/>
        <v>0</v>
      </c>
    </row>
    <row r="3674" spans="37:37">
      <c r="AK3674" s="979">
        <f t="shared" si="72"/>
        <v>0</v>
      </c>
    </row>
    <row r="3675" spans="37:37">
      <c r="AK3675" s="979">
        <f t="shared" si="72"/>
        <v>0</v>
      </c>
    </row>
    <row r="3676" spans="37:37">
      <c r="AK3676" s="979">
        <f t="shared" si="72"/>
        <v>0</v>
      </c>
    </row>
    <row r="3677" spans="37:37">
      <c r="AK3677" s="979">
        <f t="shared" si="72"/>
        <v>0</v>
      </c>
    </row>
    <row r="3678" spans="37:37">
      <c r="AK3678" s="979">
        <f t="shared" si="72"/>
        <v>0</v>
      </c>
    </row>
    <row r="3679" spans="37:37">
      <c r="AK3679" s="979">
        <f t="shared" si="72"/>
        <v>0</v>
      </c>
    </row>
    <row r="3680" spans="37:37">
      <c r="AK3680" s="979">
        <f t="shared" si="72"/>
        <v>0</v>
      </c>
    </row>
    <row r="3681" spans="37:37">
      <c r="AK3681" s="979">
        <f t="shared" si="72"/>
        <v>0</v>
      </c>
    </row>
    <row r="3682" spans="37:37">
      <c r="AK3682" s="979">
        <f t="shared" si="72"/>
        <v>0</v>
      </c>
    </row>
    <row r="3683" spans="37:37">
      <c r="AK3683" s="979">
        <f t="shared" si="72"/>
        <v>0</v>
      </c>
    </row>
    <row r="3684" spans="37:37">
      <c r="AK3684" s="979">
        <f t="shared" si="72"/>
        <v>0</v>
      </c>
    </row>
  </sheetData>
  <mergeCells count="2">
    <mergeCell ref="H6:I6"/>
    <mergeCell ref="H20:I20"/>
  </mergeCells>
  <hyperlinks>
    <hyperlink ref="P15" r:id="rId1" display="=@if(+N10*$K$11*$K$12&gt;0,n10*$K$11*$K$12,0)" xr:uid="{00000000-0004-0000-0700-000000000000}"/>
    <hyperlink ref="Q15:AJ15" r:id="rId2" display="=@if(+N10*$K$11*$K$12&gt;0,n10*$K$11*$K$12,0)" xr:uid="{00000000-0004-0000-0700-000001000000}"/>
    <hyperlink ref="O15" r:id="rId3" display="=@if(+N10*$K$11*$K$12&gt;0,n10*$K$11*$K$12,0)" xr:uid="{00000000-0004-0000-0700-000002000000}"/>
    <hyperlink ref="AH15" r:id="rId4" display="=@if(+N10*$K$11*$K$12&gt;0,n10*$K$11*$K$12,0)" xr:uid="{00000000-0004-0000-0700-000003000000}"/>
    <hyperlink ref="AK15" r:id="rId5" display="=@if(+N10*$K$11*$K$12&gt;0,n10*$K$11*$K$12,0)" xr:uid="{00000000-0004-0000-0700-000004000000}"/>
  </hyperlinks>
  <pageMargins left="0.59055118110236227" right="0.35433070866141736" top="0.62992125984251968" bottom="0.6692913385826772" header="0.31496062992125984" footer="0.31496062992125984"/>
  <pageSetup paperSize="9" scale="43" orientation="landscape" r:id="rId6"/>
  <drawing r:id="rId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4:M38"/>
  <sheetViews>
    <sheetView topLeftCell="A19" workbookViewId="0">
      <selection activeCell="H21" sqref="H21"/>
    </sheetView>
  </sheetViews>
  <sheetFormatPr defaultRowHeight="15"/>
  <cols>
    <col min="1" max="1" width="8.90625" style="973"/>
    <col min="2" max="2" width="8.453125" style="973" customWidth="1"/>
    <col min="3" max="3" width="32.08984375" style="973" customWidth="1"/>
    <col min="4" max="4" width="11.36328125" style="973" customWidth="1"/>
    <col min="5" max="5" width="12" style="973" customWidth="1"/>
    <col min="6" max="8" width="8.90625" style="973"/>
    <col min="9" max="9" width="9" style="973" bestFit="1" customWidth="1"/>
    <col min="10" max="257" width="8.90625" style="973"/>
    <col min="258" max="258" width="8.453125" style="973" customWidth="1"/>
    <col min="259" max="259" width="32.08984375" style="973" customWidth="1"/>
    <col min="260" max="260" width="11.36328125" style="973" customWidth="1"/>
    <col min="261" max="261" width="12" style="973" customWidth="1"/>
    <col min="262" max="264" width="8.90625" style="973"/>
    <col min="265" max="265" width="9" style="973" bestFit="1" customWidth="1"/>
    <col min="266" max="513" width="8.90625" style="973"/>
    <col min="514" max="514" width="8.453125" style="973" customWidth="1"/>
    <col min="515" max="515" width="32.08984375" style="973" customWidth="1"/>
    <col min="516" max="516" width="11.36328125" style="973" customWidth="1"/>
    <col min="517" max="517" width="12" style="973" customWidth="1"/>
    <col min="518" max="520" width="8.90625" style="973"/>
    <col min="521" max="521" width="9" style="973" bestFit="1" customWidth="1"/>
    <col min="522" max="769" width="8.90625" style="973"/>
    <col min="770" max="770" width="8.453125" style="973" customWidth="1"/>
    <col min="771" max="771" width="32.08984375" style="973" customWidth="1"/>
    <col min="772" max="772" width="11.36328125" style="973" customWidth="1"/>
    <col min="773" max="773" width="12" style="973" customWidth="1"/>
    <col min="774" max="776" width="8.90625" style="973"/>
    <col min="777" max="777" width="9" style="973" bestFit="1" customWidth="1"/>
    <col min="778" max="1025" width="8.90625" style="973"/>
    <col min="1026" max="1026" width="8.453125" style="973" customWidth="1"/>
    <col min="1027" max="1027" width="32.08984375" style="973" customWidth="1"/>
    <col min="1028" max="1028" width="11.36328125" style="973" customWidth="1"/>
    <col min="1029" max="1029" width="12" style="973" customWidth="1"/>
    <col min="1030" max="1032" width="8.90625" style="973"/>
    <col min="1033" max="1033" width="9" style="973" bestFit="1" customWidth="1"/>
    <col min="1034" max="1281" width="8.90625" style="973"/>
    <col min="1282" max="1282" width="8.453125" style="973" customWidth="1"/>
    <col min="1283" max="1283" width="32.08984375" style="973" customWidth="1"/>
    <col min="1284" max="1284" width="11.36328125" style="973" customWidth="1"/>
    <col min="1285" max="1285" width="12" style="973" customWidth="1"/>
    <col min="1286" max="1288" width="8.90625" style="973"/>
    <col min="1289" max="1289" width="9" style="973" bestFit="1" customWidth="1"/>
    <col min="1290" max="1537" width="8.90625" style="973"/>
    <col min="1538" max="1538" width="8.453125" style="973" customWidth="1"/>
    <col min="1539" max="1539" width="32.08984375" style="973" customWidth="1"/>
    <col min="1540" max="1540" width="11.36328125" style="973" customWidth="1"/>
    <col min="1541" max="1541" width="12" style="973" customWidth="1"/>
    <col min="1542" max="1544" width="8.90625" style="973"/>
    <col min="1545" max="1545" width="9" style="973" bestFit="1" customWidth="1"/>
    <col min="1546" max="1793" width="8.90625" style="973"/>
    <col min="1794" max="1794" width="8.453125" style="973" customWidth="1"/>
    <col min="1795" max="1795" width="32.08984375" style="973" customWidth="1"/>
    <col min="1796" max="1796" width="11.36328125" style="973" customWidth="1"/>
    <col min="1797" max="1797" width="12" style="973" customWidth="1"/>
    <col min="1798" max="1800" width="8.90625" style="973"/>
    <col min="1801" max="1801" width="9" style="973" bestFit="1" customWidth="1"/>
    <col min="1802" max="2049" width="8.90625" style="973"/>
    <col min="2050" max="2050" width="8.453125" style="973" customWidth="1"/>
    <col min="2051" max="2051" width="32.08984375" style="973" customWidth="1"/>
    <col min="2052" max="2052" width="11.36328125" style="973" customWidth="1"/>
    <col min="2053" max="2053" width="12" style="973" customWidth="1"/>
    <col min="2054" max="2056" width="8.90625" style="973"/>
    <col min="2057" max="2057" width="9" style="973" bestFit="1" customWidth="1"/>
    <col min="2058" max="2305" width="8.90625" style="973"/>
    <col min="2306" max="2306" width="8.453125" style="973" customWidth="1"/>
    <col min="2307" max="2307" width="32.08984375" style="973" customWidth="1"/>
    <col min="2308" max="2308" width="11.36328125" style="973" customWidth="1"/>
    <col min="2309" max="2309" width="12" style="973" customWidth="1"/>
    <col min="2310" max="2312" width="8.90625" style="973"/>
    <col min="2313" max="2313" width="9" style="973" bestFit="1" customWidth="1"/>
    <col min="2314" max="2561" width="8.90625" style="973"/>
    <col min="2562" max="2562" width="8.453125" style="973" customWidth="1"/>
    <col min="2563" max="2563" width="32.08984375" style="973" customWidth="1"/>
    <col min="2564" max="2564" width="11.36328125" style="973" customWidth="1"/>
    <col min="2565" max="2565" width="12" style="973" customWidth="1"/>
    <col min="2566" max="2568" width="8.90625" style="973"/>
    <col min="2569" max="2569" width="9" style="973" bestFit="1" customWidth="1"/>
    <col min="2570" max="2817" width="8.90625" style="973"/>
    <col min="2818" max="2818" width="8.453125" style="973" customWidth="1"/>
    <col min="2819" max="2819" width="32.08984375" style="973" customWidth="1"/>
    <col min="2820" max="2820" width="11.36328125" style="973" customWidth="1"/>
    <col min="2821" max="2821" width="12" style="973" customWidth="1"/>
    <col min="2822" max="2824" width="8.90625" style="973"/>
    <col min="2825" max="2825" width="9" style="973" bestFit="1" customWidth="1"/>
    <col min="2826" max="3073" width="8.90625" style="973"/>
    <col min="3074" max="3074" width="8.453125" style="973" customWidth="1"/>
    <col min="3075" max="3075" width="32.08984375" style="973" customWidth="1"/>
    <col min="3076" max="3076" width="11.36328125" style="973" customWidth="1"/>
    <col min="3077" max="3077" width="12" style="973" customWidth="1"/>
    <col min="3078" max="3080" width="8.90625" style="973"/>
    <col min="3081" max="3081" width="9" style="973" bestFit="1" customWidth="1"/>
    <col min="3082" max="3329" width="8.90625" style="973"/>
    <col min="3330" max="3330" width="8.453125" style="973" customWidth="1"/>
    <col min="3331" max="3331" width="32.08984375" style="973" customWidth="1"/>
    <col min="3332" max="3332" width="11.36328125" style="973" customWidth="1"/>
    <col min="3333" max="3333" width="12" style="973" customWidth="1"/>
    <col min="3334" max="3336" width="8.90625" style="973"/>
    <col min="3337" max="3337" width="9" style="973" bestFit="1" customWidth="1"/>
    <col min="3338" max="3585" width="8.90625" style="973"/>
    <col min="3586" max="3586" width="8.453125" style="973" customWidth="1"/>
    <col min="3587" max="3587" width="32.08984375" style="973" customWidth="1"/>
    <col min="3588" max="3588" width="11.36328125" style="973" customWidth="1"/>
    <col min="3589" max="3589" width="12" style="973" customWidth="1"/>
    <col min="3590" max="3592" width="8.90625" style="973"/>
    <col min="3593" max="3593" width="9" style="973" bestFit="1" customWidth="1"/>
    <col min="3594" max="3841" width="8.90625" style="973"/>
    <col min="3842" max="3842" width="8.453125" style="973" customWidth="1"/>
    <col min="3843" max="3843" width="32.08984375" style="973" customWidth="1"/>
    <col min="3844" max="3844" width="11.36328125" style="973" customWidth="1"/>
    <col min="3845" max="3845" width="12" style="973" customWidth="1"/>
    <col min="3846" max="3848" width="8.90625" style="973"/>
    <col min="3849" max="3849" width="9" style="973" bestFit="1" customWidth="1"/>
    <col min="3850" max="4097" width="8.90625" style="973"/>
    <col min="4098" max="4098" width="8.453125" style="973" customWidth="1"/>
    <col min="4099" max="4099" width="32.08984375" style="973" customWidth="1"/>
    <col min="4100" max="4100" width="11.36328125" style="973" customWidth="1"/>
    <col min="4101" max="4101" width="12" style="973" customWidth="1"/>
    <col min="4102" max="4104" width="8.90625" style="973"/>
    <col min="4105" max="4105" width="9" style="973" bestFit="1" customWidth="1"/>
    <col min="4106" max="4353" width="8.90625" style="973"/>
    <col min="4354" max="4354" width="8.453125" style="973" customWidth="1"/>
    <col min="4355" max="4355" width="32.08984375" style="973" customWidth="1"/>
    <col min="4356" max="4356" width="11.36328125" style="973" customWidth="1"/>
    <col min="4357" max="4357" width="12" style="973" customWidth="1"/>
    <col min="4358" max="4360" width="8.90625" style="973"/>
    <col min="4361" max="4361" width="9" style="973" bestFit="1" customWidth="1"/>
    <col min="4362" max="4609" width="8.90625" style="973"/>
    <col min="4610" max="4610" width="8.453125" style="973" customWidth="1"/>
    <col min="4611" max="4611" width="32.08984375" style="973" customWidth="1"/>
    <col min="4612" max="4612" width="11.36328125" style="973" customWidth="1"/>
    <col min="4613" max="4613" width="12" style="973" customWidth="1"/>
    <col min="4614" max="4616" width="8.90625" style="973"/>
    <col min="4617" max="4617" width="9" style="973" bestFit="1" customWidth="1"/>
    <col min="4618" max="4865" width="8.90625" style="973"/>
    <col min="4866" max="4866" width="8.453125" style="973" customWidth="1"/>
    <col min="4867" max="4867" width="32.08984375" style="973" customWidth="1"/>
    <col min="4868" max="4868" width="11.36328125" style="973" customWidth="1"/>
    <col min="4869" max="4869" width="12" style="973" customWidth="1"/>
    <col min="4870" max="4872" width="8.90625" style="973"/>
    <col min="4873" max="4873" width="9" style="973" bestFit="1" customWidth="1"/>
    <col min="4874" max="5121" width="8.90625" style="973"/>
    <col min="5122" max="5122" width="8.453125" style="973" customWidth="1"/>
    <col min="5123" max="5123" width="32.08984375" style="973" customWidth="1"/>
    <col min="5124" max="5124" width="11.36328125" style="973" customWidth="1"/>
    <col min="5125" max="5125" width="12" style="973" customWidth="1"/>
    <col min="5126" max="5128" width="8.90625" style="973"/>
    <col min="5129" max="5129" width="9" style="973" bestFit="1" customWidth="1"/>
    <col min="5130" max="5377" width="8.90625" style="973"/>
    <col min="5378" max="5378" width="8.453125" style="973" customWidth="1"/>
    <col min="5379" max="5379" width="32.08984375" style="973" customWidth="1"/>
    <col min="5380" max="5380" width="11.36328125" style="973" customWidth="1"/>
    <col min="5381" max="5381" width="12" style="973" customWidth="1"/>
    <col min="5382" max="5384" width="8.90625" style="973"/>
    <col min="5385" max="5385" width="9" style="973" bestFit="1" customWidth="1"/>
    <col min="5386" max="5633" width="8.90625" style="973"/>
    <col min="5634" max="5634" width="8.453125" style="973" customWidth="1"/>
    <col min="5635" max="5635" width="32.08984375" style="973" customWidth="1"/>
    <col min="5636" max="5636" width="11.36328125" style="973" customWidth="1"/>
    <col min="5637" max="5637" width="12" style="973" customWidth="1"/>
    <col min="5638" max="5640" width="8.90625" style="973"/>
    <col min="5641" max="5641" width="9" style="973" bestFit="1" customWidth="1"/>
    <col min="5642" max="5889" width="8.90625" style="973"/>
    <col min="5890" max="5890" width="8.453125" style="973" customWidth="1"/>
    <col min="5891" max="5891" width="32.08984375" style="973" customWidth="1"/>
    <col min="5892" max="5892" width="11.36328125" style="973" customWidth="1"/>
    <col min="5893" max="5893" width="12" style="973" customWidth="1"/>
    <col min="5894" max="5896" width="8.90625" style="973"/>
    <col min="5897" max="5897" width="9" style="973" bestFit="1" customWidth="1"/>
    <col min="5898" max="6145" width="8.90625" style="973"/>
    <col min="6146" max="6146" width="8.453125" style="973" customWidth="1"/>
    <col min="6147" max="6147" width="32.08984375" style="973" customWidth="1"/>
    <col min="6148" max="6148" width="11.36328125" style="973" customWidth="1"/>
    <col min="6149" max="6149" width="12" style="973" customWidth="1"/>
    <col min="6150" max="6152" width="8.90625" style="973"/>
    <col min="6153" max="6153" width="9" style="973" bestFit="1" customWidth="1"/>
    <col min="6154" max="6401" width="8.90625" style="973"/>
    <col min="6402" max="6402" width="8.453125" style="973" customWidth="1"/>
    <col min="6403" max="6403" width="32.08984375" style="973" customWidth="1"/>
    <col min="6404" max="6404" width="11.36328125" style="973" customWidth="1"/>
    <col min="6405" max="6405" width="12" style="973" customWidth="1"/>
    <col min="6406" max="6408" width="8.90625" style="973"/>
    <col min="6409" max="6409" width="9" style="973" bestFit="1" customWidth="1"/>
    <col min="6410" max="6657" width="8.90625" style="973"/>
    <col min="6658" max="6658" width="8.453125" style="973" customWidth="1"/>
    <col min="6659" max="6659" width="32.08984375" style="973" customWidth="1"/>
    <col min="6660" max="6660" width="11.36328125" style="973" customWidth="1"/>
    <col min="6661" max="6661" width="12" style="973" customWidth="1"/>
    <col min="6662" max="6664" width="8.90625" style="973"/>
    <col min="6665" max="6665" width="9" style="973" bestFit="1" customWidth="1"/>
    <col min="6666" max="6913" width="8.90625" style="973"/>
    <col min="6914" max="6914" width="8.453125" style="973" customWidth="1"/>
    <col min="6915" max="6915" width="32.08984375" style="973" customWidth="1"/>
    <col min="6916" max="6916" width="11.36328125" style="973" customWidth="1"/>
    <col min="6917" max="6917" width="12" style="973" customWidth="1"/>
    <col min="6918" max="6920" width="8.90625" style="973"/>
    <col min="6921" max="6921" width="9" style="973" bestFit="1" customWidth="1"/>
    <col min="6922" max="7169" width="8.90625" style="973"/>
    <col min="7170" max="7170" width="8.453125" style="973" customWidth="1"/>
    <col min="7171" max="7171" width="32.08984375" style="973" customWidth="1"/>
    <col min="7172" max="7172" width="11.36328125" style="973" customWidth="1"/>
    <col min="7173" max="7173" width="12" style="973" customWidth="1"/>
    <col min="7174" max="7176" width="8.90625" style="973"/>
    <col min="7177" max="7177" width="9" style="973" bestFit="1" customWidth="1"/>
    <col min="7178" max="7425" width="8.90625" style="973"/>
    <col min="7426" max="7426" width="8.453125" style="973" customWidth="1"/>
    <col min="7427" max="7427" width="32.08984375" style="973" customWidth="1"/>
    <col min="7428" max="7428" width="11.36328125" style="973" customWidth="1"/>
    <col min="7429" max="7429" width="12" style="973" customWidth="1"/>
    <col min="7430" max="7432" width="8.90625" style="973"/>
    <col min="7433" max="7433" width="9" style="973" bestFit="1" customWidth="1"/>
    <col min="7434" max="7681" width="8.90625" style="973"/>
    <col min="7682" max="7682" width="8.453125" style="973" customWidth="1"/>
    <col min="7683" max="7683" width="32.08984375" style="973" customWidth="1"/>
    <col min="7684" max="7684" width="11.36328125" style="973" customWidth="1"/>
    <col min="7685" max="7685" width="12" style="973" customWidth="1"/>
    <col min="7686" max="7688" width="8.90625" style="973"/>
    <col min="7689" max="7689" width="9" style="973" bestFit="1" customWidth="1"/>
    <col min="7690" max="7937" width="8.90625" style="973"/>
    <col min="7938" max="7938" width="8.453125" style="973" customWidth="1"/>
    <col min="7939" max="7939" width="32.08984375" style="973" customWidth="1"/>
    <col min="7940" max="7940" width="11.36328125" style="973" customWidth="1"/>
    <col min="7941" max="7941" width="12" style="973" customWidth="1"/>
    <col min="7942" max="7944" width="8.90625" style="973"/>
    <col min="7945" max="7945" width="9" style="973" bestFit="1" customWidth="1"/>
    <col min="7946" max="8193" width="8.90625" style="973"/>
    <col min="8194" max="8194" width="8.453125" style="973" customWidth="1"/>
    <col min="8195" max="8195" width="32.08984375" style="973" customWidth="1"/>
    <col min="8196" max="8196" width="11.36328125" style="973" customWidth="1"/>
    <col min="8197" max="8197" width="12" style="973" customWidth="1"/>
    <col min="8198" max="8200" width="8.90625" style="973"/>
    <col min="8201" max="8201" width="9" style="973" bestFit="1" customWidth="1"/>
    <col min="8202" max="8449" width="8.90625" style="973"/>
    <col min="8450" max="8450" width="8.453125" style="973" customWidth="1"/>
    <col min="8451" max="8451" width="32.08984375" style="973" customWidth="1"/>
    <col min="8452" max="8452" width="11.36328125" style="973" customWidth="1"/>
    <col min="8453" max="8453" width="12" style="973" customWidth="1"/>
    <col min="8454" max="8456" width="8.90625" style="973"/>
    <col min="8457" max="8457" width="9" style="973" bestFit="1" customWidth="1"/>
    <col min="8458" max="8705" width="8.90625" style="973"/>
    <col min="8706" max="8706" width="8.453125" style="973" customWidth="1"/>
    <col min="8707" max="8707" width="32.08984375" style="973" customWidth="1"/>
    <col min="8708" max="8708" width="11.36328125" style="973" customWidth="1"/>
    <col min="8709" max="8709" width="12" style="973" customWidth="1"/>
    <col min="8710" max="8712" width="8.90625" style="973"/>
    <col min="8713" max="8713" width="9" style="973" bestFit="1" customWidth="1"/>
    <col min="8714" max="8961" width="8.90625" style="973"/>
    <col min="8962" max="8962" width="8.453125" style="973" customWidth="1"/>
    <col min="8963" max="8963" width="32.08984375" style="973" customWidth="1"/>
    <col min="8964" max="8964" width="11.36328125" style="973" customWidth="1"/>
    <col min="8965" max="8965" width="12" style="973" customWidth="1"/>
    <col min="8966" max="8968" width="8.90625" style="973"/>
    <col min="8969" max="8969" width="9" style="973" bestFit="1" customWidth="1"/>
    <col min="8970" max="9217" width="8.90625" style="973"/>
    <col min="9218" max="9218" width="8.453125" style="973" customWidth="1"/>
    <col min="9219" max="9219" width="32.08984375" style="973" customWidth="1"/>
    <col min="9220" max="9220" width="11.36328125" style="973" customWidth="1"/>
    <col min="9221" max="9221" width="12" style="973" customWidth="1"/>
    <col min="9222" max="9224" width="8.90625" style="973"/>
    <col min="9225" max="9225" width="9" style="973" bestFit="1" customWidth="1"/>
    <col min="9226" max="9473" width="8.90625" style="973"/>
    <col min="9474" max="9474" width="8.453125" style="973" customWidth="1"/>
    <col min="9475" max="9475" width="32.08984375" style="973" customWidth="1"/>
    <col min="9476" max="9476" width="11.36328125" style="973" customWidth="1"/>
    <col min="9477" max="9477" width="12" style="973" customWidth="1"/>
    <col min="9478" max="9480" width="8.90625" style="973"/>
    <col min="9481" max="9481" width="9" style="973" bestFit="1" customWidth="1"/>
    <col min="9482" max="9729" width="8.90625" style="973"/>
    <col min="9730" max="9730" width="8.453125" style="973" customWidth="1"/>
    <col min="9731" max="9731" width="32.08984375" style="973" customWidth="1"/>
    <col min="9732" max="9732" width="11.36328125" style="973" customWidth="1"/>
    <col min="9733" max="9733" width="12" style="973" customWidth="1"/>
    <col min="9734" max="9736" width="8.90625" style="973"/>
    <col min="9737" max="9737" width="9" style="973" bestFit="1" customWidth="1"/>
    <col min="9738" max="9985" width="8.90625" style="973"/>
    <col min="9986" max="9986" width="8.453125" style="973" customWidth="1"/>
    <col min="9987" max="9987" width="32.08984375" style="973" customWidth="1"/>
    <col min="9988" max="9988" width="11.36328125" style="973" customWidth="1"/>
    <col min="9989" max="9989" width="12" style="973" customWidth="1"/>
    <col min="9990" max="9992" width="8.90625" style="973"/>
    <col min="9993" max="9993" width="9" style="973" bestFit="1" customWidth="1"/>
    <col min="9994" max="10241" width="8.90625" style="973"/>
    <col min="10242" max="10242" width="8.453125" style="973" customWidth="1"/>
    <col min="10243" max="10243" width="32.08984375" style="973" customWidth="1"/>
    <col min="10244" max="10244" width="11.36328125" style="973" customWidth="1"/>
    <col min="10245" max="10245" width="12" style="973" customWidth="1"/>
    <col min="10246" max="10248" width="8.90625" style="973"/>
    <col min="10249" max="10249" width="9" style="973" bestFit="1" customWidth="1"/>
    <col min="10250" max="10497" width="8.90625" style="973"/>
    <col min="10498" max="10498" width="8.453125" style="973" customWidth="1"/>
    <col min="10499" max="10499" width="32.08984375" style="973" customWidth="1"/>
    <col min="10500" max="10500" width="11.36328125" style="973" customWidth="1"/>
    <col min="10501" max="10501" width="12" style="973" customWidth="1"/>
    <col min="10502" max="10504" width="8.90625" style="973"/>
    <col min="10505" max="10505" width="9" style="973" bestFit="1" customWidth="1"/>
    <col min="10506" max="10753" width="8.90625" style="973"/>
    <col min="10754" max="10754" width="8.453125" style="973" customWidth="1"/>
    <col min="10755" max="10755" width="32.08984375" style="973" customWidth="1"/>
    <col min="10756" max="10756" width="11.36328125" style="973" customWidth="1"/>
    <col min="10757" max="10757" width="12" style="973" customWidth="1"/>
    <col min="10758" max="10760" width="8.90625" style="973"/>
    <col min="10761" max="10761" width="9" style="973" bestFit="1" customWidth="1"/>
    <col min="10762" max="11009" width="8.90625" style="973"/>
    <col min="11010" max="11010" width="8.453125" style="973" customWidth="1"/>
    <col min="11011" max="11011" width="32.08984375" style="973" customWidth="1"/>
    <col min="11012" max="11012" width="11.36328125" style="973" customWidth="1"/>
    <col min="11013" max="11013" width="12" style="973" customWidth="1"/>
    <col min="11014" max="11016" width="8.90625" style="973"/>
    <col min="11017" max="11017" width="9" style="973" bestFit="1" customWidth="1"/>
    <col min="11018" max="11265" width="8.90625" style="973"/>
    <col min="11266" max="11266" width="8.453125" style="973" customWidth="1"/>
    <col min="11267" max="11267" width="32.08984375" style="973" customWidth="1"/>
    <col min="11268" max="11268" width="11.36328125" style="973" customWidth="1"/>
    <col min="11269" max="11269" width="12" style="973" customWidth="1"/>
    <col min="11270" max="11272" width="8.90625" style="973"/>
    <col min="11273" max="11273" width="9" style="973" bestFit="1" customWidth="1"/>
    <col min="11274" max="11521" width="8.90625" style="973"/>
    <col min="11522" max="11522" width="8.453125" style="973" customWidth="1"/>
    <col min="11523" max="11523" width="32.08984375" style="973" customWidth="1"/>
    <col min="11524" max="11524" width="11.36328125" style="973" customWidth="1"/>
    <col min="11525" max="11525" width="12" style="973" customWidth="1"/>
    <col min="11526" max="11528" width="8.90625" style="973"/>
    <col min="11529" max="11529" width="9" style="973" bestFit="1" customWidth="1"/>
    <col min="11530" max="11777" width="8.90625" style="973"/>
    <col min="11778" max="11778" width="8.453125" style="973" customWidth="1"/>
    <col min="11779" max="11779" width="32.08984375" style="973" customWidth="1"/>
    <col min="11780" max="11780" width="11.36328125" style="973" customWidth="1"/>
    <col min="11781" max="11781" width="12" style="973" customWidth="1"/>
    <col min="11782" max="11784" width="8.90625" style="973"/>
    <col min="11785" max="11785" width="9" style="973" bestFit="1" customWidth="1"/>
    <col min="11786" max="12033" width="8.90625" style="973"/>
    <col min="12034" max="12034" width="8.453125" style="973" customWidth="1"/>
    <col min="12035" max="12035" width="32.08984375" style="973" customWidth="1"/>
    <col min="12036" max="12036" width="11.36328125" style="973" customWidth="1"/>
    <col min="12037" max="12037" width="12" style="973" customWidth="1"/>
    <col min="12038" max="12040" width="8.90625" style="973"/>
    <col min="12041" max="12041" width="9" style="973" bestFit="1" customWidth="1"/>
    <col min="12042" max="12289" width="8.90625" style="973"/>
    <col min="12290" max="12290" width="8.453125" style="973" customWidth="1"/>
    <col min="12291" max="12291" width="32.08984375" style="973" customWidth="1"/>
    <col min="12292" max="12292" width="11.36328125" style="973" customWidth="1"/>
    <col min="12293" max="12293" width="12" style="973" customWidth="1"/>
    <col min="12294" max="12296" width="8.90625" style="973"/>
    <col min="12297" max="12297" width="9" style="973" bestFit="1" customWidth="1"/>
    <col min="12298" max="12545" width="8.90625" style="973"/>
    <col min="12546" max="12546" width="8.453125" style="973" customWidth="1"/>
    <col min="12547" max="12547" width="32.08984375" style="973" customWidth="1"/>
    <col min="12548" max="12548" width="11.36328125" style="973" customWidth="1"/>
    <col min="12549" max="12549" width="12" style="973" customWidth="1"/>
    <col min="12550" max="12552" width="8.90625" style="973"/>
    <col min="12553" max="12553" width="9" style="973" bestFit="1" customWidth="1"/>
    <col min="12554" max="12801" width="8.90625" style="973"/>
    <col min="12802" max="12802" width="8.453125" style="973" customWidth="1"/>
    <col min="12803" max="12803" width="32.08984375" style="973" customWidth="1"/>
    <col min="12804" max="12804" width="11.36328125" style="973" customWidth="1"/>
    <col min="12805" max="12805" width="12" style="973" customWidth="1"/>
    <col min="12806" max="12808" width="8.90625" style="973"/>
    <col min="12809" max="12809" width="9" style="973" bestFit="1" customWidth="1"/>
    <col min="12810" max="13057" width="8.90625" style="973"/>
    <col min="13058" max="13058" width="8.453125" style="973" customWidth="1"/>
    <col min="13059" max="13059" width="32.08984375" style="973" customWidth="1"/>
    <col min="13060" max="13060" width="11.36328125" style="973" customWidth="1"/>
    <col min="13061" max="13061" width="12" style="973" customWidth="1"/>
    <col min="13062" max="13064" width="8.90625" style="973"/>
    <col min="13065" max="13065" width="9" style="973" bestFit="1" customWidth="1"/>
    <col min="13066" max="13313" width="8.90625" style="973"/>
    <col min="13314" max="13314" width="8.453125" style="973" customWidth="1"/>
    <col min="13315" max="13315" width="32.08984375" style="973" customWidth="1"/>
    <col min="13316" max="13316" width="11.36328125" style="973" customWidth="1"/>
    <col min="13317" max="13317" width="12" style="973" customWidth="1"/>
    <col min="13318" max="13320" width="8.90625" style="973"/>
    <col min="13321" max="13321" width="9" style="973" bestFit="1" customWidth="1"/>
    <col min="13322" max="13569" width="8.90625" style="973"/>
    <col min="13570" max="13570" width="8.453125" style="973" customWidth="1"/>
    <col min="13571" max="13571" width="32.08984375" style="973" customWidth="1"/>
    <col min="13572" max="13572" width="11.36328125" style="973" customWidth="1"/>
    <col min="13573" max="13573" width="12" style="973" customWidth="1"/>
    <col min="13574" max="13576" width="8.90625" style="973"/>
    <col min="13577" max="13577" width="9" style="973" bestFit="1" customWidth="1"/>
    <col min="13578" max="13825" width="8.90625" style="973"/>
    <col min="13826" max="13826" width="8.453125" style="973" customWidth="1"/>
    <col min="13827" max="13827" width="32.08984375" style="973" customWidth="1"/>
    <col min="13828" max="13828" width="11.36328125" style="973" customWidth="1"/>
    <col min="13829" max="13829" width="12" style="973" customWidth="1"/>
    <col min="13830" max="13832" width="8.90625" style="973"/>
    <col min="13833" max="13833" width="9" style="973" bestFit="1" customWidth="1"/>
    <col min="13834" max="14081" width="8.90625" style="973"/>
    <col min="14082" max="14082" width="8.453125" style="973" customWidth="1"/>
    <col min="14083" max="14083" width="32.08984375" style="973" customWidth="1"/>
    <col min="14084" max="14084" width="11.36328125" style="973" customWidth="1"/>
    <col min="14085" max="14085" width="12" style="973" customWidth="1"/>
    <col min="14086" max="14088" width="8.90625" style="973"/>
    <col min="14089" max="14089" width="9" style="973" bestFit="1" customWidth="1"/>
    <col min="14090" max="14337" width="8.90625" style="973"/>
    <col min="14338" max="14338" width="8.453125" style="973" customWidth="1"/>
    <col min="14339" max="14339" width="32.08984375" style="973" customWidth="1"/>
    <col min="14340" max="14340" width="11.36328125" style="973" customWidth="1"/>
    <col min="14341" max="14341" width="12" style="973" customWidth="1"/>
    <col min="14342" max="14344" width="8.90625" style="973"/>
    <col min="14345" max="14345" width="9" style="973" bestFit="1" customWidth="1"/>
    <col min="14346" max="14593" width="8.90625" style="973"/>
    <col min="14594" max="14594" width="8.453125" style="973" customWidth="1"/>
    <col min="14595" max="14595" width="32.08984375" style="973" customWidth="1"/>
    <col min="14596" max="14596" width="11.36328125" style="973" customWidth="1"/>
    <col min="14597" max="14597" width="12" style="973" customWidth="1"/>
    <col min="14598" max="14600" width="8.90625" style="973"/>
    <col min="14601" max="14601" width="9" style="973" bestFit="1" customWidth="1"/>
    <col min="14602" max="14849" width="8.90625" style="973"/>
    <col min="14850" max="14850" width="8.453125" style="973" customWidth="1"/>
    <col min="14851" max="14851" width="32.08984375" style="973" customWidth="1"/>
    <col min="14852" max="14852" width="11.36328125" style="973" customWidth="1"/>
    <col min="14853" max="14853" width="12" style="973" customWidth="1"/>
    <col min="14854" max="14856" width="8.90625" style="973"/>
    <col min="14857" max="14857" width="9" style="973" bestFit="1" customWidth="1"/>
    <col min="14858" max="15105" width="8.90625" style="973"/>
    <col min="15106" max="15106" width="8.453125" style="973" customWidth="1"/>
    <col min="15107" max="15107" width="32.08984375" style="973" customWidth="1"/>
    <col min="15108" max="15108" width="11.36328125" style="973" customWidth="1"/>
    <col min="15109" max="15109" width="12" style="973" customWidth="1"/>
    <col min="15110" max="15112" width="8.90625" style="973"/>
    <col min="15113" max="15113" width="9" style="973" bestFit="1" customWidth="1"/>
    <col min="15114" max="15361" width="8.90625" style="973"/>
    <col min="15362" max="15362" width="8.453125" style="973" customWidth="1"/>
    <col min="15363" max="15363" width="32.08984375" style="973" customWidth="1"/>
    <col min="15364" max="15364" width="11.36328125" style="973" customWidth="1"/>
    <col min="15365" max="15365" width="12" style="973" customWidth="1"/>
    <col min="15366" max="15368" width="8.90625" style="973"/>
    <col min="15369" max="15369" width="9" style="973" bestFit="1" customWidth="1"/>
    <col min="15370" max="15617" width="8.90625" style="973"/>
    <col min="15618" max="15618" width="8.453125" style="973" customWidth="1"/>
    <col min="15619" max="15619" width="32.08984375" style="973" customWidth="1"/>
    <col min="15620" max="15620" width="11.36328125" style="973" customWidth="1"/>
    <col min="15621" max="15621" width="12" style="973" customWidth="1"/>
    <col min="15622" max="15624" width="8.90625" style="973"/>
    <col min="15625" max="15625" width="9" style="973" bestFit="1" customWidth="1"/>
    <col min="15626" max="15873" width="8.90625" style="973"/>
    <col min="15874" max="15874" width="8.453125" style="973" customWidth="1"/>
    <col min="15875" max="15875" width="32.08984375" style="973" customWidth="1"/>
    <col min="15876" max="15876" width="11.36328125" style="973" customWidth="1"/>
    <col min="15877" max="15877" width="12" style="973" customWidth="1"/>
    <col min="15878" max="15880" width="8.90625" style="973"/>
    <col min="15881" max="15881" width="9" style="973" bestFit="1" customWidth="1"/>
    <col min="15882" max="16129" width="8.90625" style="973"/>
    <col min="16130" max="16130" width="8.453125" style="973" customWidth="1"/>
    <col min="16131" max="16131" width="32.08984375" style="973" customWidth="1"/>
    <col min="16132" max="16132" width="11.36328125" style="973" customWidth="1"/>
    <col min="16133" max="16133" width="12" style="973" customWidth="1"/>
    <col min="16134" max="16136" width="8.90625" style="973"/>
    <col min="16137" max="16137" width="9" style="973" bestFit="1" customWidth="1"/>
    <col min="16138" max="16384" width="8.90625" style="973"/>
  </cols>
  <sheetData>
    <row r="4" spans="1:5" ht="17.399999999999999">
      <c r="D4" s="1027" t="s">
        <v>877</v>
      </c>
      <c r="E4" s="975"/>
    </row>
    <row r="5" spans="1:5" ht="12.75" customHeight="1">
      <c r="D5" s="1027"/>
      <c r="E5" s="975"/>
    </row>
    <row r="6" spans="1:5" ht="22.5" customHeight="1">
      <c r="A6" s="973" t="s">
        <v>0</v>
      </c>
      <c r="B6" s="2389" t="s">
        <v>1</v>
      </c>
      <c r="C6" s="2389"/>
      <c r="D6" s="2389"/>
      <c r="E6" s="2389"/>
    </row>
    <row r="7" spans="1:5" ht="22.5" customHeight="1">
      <c r="B7" s="2389" t="str">
        <f>CC!E2</f>
        <v>BHILAI STEEL PLANT</v>
      </c>
      <c r="C7" s="2389"/>
      <c r="D7" s="2389"/>
      <c r="E7" s="2389"/>
    </row>
    <row r="8" spans="1:5" ht="24.75" customHeight="1">
      <c r="B8" s="2390" t="str">
        <f>CC!C3</f>
        <v>Extension of mixer bay and replacement of 02 nos mixer cranes 125+30t, span 28 m in SMS-2</v>
      </c>
      <c r="C8" s="2390"/>
      <c r="D8" s="2390"/>
      <c r="E8" s="2390"/>
    </row>
    <row r="9" spans="1:5" ht="24.75" customHeight="1">
      <c r="B9" s="2389" t="s">
        <v>878</v>
      </c>
      <c r="C9" s="2389"/>
      <c r="D9" s="2389"/>
      <c r="E9" s="2389"/>
    </row>
    <row r="10" spans="1:5" s="1016" customFormat="1" ht="25.5" customHeight="1">
      <c r="B10" s="1028"/>
      <c r="C10" s="1028"/>
      <c r="D10" s="1029" t="str">
        <f>CC!O3</f>
        <v>Base date: 3rd Qtr 2022</v>
      </c>
      <c r="E10" s="1030"/>
    </row>
    <row r="11" spans="1:5" s="1016" customFormat="1" ht="23.25" customHeight="1">
      <c r="B11" s="1031">
        <v>1</v>
      </c>
      <c r="C11" s="1032" t="s">
        <v>424</v>
      </c>
      <c r="D11" s="1033" t="s">
        <v>879</v>
      </c>
      <c r="E11" s="1034">
        <f>CC!AU25</f>
        <v>54.023816893072535</v>
      </c>
    </row>
    <row r="12" spans="1:5" ht="17.399999999999999">
      <c r="B12" s="1035"/>
      <c r="C12" s="1036"/>
      <c r="D12" s="1037"/>
      <c r="E12" s="1038"/>
    </row>
    <row r="13" spans="1:5" s="1016" customFormat="1" ht="17.399999999999999">
      <c r="B13" s="1039">
        <v>2</v>
      </c>
      <c r="C13" s="1040" t="s">
        <v>295</v>
      </c>
      <c r="D13" s="1030" t="s">
        <v>879</v>
      </c>
      <c r="E13" s="1041">
        <f>'Gross Margin'!G18</f>
        <v>378.59644017496385</v>
      </c>
    </row>
    <row r="14" spans="1:5" ht="17.399999999999999">
      <c r="B14" s="1042"/>
      <c r="C14" s="1043"/>
      <c r="D14" s="1044"/>
      <c r="E14" s="1045"/>
    </row>
    <row r="15" spans="1:5" s="1016" customFormat="1" ht="17.399999999999999">
      <c r="B15" s="1039">
        <v>3</v>
      </c>
      <c r="C15" s="1040" t="s">
        <v>880</v>
      </c>
      <c r="D15" s="1030" t="s">
        <v>879</v>
      </c>
      <c r="E15" s="1041">
        <f>CashFlow!O55</f>
        <v>1710.0751748531022</v>
      </c>
    </row>
    <row r="16" spans="1:5" ht="17.399999999999999">
      <c r="B16" s="1042"/>
      <c r="C16" s="1043"/>
      <c r="D16" s="1044"/>
      <c r="E16" s="1045"/>
    </row>
    <row r="17" spans="2:13" s="1016" customFormat="1" ht="22.5" customHeight="1">
      <c r="B17" s="1039">
        <v>4</v>
      </c>
      <c r="C17" s="1040" t="s">
        <v>881</v>
      </c>
      <c r="D17" s="1030" t="s">
        <v>163</v>
      </c>
      <c r="E17" s="1046">
        <f>CashFlow!O58</f>
        <v>1.2472285810923918</v>
      </c>
      <c r="H17" s="1047" t="s">
        <v>882</v>
      </c>
      <c r="I17" s="1047" t="s">
        <v>883</v>
      </c>
      <c r="J17" s="1047" t="s">
        <v>884</v>
      </c>
      <c r="K17" s="1047" t="s">
        <v>885</v>
      </c>
    </row>
    <row r="18" spans="2:13" ht="22.5" customHeight="1">
      <c r="B18" s="1048"/>
      <c r="C18" s="1049"/>
      <c r="D18" s="1050"/>
      <c r="E18" s="1051"/>
      <c r="H18" s="1052">
        <f>I18/2</f>
        <v>189.29322008748193</v>
      </c>
      <c r="I18" s="1052">
        <f>E13-0.01</f>
        <v>378.58644017496385</v>
      </c>
      <c r="J18" s="1052">
        <f>I18*1.5</f>
        <v>567.87966026244578</v>
      </c>
      <c r="K18" s="1052">
        <f>I18*2</f>
        <v>757.17288034992771</v>
      </c>
    </row>
    <row r="19" spans="2:13" ht="23.25" customHeight="1"/>
    <row r="20" spans="2:13" ht="24.75" customHeight="1">
      <c r="B20" s="1016"/>
      <c r="C20" s="1053"/>
      <c r="D20" s="1053"/>
      <c r="E20" s="1053"/>
    </row>
    <row r="21" spans="2:13" ht="24.75" customHeight="1">
      <c r="B21" s="975"/>
      <c r="C21" s="1054"/>
      <c r="D21" s="1054"/>
      <c r="E21" s="1054"/>
    </row>
    <row r="22" spans="2:13" ht="24.75" customHeight="1">
      <c r="B22" s="2391" t="s">
        <v>284</v>
      </c>
      <c r="C22" s="2392"/>
      <c r="D22" s="2393"/>
      <c r="E22" s="1055">
        <v>1</v>
      </c>
    </row>
    <row r="23" spans="2:13" ht="20.25" customHeight="1">
      <c r="B23" s="2391" t="s">
        <v>273</v>
      </c>
      <c r="C23" s="2392"/>
      <c r="D23" s="2393"/>
      <c r="E23" s="1055">
        <v>1</v>
      </c>
    </row>
    <row r="24" spans="2:13" ht="20.25" customHeight="1">
      <c r="B24" s="2385" t="s">
        <v>886</v>
      </c>
      <c r="C24" s="2385"/>
      <c r="D24" s="2385"/>
      <c r="E24" s="1000">
        <v>1</v>
      </c>
    </row>
    <row r="25" spans="2:13" ht="17.399999999999999">
      <c r="B25" s="2386" t="s">
        <v>887</v>
      </c>
      <c r="C25" s="2387"/>
      <c r="D25" s="2387"/>
      <c r="E25" s="2388"/>
      <c r="G25" s="973" t="s">
        <v>160</v>
      </c>
      <c r="K25" s="973" t="s">
        <v>177</v>
      </c>
    </row>
    <row r="26" spans="2:13" ht="15.6">
      <c r="B26" s="1055"/>
      <c r="C26" s="1055"/>
      <c r="E26" s="1055"/>
    </row>
    <row r="27" spans="2:13" ht="15.6">
      <c r="B27" s="1055"/>
      <c r="C27" s="1055"/>
      <c r="D27" s="1056" t="s">
        <v>160</v>
      </c>
      <c r="E27" s="1057"/>
      <c r="G27" s="1058">
        <v>0.05</v>
      </c>
      <c r="H27" s="1058">
        <v>0.1</v>
      </c>
      <c r="I27" s="1058">
        <v>0.15</v>
      </c>
      <c r="K27" s="1058">
        <v>0.05</v>
      </c>
      <c r="L27" s="1058">
        <v>0.1</v>
      </c>
      <c r="M27" s="1058">
        <v>0.15</v>
      </c>
    </row>
    <row r="28" spans="2:13" ht="19.5" customHeight="1">
      <c r="B28" s="1055"/>
      <c r="C28" s="1059" t="s">
        <v>891</v>
      </c>
      <c r="D28" s="1060"/>
      <c r="E28" s="1073">
        <v>0.34088392814978707</v>
      </c>
      <c r="G28" s="1061">
        <v>0.33517328824477421</v>
      </c>
      <c r="H28" s="1061">
        <v>0.32287443571538477</v>
      </c>
      <c r="I28" s="1061">
        <v>0.31150764574627376</v>
      </c>
      <c r="K28" s="1062">
        <v>560.68529784758175</v>
      </c>
      <c r="L28" s="1062">
        <v>551.26662856305268</v>
      </c>
      <c r="M28" s="1062">
        <v>541.84795927852349</v>
      </c>
    </row>
    <row r="29" spans="2:13" ht="20.25" customHeight="1">
      <c r="B29" s="1055"/>
      <c r="C29" s="1059" t="s">
        <v>892</v>
      </c>
      <c r="D29" s="1060"/>
      <c r="E29" s="1073">
        <v>0.33836705492747465</v>
      </c>
      <c r="G29" s="1061">
        <v>0.33535760719722707</v>
      </c>
      <c r="H29" s="1061">
        <v>0.32197023410256231</v>
      </c>
      <c r="I29" s="1061">
        <v>0.30835159246112487</v>
      </c>
      <c r="K29" s="1062">
        <v>533.25733211999295</v>
      </c>
      <c r="L29" s="1062">
        <v>496.41069710787514</v>
      </c>
      <c r="M29" s="1062">
        <v>459.56406209575692</v>
      </c>
    </row>
    <row r="30" spans="2:13" ht="18" customHeight="1">
      <c r="B30" s="1055"/>
      <c r="C30" s="1059" t="s">
        <v>888</v>
      </c>
      <c r="D30" s="1060"/>
      <c r="E30" s="1073">
        <v>0.31527707928522752</v>
      </c>
      <c r="G30" s="1061">
        <v>0.32244464767067638</v>
      </c>
      <c r="H30" s="1061">
        <v>0.29803391661489287</v>
      </c>
      <c r="I30" s="1061">
        <v>0.27506255992234419</v>
      </c>
      <c r="K30" s="1062">
        <v>523.83866283546377</v>
      </c>
      <c r="L30" s="1062">
        <v>477.57335853881671</v>
      </c>
      <c r="M30" s="1062">
        <v>431.29771316900229</v>
      </c>
    </row>
    <row r="31" spans="2:13" ht="21" customHeight="1">
      <c r="B31" s="1012"/>
      <c r="C31" s="1055" t="s">
        <v>889</v>
      </c>
      <c r="D31" s="1060"/>
      <c r="E31" s="1073">
        <v>0.31227291863192708</v>
      </c>
      <c r="G31" s="1061">
        <v>0.26241336028955198</v>
      </c>
      <c r="K31" s="1062">
        <v>341.14033552412508</v>
      </c>
    </row>
    <row r="32" spans="2:13" ht="21" customHeight="1">
      <c r="B32" s="1012"/>
      <c r="C32" s="1055" t="s">
        <v>890</v>
      </c>
      <c r="D32" s="1012"/>
      <c r="E32" s="1073">
        <v>0.25300277714394892</v>
      </c>
      <c r="G32" s="1061">
        <v>0.15200316677200587</v>
      </c>
      <c r="K32" s="1012">
        <v>97.419849250918517</v>
      </c>
    </row>
    <row r="38" spans="3:3">
      <c r="C38" s="973" t="s">
        <v>0</v>
      </c>
    </row>
  </sheetData>
  <mergeCells count="8">
    <mergeCell ref="B24:D24"/>
    <mergeCell ref="B25:E25"/>
    <mergeCell ref="B6:E6"/>
    <mergeCell ref="B7:E7"/>
    <mergeCell ref="B8:E8"/>
    <mergeCell ref="B9:E9"/>
    <mergeCell ref="B22:D22"/>
    <mergeCell ref="B23:D23"/>
  </mergeCells>
  <pageMargins left="0.70866141732283472" right="0.70866141732283472"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13</vt:i4>
      </vt:variant>
    </vt:vector>
  </HeadingPairs>
  <TitlesOfParts>
    <vt:vector size="39" baseType="lpstr">
      <vt:lpstr>Basic (old)</vt:lpstr>
      <vt:lpstr>Basic_CostCmt</vt:lpstr>
      <vt:lpstr>CC</vt:lpstr>
      <vt:lpstr>GM</vt:lpstr>
      <vt:lpstr>cash flow</vt:lpstr>
      <vt:lpstr>FA</vt:lpstr>
      <vt:lpstr>Gross Margin</vt:lpstr>
      <vt:lpstr>CashFlow</vt:lpstr>
      <vt:lpstr>Fin. Summary</vt:lpstr>
      <vt:lpstr>MoM</vt:lpstr>
      <vt:lpstr>Pkg Cost</vt:lpstr>
      <vt:lpstr>CTE Rate</vt:lpstr>
      <vt:lpstr>Structural (old)</vt:lpstr>
      <vt:lpstr>Civil (old)</vt:lpstr>
      <vt:lpstr>Electrical (old)</vt:lpstr>
      <vt:lpstr>Electrical</vt:lpstr>
      <vt:lpstr>Structural</vt:lpstr>
      <vt:lpstr>Civil</vt:lpstr>
      <vt:lpstr>CC for Enabling</vt:lpstr>
      <vt:lpstr>Pkgcost-2 (Turn key)</vt:lpstr>
      <vt:lpstr>Pie Chart</vt:lpstr>
      <vt:lpstr>Escalation</vt:lpstr>
      <vt:lpstr>Electrical (Reply)</vt:lpstr>
      <vt:lpstr>Structural (Reply)</vt:lpstr>
      <vt:lpstr>Civil (Reply)</vt:lpstr>
      <vt:lpstr>PBER Pkg-1</vt:lpstr>
      <vt:lpstr>Basic_CostCmt!Print_Area</vt:lpstr>
      <vt:lpstr>CashFlow!Print_Area</vt:lpstr>
      <vt:lpstr>CC!Print_Area</vt:lpstr>
      <vt:lpstr>'CTE Rate'!Print_Area</vt:lpstr>
      <vt:lpstr>FA!Print_Area</vt:lpstr>
      <vt:lpstr>'Fin. Summary'!Print_Area</vt:lpstr>
      <vt:lpstr>'Gross Margin'!Print_Area</vt:lpstr>
      <vt:lpstr>MoM!Print_Area</vt:lpstr>
      <vt:lpstr>'PBER Pkg-1'!Print_Area</vt:lpstr>
      <vt:lpstr>'Pkgcost-2 (Turn key)'!Print_Area</vt:lpstr>
      <vt:lpstr>'Basic (old)'!Print_Titles</vt:lpstr>
      <vt:lpstr>Basic_CostCmt!Print_Titles</vt:lpstr>
      <vt:lpstr>'PBER Pkg-1'!Print_Titles</vt:lpstr>
    </vt:vector>
  </TitlesOfParts>
  <Company>CET Sub Centre Bhilai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PC-3</dc:creator>
  <cp:lastModifiedBy>Intelisparkz</cp:lastModifiedBy>
  <cp:lastPrinted>2024-09-24T04:47:52Z</cp:lastPrinted>
  <dcterms:created xsi:type="dcterms:W3CDTF">2001-02-20T07:04:51Z</dcterms:created>
  <dcterms:modified xsi:type="dcterms:W3CDTF">2026-02-13T09:40:55Z</dcterms:modified>
</cp:coreProperties>
</file>