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E:\INTELISPARKZ\FASTRAGAI\PBE for AI Work 10.02.26\"/>
    </mc:Choice>
  </mc:AlternateContent>
  <xr:revisionPtr revIDLastSave="0" documentId="8_{5F1311ED-A456-483F-BE93-AFBBDDC46843}" xr6:coauthVersionLast="36" xr6:coauthVersionMax="36" xr10:uidLastSave="{00000000-0000-0000-0000-000000000000}"/>
  <bookViews>
    <workbookView xWindow="0" yWindow="0" windowWidth="23040" windowHeight="8940" tabRatio="887" firstSheet="4" activeTab="4"/>
  </bookViews>
  <sheets>
    <sheet name="GM" sheetId="13" state="hidden" r:id="rId1"/>
    <sheet name="GM (2)" sheetId="14" state="hidden" r:id="rId2"/>
    <sheet name="GM(3)" sheetId="16" state="hidden" r:id="rId3"/>
    <sheet name="cash flow" sheetId="18" state="hidden" r:id="rId4"/>
    <sheet name="REVISED PBE" sheetId="46" r:id="rId5"/>
    <sheet name="Sheet4" sheetId="28" state="hidden" r:id="rId6"/>
    <sheet name="BOQ_STAGE-1" sheetId="30" state="hidden" r:id="rId7"/>
    <sheet name="STAGE-1 COST" sheetId="31" state="hidden" r:id="rId8"/>
    <sheet name="STAGE-1 PKG COST" sheetId="33" state="hidden" r:id="rId9"/>
  </sheets>
  <externalReferences>
    <externalReference r:id="rId10"/>
    <externalReference r:id="rId11"/>
  </externalReferences>
  <definedNames>
    <definedName name="_xlnm.Print_Area" localSheetId="3">'cash flow'!$W$1:$AT$59</definedName>
    <definedName name="_xlnm.Print_Area" localSheetId="0">GM!$A$5:$J$28</definedName>
    <definedName name="_xlnm.Print_Area" localSheetId="1">'GM (2)'!$B$1:$G$25</definedName>
  </definedNames>
  <calcPr calcId="191029"/>
  <extLst>
    <ext xmlns:xcalcf="http://schemas.microsoft.com/office/spreadsheetml/2018/calcfeatures" uri="{B58B0392-4F1F-4190-BB64-5DF3571DCE5F}">
      <xcalcf:calcFeatures>
        <xcalcf:feature name="microsoft.com:Single"/>
      </xcalcf:calcFeatures>
    </ext>
  </extLst>
</workbook>
</file>

<file path=xl/calcChain.xml><?xml version="1.0" encoding="utf-8"?>
<calcChain xmlns="http://schemas.openxmlformats.org/spreadsheetml/2006/main">
  <c r="C12" i="33" l="1"/>
  <c r="C13" i="33"/>
  <c r="C16" i="33"/>
  <c r="D17" i="33"/>
  <c r="E17" i="33"/>
  <c r="C18" i="33"/>
  <c r="D18" i="33"/>
  <c r="E18" i="33"/>
  <c r="D19" i="33"/>
  <c r="E19" i="33"/>
  <c r="D20" i="33"/>
  <c r="E20" i="33"/>
  <c r="D22" i="33"/>
  <c r="E22" i="33"/>
  <c r="C23" i="33"/>
  <c r="E23" i="33"/>
  <c r="C24" i="33"/>
  <c r="D24" i="33"/>
  <c r="E24" i="33"/>
  <c r="D25" i="33"/>
  <c r="E25" i="33"/>
  <c r="C27" i="33"/>
  <c r="D27" i="33"/>
  <c r="E27" i="33"/>
  <c r="AJ29" i="33"/>
  <c r="D30" i="33"/>
  <c r="E30" i="33"/>
  <c r="D31" i="33"/>
  <c r="E31" i="33"/>
  <c r="D32" i="33"/>
  <c r="E32" i="33"/>
  <c r="C49" i="33"/>
  <c r="D55" i="33"/>
  <c r="E58" i="33"/>
  <c r="G58" i="33"/>
  <c r="I58" i="33"/>
  <c r="D59" i="33"/>
  <c r="E59" i="33"/>
  <c r="F59" i="33"/>
  <c r="G59" i="33"/>
  <c r="I59" i="33"/>
  <c r="D60" i="33"/>
  <c r="E60" i="33"/>
  <c r="F60" i="33"/>
  <c r="G60" i="33"/>
  <c r="I60" i="33"/>
  <c r="E61" i="33"/>
  <c r="F61" i="33"/>
  <c r="G61" i="33"/>
  <c r="I61" i="33"/>
  <c r="D62" i="33"/>
  <c r="F62" i="33"/>
  <c r="I62" i="33"/>
  <c r="D63" i="33"/>
  <c r="F63" i="33"/>
  <c r="I63" i="33"/>
  <c r="D65" i="33"/>
  <c r="F65" i="33"/>
  <c r="I65" i="33"/>
  <c r="D66" i="33"/>
  <c r="F66" i="33"/>
  <c r="I66" i="33"/>
  <c r="D67" i="33"/>
  <c r="F67" i="33"/>
  <c r="I67" i="33"/>
  <c r="D68" i="33"/>
  <c r="F68" i="33"/>
  <c r="I68" i="33"/>
  <c r="I69" i="33"/>
  <c r="I70" i="33"/>
  <c r="C71" i="33"/>
  <c r="I71" i="33"/>
  <c r="F72" i="33"/>
  <c r="G72" i="33"/>
  <c r="H72" i="33"/>
  <c r="I72" i="33"/>
  <c r="E73" i="33"/>
  <c r="F73" i="33"/>
  <c r="G73" i="33"/>
  <c r="I73" i="33"/>
  <c r="H74" i="33"/>
  <c r="I74" i="33"/>
  <c r="H75" i="33"/>
  <c r="H89" i="33"/>
  <c r="H94" i="33"/>
  <c r="AF1" i="31"/>
  <c r="AT1" i="31"/>
  <c r="BJ1" i="31"/>
  <c r="E2" i="31"/>
  <c r="E3" i="31"/>
  <c r="CM4" i="31"/>
  <c r="CO4" i="31"/>
  <c r="AF6" i="31"/>
  <c r="AT6" i="31"/>
  <c r="BN6" i="31"/>
  <c r="BD8" i="31"/>
  <c r="BE8" i="31"/>
  <c r="C9" i="31"/>
  <c r="F9" i="31"/>
  <c r="I9" i="31"/>
  <c r="J9" i="31"/>
  <c r="L9" i="31"/>
  <c r="M9" i="31"/>
  <c r="W9" i="31"/>
  <c r="X9" i="31"/>
  <c r="BD9" i="31"/>
  <c r="BE9" i="31"/>
  <c r="C10" i="31"/>
  <c r="D10" i="31"/>
  <c r="BJ10" i="31"/>
  <c r="BK10" i="31"/>
  <c r="BL10" i="31"/>
  <c r="BM10" i="31"/>
  <c r="BN10" i="31"/>
  <c r="C11" i="31"/>
  <c r="D11" i="31"/>
  <c r="BJ11" i="31"/>
  <c r="BK11" i="31"/>
  <c r="BL11" i="31"/>
  <c r="BM11" i="31"/>
  <c r="BN11" i="31"/>
  <c r="BH12" i="31"/>
  <c r="BJ12" i="31"/>
  <c r="BK12" i="31"/>
  <c r="BL12" i="31"/>
  <c r="BM12" i="31"/>
  <c r="BN12" i="31"/>
  <c r="AF13" i="31"/>
  <c r="BJ13" i="31"/>
  <c r="BK13" i="31"/>
  <c r="BL13" i="31"/>
  <c r="BN13" i="31"/>
  <c r="BH14" i="31"/>
  <c r="BJ14" i="31"/>
  <c r="BK14" i="31"/>
  <c r="BL14" i="31"/>
  <c r="BM14" i="31"/>
  <c r="BN14" i="31"/>
  <c r="BN15" i="31"/>
  <c r="CJ15" i="31"/>
  <c r="BN16" i="31"/>
  <c r="CJ16" i="31"/>
  <c r="R18" i="31"/>
  <c r="S18" i="31"/>
  <c r="T18" i="31"/>
  <c r="V18" i="31"/>
  <c r="W18" i="31"/>
  <c r="X18" i="31"/>
  <c r="Y18" i="31"/>
  <c r="Z18" i="31"/>
  <c r="AA18" i="31"/>
  <c r="AB18" i="31"/>
  <c r="AC18" i="31"/>
  <c r="AD18" i="31"/>
  <c r="AE18" i="31"/>
  <c r="AF18" i="31"/>
  <c r="AG18" i="31"/>
  <c r="AH18" i="31"/>
  <c r="AI18" i="31"/>
  <c r="AQ18" i="31"/>
  <c r="AR18" i="31"/>
  <c r="AS18" i="31"/>
  <c r="AT18" i="31"/>
  <c r="AU18" i="31"/>
  <c r="AW18" i="31"/>
  <c r="AX18" i="31"/>
  <c r="AY18" i="31"/>
  <c r="B19" i="31"/>
  <c r="F19" i="31"/>
  <c r="K19" i="31"/>
  <c r="L19" i="31"/>
  <c r="P19" i="31"/>
  <c r="Q19" i="31"/>
  <c r="R19" i="31"/>
  <c r="S19" i="31"/>
  <c r="T19" i="31"/>
  <c r="U19" i="31"/>
  <c r="V19" i="31"/>
  <c r="W19" i="31"/>
  <c r="X19" i="31"/>
  <c r="Y19" i="31"/>
  <c r="Z19" i="31"/>
  <c r="AA19" i="31"/>
  <c r="AB19" i="31"/>
  <c r="AC19" i="31"/>
  <c r="AD19" i="31"/>
  <c r="AE19" i="31"/>
  <c r="AF19" i="31"/>
  <c r="AG19" i="31"/>
  <c r="AH19" i="31"/>
  <c r="AI19" i="31"/>
  <c r="AQ19" i="31"/>
  <c r="AR19" i="31"/>
  <c r="AS19" i="31"/>
  <c r="AT19" i="31"/>
  <c r="AU19" i="31"/>
  <c r="AW19" i="31"/>
  <c r="AX19" i="31"/>
  <c r="AY19" i="31"/>
  <c r="AZ19" i="31"/>
  <c r="R20" i="31"/>
  <c r="S20" i="31"/>
  <c r="T20" i="31"/>
  <c r="V20" i="31"/>
  <c r="W20" i="31"/>
  <c r="X20" i="31"/>
  <c r="Y20" i="31"/>
  <c r="Z20" i="31"/>
  <c r="AA20" i="31"/>
  <c r="AB20" i="31"/>
  <c r="AC20" i="31"/>
  <c r="AD20" i="31"/>
  <c r="AE20" i="31"/>
  <c r="AF20" i="31"/>
  <c r="AG20" i="31"/>
  <c r="AH20" i="31"/>
  <c r="AI20" i="31"/>
  <c r="AQ20" i="31"/>
  <c r="AR20" i="31"/>
  <c r="AS20" i="31"/>
  <c r="AT20" i="31"/>
  <c r="AU20" i="31"/>
  <c r="AW20" i="31"/>
  <c r="AX20" i="31"/>
  <c r="AY20" i="31"/>
  <c r="R21" i="31"/>
  <c r="S21" i="31"/>
  <c r="T21" i="31"/>
  <c r="V21" i="31"/>
  <c r="W21" i="31"/>
  <c r="X21" i="31"/>
  <c r="Y21" i="31"/>
  <c r="Z21" i="31"/>
  <c r="AA21" i="31"/>
  <c r="AB21" i="31"/>
  <c r="AC21" i="31"/>
  <c r="AD21" i="31"/>
  <c r="AE21" i="31"/>
  <c r="AF21" i="31"/>
  <c r="AG21" i="31"/>
  <c r="AH21" i="31"/>
  <c r="AI21" i="31"/>
  <c r="AQ21" i="31"/>
  <c r="AR21" i="31"/>
  <c r="AS21" i="31"/>
  <c r="AT21" i="31"/>
  <c r="AU21" i="31"/>
  <c r="AW21" i="31"/>
  <c r="AX21" i="31"/>
  <c r="AY21" i="31"/>
  <c r="AS22" i="31"/>
  <c r="AT22" i="31"/>
  <c r="AU22" i="31"/>
  <c r="AX22" i="31"/>
  <c r="AT23" i="31"/>
  <c r="AU23" i="31"/>
  <c r="AS24" i="31"/>
  <c r="AT24" i="31"/>
  <c r="AU24" i="31"/>
  <c r="E25" i="31"/>
  <c r="G25" i="31"/>
  <c r="J25" i="31"/>
  <c r="K25" i="31"/>
  <c r="L25" i="31"/>
  <c r="M25" i="31"/>
  <c r="Q25" i="31"/>
  <c r="R25" i="31"/>
  <c r="S25" i="31"/>
  <c r="T25" i="31"/>
  <c r="V25" i="31"/>
  <c r="W25" i="31"/>
  <c r="X25" i="31"/>
  <c r="AA25" i="31"/>
  <c r="AB25" i="31"/>
  <c r="AD25" i="31"/>
  <c r="AE25" i="31"/>
  <c r="AG25" i="31"/>
  <c r="AH25" i="31"/>
  <c r="AI25" i="31"/>
  <c r="AK25" i="31"/>
  <c r="AL25" i="31"/>
  <c r="AM25" i="31"/>
  <c r="AN25" i="31"/>
  <c r="AO25" i="31"/>
  <c r="AP25" i="31"/>
  <c r="AT25" i="31"/>
  <c r="AU25" i="31"/>
  <c r="BC25" i="31"/>
  <c r="BD25" i="31"/>
  <c r="AU26" i="31"/>
  <c r="BC34" i="31"/>
  <c r="BC35" i="31"/>
  <c r="BC37" i="31"/>
  <c r="BJ50" i="31"/>
  <c r="BC53" i="31"/>
  <c r="DS55" i="31"/>
  <c r="DT55" i="31"/>
  <c r="DX55" i="31"/>
  <c r="DS56" i="31"/>
  <c r="DT56" i="31"/>
  <c r="DN57" i="31"/>
  <c r="DS57" i="31"/>
  <c r="DT57" i="31"/>
  <c r="DX57" i="31"/>
  <c r="DN58" i="31"/>
  <c r="DS58" i="31"/>
  <c r="DT58" i="31"/>
  <c r="BC59" i="31"/>
  <c r="DN59" i="31"/>
  <c r="DS59" i="31"/>
  <c r="DT59" i="31"/>
  <c r="DN60" i="31"/>
  <c r="DS60" i="31"/>
  <c r="DT60" i="31"/>
  <c r="DS61" i="31"/>
  <c r="DT61" i="31"/>
  <c r="W65" i="31"/>
  <c r="A66" i="31"/>
  <c r="W66" i="31"/>
  <c r="A67" i="31"/>
  <c r="M71" i="31"/>
  <c r="N71" i="31"/>
  <c r="O71" i="31"/>
  <c r="R71" i="31"/>
  <c r="S71" i="31"/>
  <c r="M72" i="31"/>
  <c r="N72" i="31"/>
  <c r="O72" i="31"/>
  <c r="R72" i="31"/>
  <c r="S72" i="31"/>
  <c r="B77" i="31"/>
  <c r="C77" i="31"/>
  <c r="D77" i="31"/>
  <c r="E77" i="31"/>
  <c r="F77" i="31"/>
  <c r="G77" i="31"/>
  <c r="H77" i="31"/>
  <c r="I77" i="31"/>
  <c r="J77" i="31"/>
  <c r="K77" i="31"/>
  <c r="L77" i="31"/>
  <c r="M77" i="31"/>
  <c r="N77" i="31"/>
  <c r="O77" i="31"/>
  <c r="P77" i="31"/>
  <c r="Q77" i="31"/>
  <c r="R77" i="31"/>
  <c r="S77" i="31"/>
  <c r="T77" i="31"/>
  <c r="U77" i="31"/>
  <c r="V77" i="31"/>
  <c r="W77" i="31"/>
  <c r="X77" i="31"/>
  <c r="A78" i="31"/>
  <c r="B78" i="31"/>
  <c r="C78" i="31"/>
  <c r="D78" i="31"/>
  <c r="E78" i="31"/>
  <c r="F78" i="31"/>
  <c r="G78" i="31"/>
  <c r="H78" i="31"/>
  <c r="I78" i="31"/>
  <c r="J78" i="31"/>
  <c r="K78" i="31"/>
  <c r="L78" i="31"/>
  <c r="M78" i="31"/>
  <c r="N78" i="31"/>
  <c r="O78" i="31"/>
  <c r="P78" i="31"/>
  <c r="Q78" i="31"/>
  <c r="S78" i="31"/>
  <c r="T78" i="31"/>
  <c r="U78" i="31"/>
  <c r="V78" i="31"/>
  <c r="W78" i="31"/>
  <c r="X78" i="31"/>
  <c r="B79" i="31"/>
  <c r="C79" i="31"/>
  <c r="D79" i="31"/>
  <c r="E79" i="31"/>
  <c r="F79" i="31"/>
  <c r="G79" i="31"/>
  <c r="H79" i="31"/>
  <c r="I79" i="31"/>
  <c r="J79" i="31"/>
  <c r="K79" i="31"/>
  <c r="L79" i="31"/>
  <c r="M79" i="31"/>
  <c r="N79" i="31"/>
  <c r="O79" i="31"/>
  <c r="P79" i="31"/>
  <c r="Q79" i="31"/>
  <c r="S79" i="31"/>
  <c r="T79" i="31"/>
  <c r="U79" i="31"/>
  <c r="V79" i="31"/>
  <c r="W79" i="31"/>
  <c r="X79" i="31"/>
  <c r="A80" i="31"/>
  <c r="B80" i="31"/>
  <c r="C80" i="31"/>
  <c r="D80" i="31"/>
  <c r="E80" i="31"/>
  <c r="F80" i="31"/>
  <c r="G80" i="31"/>
  <c r="H80" i="31"/>
  <c r="I80" i="31"/>
  <c r="J80" i="31"/>
  <c r="K80" i="31"/>
  <c r="L80" i="31"/>
  <c r="M80" i="31"/>
  <c r="N80" i="31"/>
  <c r="O80" i="31"/>
  <c r="P80" i="31"/>
  <c r="Q80" i="31"/>
  <c r="S80" i="31"/>
  <c r="T80" i="31"/>
  <c r="U80" i="31"/>
  <c r="V80" i="31"/>
  <c r="W80" i="31"/>
  <c r="X80" i="31"/>
  <c r="A81" i="31"/>
  <c r="B81" i="31"/>
  <c r="C81" i="31"/>
  <c r="D81" i="31"/>
  <c r="E81" i="31"/>
  <c r="F81" i="31"/>
  <c r="G81" i="31"/>
  <c r="H81" i="31"/>
  <c r="I81" i="31"/>
  <c r="J81" i="31"/>
  <c r="K81" i="31"/>
  <c r="L81" i="31"/>
  <c r="M81" i="31"/>
  <c r="N81" i="31"/>
  <c r="O81" i="31"/>
  <c r="P81" i="31"/>
  <c r="Q81" i="31"/>
  <c r="S81" i="31"/>
  <c r="T81" i="31"/>
  <c r="U81" i="31"/>
  <c r="V81" i="31"/>
  <c r="W81" i="31"/>
  <c r="X81" i="31"/>
  <c r="B82" i="31"/>
  <c r="W82" i="31"/>
  <c r="B83" i="31"/>
  <c r="W83" i="31"/>
  <c r="B84" i="31"/>
  <c r="W84" i="31"/>
  <c r="X84" i="31"/>
  <c r="B85" i="31"/>
  <c r="W85" i="31"/>
  <c r="B86" i="31"/>
  <c r="W86" i="31"/>
  <c r="X86" i="31"/>
  <c r="A94" i="31"/>
  <c r="A95" i="31"/>
  <c r="C99" i="31"/>
  <c r="D99" i="31"/>
  <c r="C100" i="31"/>
  <c r="D100" i="31"/>
  <c r="A101" i="31"/>
  <c r="C101" i="31"/>
  <c r="C104" i="31"/>
  <c r="D104" i="31"/>
  <c r="E104" i="31"/>
  <c r="C105" i="31"/>
  <c r="D105" i="31"/>
  <c r="E105" i="31"/>
  <c r="D106" i="31"/>
  <c r="E106" i="31"/>
  <c r="C107" i="31"/>
  <c r="D107" i="31"/>
  <c r="E107" i="31"/>
  <c r="D108" i="31"/>
  <c r="E108" i="31"/>
  <c r="D109" i="31"/>
  <c r="E109" i="31"/>
  <c r="C110" i="31"/>
  <c r="D110" i="31"/>
  <c r="E110" i="31"/>
  <c r="C111" i="31"/>
  <c r="D111" i="31"/>
  <c r="E111" i="31"/>
  <c r="D112" i="31"/>
  <c r="E112" i="31"/>
  <c r="C113" i="31"/>
  <c r="D113" i="31"/>
  <c r="E113" i="31"/>
  <c r="C114" i="31"/>
  <c r="D114" i="31"/>
  <c r="E114" i="31"/>
  <c r="C115" i="31"/>
  <c r="D115" i="31"/>
  <c r="E115" i="31"/>
  <c r="E116" i="31"/>
  <c r="E117" i="31"/>
  <c r="B118" i="31"/>
  <c r="E118" i="31"/>
  <c r="B119" i="31"/>
  <c r="E119" i="31"/>
  <c r="I6" i="30"/>
  <c r="J6" i="30"/>
  <c r="E9" i="30"/>
  <c r="F9" i="30"/>
  <c r="E10" i="30"/>
  <c r="F10" i="30"/>
  <c r="E12" i="30"/>
  <c r="F12" i="30"/>
  <c r="F13" i="30"/>
  <c r="F14" i="30"/>
  <c r="F15" i="30"/>
  <c r="F17" i="30"/>
  <c r="E18" i="30"/>
  <c r="F18" i="30"/>
  <c r="E19" i="30"/>
  <c r="F19" i="30"/>
  <c r="F21" i="30"/>
  <c r="F43" i="30"/>
  <c r="D57" i="33"/>
  <c r="F20" i="30"/>
  <c r="F23" i="30"/>
  <c r="F24" i="30"/>
  <c r="F27" i="30"/>
  <c r="F30" i="30"/>
  <c r="F32" i="30"/>
  <c r="F33" i="30"/>
  <c r="F35" i="30"/>
  <c r="F37" i="30"/>
  <c r="E39" i="30"/>
  <c r="F39" i="30"/>
  <c r="E40" i="30"/>
  <c r="F40" i="30"/>
  <c r="E41" i="30"/>
  <c r="F41" i="30"/>
  <c r="F42" i="30"/>
  <c r="D45" i="30"/>
  <c r="E45" i="30"/>
  <c r="F45" i="30"/>
  <c r="F46" i="30"/>
  <c r="F49" i="30"/>
  <c r="F50" i="30"/>
  <c r="E54" i="30"/>
  <c r="F54" i="30"/>
  <c r="E55" i="30"/>
  <c r="F55" i="30"/>
  <c r="E56" i="30"/>
  <c r="F56" i="30"/>
  <c r="F57" i="30"/>
  <c r="E61" i="30"/>
  <c r="F61" i="30"/>
  <c r="E62" i="30"/>
  <c r="F62" i="30"/>
  <c r="E63" i="30"/>
  <c r="F63" i="30"/>
  <c r="E65" i="30"/>
  <c r="F65" i="30"/>
  <c r="E66" i="30"/>
  <c r="F66" i="30"/>
  <c r="E67" i="30"/>
  <c r="F67" i="30"/>
  <c r="E68" i="30"/>
  <c r="F68" i="30"/>
  <c r="E69" i="30"/>
  <c r="F69" i="30"/>
  <c r="E70" i="30"/>
  <c r="F70" i="30"/>
  <c r="E72" i="30"/>
  <c r="F72" i="30"/>
  <c r="E74" i="30"/>
  <c r="F74" i="30"/>
  <c r="E75" i="30"/>
  <c r="F75" i="30"/>
  <c r="E76" i="30"/>
  <c r="F76" i="30"/>
  <c r="E78" i="30"/>
  <c r="F78" i="30"/>
  <c r="E80" i="30"/>
  <c r="F80" i="30"/>
  <c r="E81" i="30"/>
  <c r="F81" i="30"/>
  <c r="E82" i="30"/>
  <c r="F82" i="30"/>
  <c r="E83" i="30"/>
  <c r="F83" i="30"/>
  <c r="E84" i="30"/>
  <c r="F84" i="30"/>
  <c r="E85" i="30"/>
  <c r="F85" i="30"/>
  <c r="E86" i="30"/>
  <c r="F86" i="30"/>
  <c r="E87" i="30"/>
  <c r="F87" i="30"/>
  <c r="E88" i="30"/>
  <c r="F88" i="30"/>
  <c r="E90" i="30"/>
  <c r="F90" i="30"/>
  <c r="D91" i="30"/>
  <c r="F91" i="30"/>
  <c r="E93" i="30"/>
  <c r="F93" i="30"/>
  <c r="E94" i="30"/>
  <c r="F94" i="30"/>
  <c r="E96" i="30"/>
  <c r="F96" i="30"/>
  <c r="E97" i="30"/>
  <c r="F97" i="30"/>
  <c r="E99" i="30"/>
  <c r="F99" i="30"/>
  <c r="E100" i="30"/>
  <c r="F100" i="30"/>
  <c r="E101" i="30"/>
  <c r="F101" i="30"/>
  <c r="E103" i="30"/>
  <c r="F103" i="30"/>
  <c r="E104" i="30"/>
  <c r="F104" i="30"/>
  <c r="E105" i="30"/>
  <c r="F105" i="30"/>
  <c r="E106" i="30"/>
  <c r="F106" i="30"/>
  <c r="E107" i="30"/>
  <c r="F107" i="30"/>
  <c r="E108" i="30"/>
  <c r="F108" i="30"/>
  <c r="E109" i="30"/>
  <c r="F109" i="30"/>
  <c r="E111" i="30"/>
  <c r="F111" i="30"/>
  <c r="E112" i="30"/>
  <c r="F112" i="30"/>
  <c r="E113" i="30"/>
  <c r="F113" i="30"/>
  <c r="E114" i="30"/>
  <c r="F114" i="30"/>
  <c r="E116" i="30"/>
  <c r="F116" i="30"/>
  <c r="F117" i="30"/>
  <c r="E119" i="30"/>
  <c r="F119" i="30"/>
  <c r="E120" i="30"/>
  <c r="F120" i="30"/>
  <c r="E121" i="30"/>
  <c r="F121" i="30"/>
  <c r="E122" i="30"/>
  <c r="F122" i="30"/>
  <c r="E123" i="30"/>
  <c r="F123" i="30"/>
  <c r="E124" i="30"/>
  <c r="F124" i="30"/>
  <c r="E125" i="30"/>
  <c r="F125" i="30"/>
  <c r="E127" i="30"/>
  <c r="F127" i="30"/>
  <c r="E128" i="30"/>
  <c r="F128" i="30"/>
  <c r="E129" i="30"/>
  <c r="F129" i="30"/>
  <c r="E130" i="30"/>
  <c r="F130" i="30"/>
  <c r="F133" i="30"/>
  <c r="G133" i="30"/>
  <c r="E138" i="30"/>
  <c r="F138" i="30"/>
  <c r="E140" i="30"/>
  <c r="F140" i="30"/>
  <c r="E141" i="30"/>
  <c r="F141" i="30"/>
  <c r="E142" i="30"/>
  <c r="F142" i="30"/>
  <c r="E143" i="30"/>
  <c r="F143" i="30"/>
  <c r="E144" i="30"/>
  <c r="F144" i="30"/>
  <c r="E146" i="30"/>
  <c r="F146" i="30"/>
  <c r="F148" i="30"/>
  <c r="I12" i="28"/>
  <c r="I13" i="28"/>
  <c r="I14" i="28"/>
  <c r="I15" i="28"/>
  <c r="W1" i="18"/>
  <c r="W2" i="18"/>
  <c r="W3" i="18"/>
  <c r="C6" i="18"/>
  <c r="AD6" i="18"/>
  <c r="AE6" i="18"/>
  <c r="AF6" i="18"/>
  <c r="AG6" i="18"/>
  <c r="AH6" i="18"/>
  <c r="AI6" i="18"/>
  <c r="AJ6" i="18"/>
  <c r="AK6" i="18"/>
  <c r="AL6" i="18"/>
  <c r="AM6" i="18"/>
  <c r="AN6" i="18"/>
  <c r="AO6" i="18"/>
  <c r="AP6" i="18"/>
  <c r="AQ6" i="18"/>
  <c r="AR6" i="18"/>
  <c r="AS6" i="18"/>
  <c r="AT6" i="18"/>
  <c r="C7" i="18"/>
  <c r="E7" i="18"/>
  <c r="F7" i="18"/>
  <c r="G7" i="18"/>
  <c r="H7" i="18"/>
  <c r="I7" i="18"/>
  <c r="K7" i="18"/>
  <c r="C8" i="18"/>
  <c r="E8" i="18"/>
  <c r="F8" i="18"/>
  <c r="G8" i="18"/>
  <c r="H8" i="18"/>
  <c r="I8" i="18"/>
  <c r="K8" i="18"/>
  <c r="Y8" i="18"/>
  <c r="C9" i="18"/>
  <c r="E9" i="18"/>
  <c r="F9" i="18"/>
  <c r="G9" i="18"/>
  <c r="H9" i="18"/>
  <c r="I9" i="18"/>
  <c r="K9" i="18"/>
  <c r="AT9" i="18"/>
  <c r="C10" i="18"/>
  <c r="E10" i="18"/>
  <c r="H10" i="18"/>
  <c r="Y10" i="18"/>
  <c r="C11" i="18"/>
  <c r="D11" i="18"/>
  <c r="E11" i="18"/>
  <c r="F11" i="18"/>
  <c r="G11" i="18"/>
  <c r="H11" i="18"/>
  <c r="I11" i="18"/>
  <c r="J11" i="18"/>
  <c r="K11" i="18"/>
  <c r="M10" i="18"/>
  <c r="V11" i="18"/>
  <c r="Y11" i="18"/>
  <c r="Y33" i="18"/>
  <c r="D13" i="18"/>
  <c r="Y13" i="18"/>
  <c r="D14" i="18"/>
  <c r="Y14" i="18"/>
  <c r="D15" i="18"/>
  <c r="D16" i="18"/>
  <c r="D17" i="18"/>
  <c r="X19" i="18"/>
  <c r="Y19" i="18"/>
  <c r="Z19" i="18"/>
  <c r="AA19" i="18"/>
  <c r="AB19" i="18"/>
  <c r="AC19" i="18"/>
  <c r="AD19" i="18"/>
  <c r="AE19" i="18"/>
  <c r="AF19" i="18"/>
  <c r="AG19" i="18"/>
  <c r="AH19" i="18"/>
  <c r="AI19" i="18"/>
  <c r="AJ19" i="18"/>
  <c r="AK19" i="18"/>
  <c r="AL19" i="18"/>
  <c r="AM19" i="18"/>
  <c r="AN19" i="18"/>
  <c r="AO19" i="18"/>
  <c r="AP19" i="18"/>
  <c r="AQ19" i="18"/>
  <c r="AR19" i="18"/>
  <c r="AS19" i="18"/>
  <c r="AT19" i="18"/>
  <c r="X20" i="18"/>
  <c r="Y20" i="18"/>
  <c r="V21" i="18"/>
  <c r="X21" i="18"/>
  <c r="Y21" i="18"/>
  <c r="Z21" i="18"/>
  <c r="V22" i="18"/>
  <c r="X22" i="18"/>
  <c r="X28" i="18"/>
  <c r="Y22" i="18"/>
  <c r="Y28" i="18"/>
  <c r="Y34" i="18"/>
  <c r="V23" i="18"/>
  <c r="X23" i="18"/>
  <c r="Y23" i="18"/>
  <c r="Y35" i="18"/>
  <c r="X27" i="18"/>
  <c r="Y27" i="18"/>
  <c r="Z27" i="18"/>
  <c r="AA27" i="18"/>
  <c r="AA28" i="18"/>
  <c r="X30" i="18"/>
  <c r="AA31" i="18"/>
  <c r="AB31" i="18"/>
  <c r="AC31" i="18"/>
  <c r="AD31" i="18"/>
  <c r="AE31" i="18"/>
  <c r="AF31" i="18"/>
  <c r="AG31" i="18"/>
  <c r="AH31" i="18"/>
  <c r="AI31" i="18"/>
  <c r="AJ31" i="18"/>
  <c r="AK31" i="18"/>
  <c r="AL31" i="18"/>
  <c r="AM31" i="18"/>
  <c r="AN31" i="18"/>
  <c r="AO31" i="18"/>
  <c r="AP31" i="18"/>
  <c r="AQ31" i="18"/>
  <c r="AR31" i="18"/>
  <c r="AS31" i="18"/>
  <c r="AT31" i="18"/>
  <c r="X32" i="18"/>
  <c r="X33" i="18"/>
  <c r="X43" i="18"/>
  <c r="U43" i="18"/>
  <c r="Y43" i="18"/>
  <c r="Z43" i="18"/>
  <c r="AB43" i="18"/>
  <c r="AC43" i="18"/>
  <c r="AD43" i="18"/>
  <c r="AE43" i="18"/>
  <c r="AF43" i="18"/>
  <c r="AG43" i="18"/>
  <c r="AH43" i="18"/>
  <c r="AI43" i="18"/>
  <c r="AJ43" i="18"/>
  <c r="AK43" i="18"/>
  <c r="AL43" i="18"/>
  <c r="AM43" i="18"/>
  <c r="AN43" i="18"/>
  <c r="AO43" i="18"/>
  <c r="AP43" i="18"/>
  <c r="AQ43" i="18"/>
  <c r="AR43" i="18"/>
  <c r="AS43" i="18"/>
  <c r="AT43" i="18"/>
  <c r="C44" i="18"/>
  <c r="Z44" i="18"/>
  <c r="AA45" i="18"/>
  <c r="X46" i="18"/>
  <c r="Y46" i="18"/>
  <c r="C48" i="18"/>
  <c r="E48" i="18"/>
  <c r="G48" i="18"/>
  <c r="F48" i="18"/>
  <c r="X48" i="18"/>
  <c r="Y48" i="18"/>
  <c r="B49" i="18"/>
  <c r="C49" i="18"/>
  <c r="D49" i="18"/>
  <c r="E49" i="18"/>
  <c r="G49" i="18"/>
  <c r="F49" i="18"/>
  <c r="Y49" i="18"/>
  <c r="U49" i="18"/>
  <c r="Z49" i="18"/>
  <c r="B50" i="18"/>
  <c r="C50" i="18"/>
  <c r="D50" i="18"/>
  <c r="E50" i="18"/>
  <c r="B51" i="18"/>
  <c r="C51" i="18"/>
  <c r="E51" i="18"/>
  <c r="AW51" i="18"/>
  <c r="AR58" i="18"/>
  <c r="X58" i="18"/>
  <c r="B52" i="18"/>
  <c r="E52" i="18"/>
  <c r="X52" i="18"/>
  <c r="B53" i="18"/>
  <c r="E53" i="18"/>
  <c r="B54" i="18"/>
  <c r="E54" i="18"/>
  <c r="B55" i="18"/>
  <c r="E55" i="18"/>
  <c r="B56" i="18"/>
  <c r="E56" i="18"/>
  <c r="B57" i="18"/>
  <c r="E57" i="18"/>
  <c r="B58" i="18"/>
  <c r="E58" i="18"/>
  <c r="B59" i="18"/>
  <c r="E59" i="18"/>
  <c r="B60" i="18"/>
  <c r="E60" i="18"/>
  <c r="A2" i="16"/>
  <c r="A3" i="16"/>
  <c r="A4" i="16"/>
  <c r="F9" i="16"/>
  <c r="D10" i="16"/>
  <c r="F10" i="16"/>
  <c r="F11" i="16"/>
  <c r="D13" i="16"/>
  <c r="F13" i="16"/>
  <c r="D14" i="16"/>
  <c r="F14" i="16"/>
  <c r="D15" i="16"/>
  <c r="F15" i="16"/>
  <c r="D16" i="16"/>
  <c r="F16" i="16"/>
  <c r="D17" i="16"/>
  <c r="F17" i="16"/>
  <c r="F18" i="16"/>
  <c r="B4" i="14"/>
  <c r="B5" i="14"/>
  <c r="C8" i="14"/>
  <c r="E18" i="14"/>
  <c r="E19" i="14"/>
  <c r="E20" i="14"/>
  <c r="E22" i="14"/>
  <c r="E23" i="14"/>
  <c r="E24" i="14"/>
  <c r="E25" i="14"/>
  <c r="A8" i="13"/>
  <c r="A9" i="13"/>
  <c r="G11" i="13"/>
  <c r="AN12" i="13"/>
  <c r="AN15" i="13"/>
  <c r="G17" i="13"/>
  <c r="AN17" i="13"/>
  <c r="G21" i="13"/>
  <c r="G22" i="13"/>
  <c r="G23" i="13"/>
  <c r="G24" i="13"/>
  <c r="G26" i="13"/>
  <c r="G27" i="13"/>
  <c r="C56" i="33"/>
  <c r="D16" i="33"/>
  <c r="E16" i="33"/>
  <c r="D56" i="33"/>
  <c r="D64" i="33"/>
  <c r="I57" i="33"/>
  <c r="G57" i="33"/>
  <c r="G75" i="33"/>
  <c r="E57" i="33"/>
  <c r="F57" i="33"/>
  <c r="I10" i="18"/>
  <c r="G10" i="18"/>
  <c r="Z7" i="18"/>
  <c r="AB7" i="18"/>
  <c r="AD7" i="18"/>
  <c r="AG7" i="18"/>
  <c r="AI7" i="18"/>
  <c r="AK7" i="18"/>
  <c r="AO7" i="18"/>
  <c r="AR7" i="18"/>
  <c r="AT7" i="18"/>
  <c r="AA7" i="18"/>
  <c r="AC7" i="18"/>
  <c r="AE7" i="18"/>
  <c r="AF7" i="18"/>
  <c r="AH7" i="18"/>
  <c r="AJ7" i="18"/>
  <c r="AL7" i="18"/>
  <c r="AN7" i="18"/>
  <c r="AP7" i="18"/>
  <c r="AQ7" i="18"/>
  <c r="AS7" i="18"/>
  <c r="AM7" i="18"/>
  <c r="BA12" i="18"/>
  <c r="AV9" i="18"/>
  <c r="BA8" i="18"/>
  <c r="AB32" i="18"/>
  <c r="V32" i="18"/>
  <c r="AC32" i="18"/>
  <c r="AD32" i="18"/>
  <c r="AE32" i="18"/>
  <c r="AG32" i="18"/>
  <c r="AH32" i="18"/>
  <c r="AI32" i="18"/>
  <c r="AJ32" i="18"/>
  <c r="AK32" i="18"/>
  <c r="AF32" i="18"/>
  <c r="X34" i="18"/>
  <c r="X35" i="18"/>
  <c r="AT36" i="18"/>
  <c r="AS36" i="18"/>
  <c r="AR36" i="18"/>
  <c r="AQ36" i="18"/>
  <c r="AP36" i="18"/>
  <c r="AO36" i="18"/>
  <c r="AN36" i="18"/>
  <c r="AM36" i="18"/>
  <c r="AL36" i="18"/>
  <c r="AK36" i="18"/>
  <c r="AJ36" i="18"/>
  <c r="AI36" i="18"/>
  <c r="AH36" i="18"/>
  <c r="AG36" i="18"/>
  <c r="AF36" i="18"/>
  <c r="AE36" i="18"/>
  <c r="AD36" i="18"/>
  <c r="AC36" i="18"/>
  <c r="AB36" i="18"/>
  <c r="AA36" i="18"/>
  <c r="Z36" i="18"/>
  <c r="Y36" i="18"/>
  <c r="X36" i="18"/>
  <c r="AU51" i="18"/>
  <c r="AR55" i="18"/>
  <c r="X55" i="18"/>
  <c r="X53" i="18"/>
  <c r="C15" i="33"/>
  <c r="I56" i="33"/>
  <c r="I75" i="33"/>
  <c r="C75" i="33"/>
  <c r="F56" i="33"/>
  <c r="D75" i="33"/>
  <c r="D15" i="33"/>
  <c r="D28" i="33"/>
  <c r="D36" i="33"/>
  <c r="F64" i="33"/>
  <c r="D21" i="33"/>
  <c r="E21" i="33"/>
  <c r="I64" i="33"/>
  <c r="E76" i="33"/>
  <c r="I76" i="33"/>
  <c r="D37" i="33"/>
  <c r="E37" i="33"/>
  <c r="E75" i="33"/>
  <c r="K10" i="18"/>
  <c r="Z22" i="18"/>
  <c r="Z28" i="18"/>
  <c r="Z20" i="18"/>
  <c r="AB20" i="18"/>
  <c r="AD20" i="18"/>
  <c r="AG20" i="18"/>
  <c r="AI20" i="18"/>
  <c r="AK20" i="18"/>
  <c r="AO20" i="18"/>
  <c r="AR20" i="18"/>
  <c r="AT20" i="18"/>
  <c r="AA20" i="18"/>
  <c r="AC20" i="18"/>
  <c r="AE20" i="18"/>
  <c r="AF20" i="18"/>
  <c r="AH20" i="18"/>
  <c r="AJ20" i="18"/>
  <c r="AL20" i="18"/>
  <c r="AN20" i="18"/>
  <c r="AP20" i="18"/>
  <c r="AQ20" i="18"/>
  <c r="AS20" i="18"/>
  <c r="AM20" i="18"/>
  <c r="BA9" i="18"/>
  <c r="AX52" i="18"/>
  <c r="AR59" i="18"/>
  <c r="X59" i="18"/>
  <c r="AV52" i="18"/>
  <c r="AR56" i="18"/>
  <c r="X56" i="18"/>
  <c r="D33" i="33"/>
  <c r="C28" i="33"/>
  <c r="E15" i="33"/>
  <c r="F76" i="33"/>
  <c r="F75" i="33"/>
  <c r="Z30" i="18"/>
  <c r="Z8" i="18"/>
  <c r="Z10" i="18"/>
  <c r="AA30" i="18"/>
  <c r="AB30" i="18"/>
  <c r="AC30" i="18"/>
  <c r="AD30" i="18"/>
  <c r="AE30" i="18"/>
  <c r="AF30" i="18"/>
  <c r="AG30" i="18"/>
  <c r="AH30" i="18"/>
  <c r="AI30" i="18"/>
  <c r="AJ30" i="18"/>
  <c r="AK30" i="18"/>
  <c r="AL30" i="18"/>
  <c r="AM30" i="18"/>
  <c r="AN30" i="18"/>
  <c r="AO30" i="18"/>
  <c r="AP30" i="18"/>
  <c r="AQ30" i="18"/>
  <c r="AR30" i="18"/>
  <c r="AS30" i="18"/>
  <c r="AT30" i="18"/>
  <c r="Z34" i="18"/>
  <c r="Z48" i="18"/>
  <c r="Z52" i="18"/>
  <c r="Z23" i="18"/>
  <c r="AB23" i="18"/>
  <c r="AB48" i="18"/>
  <c r="AB52" i="18"/>
  <c r="AD23" i="18"/>
  <c r="AD48" i="18"/>
  <c r="AD52" i="18"/>
  <c r="AG48" i="18"/>
  <c r="AG52" i="18"/>
  <c r="AG23" i="18"/>
  <c r="AI48" i="18"/>
  <c r="AI52" i="18"/>
  <c r="AI23" i="18"/>
  <c r="AK23" i="18"/>
  <c r="AK48" i="18"/>
  <c r="AK52" i="18"/>
  <c r="AO48" i="18"/>
  <c r="AO52" i="18"/>
  <c r="AO23" i="18"/>
  <c r="AR48" i="18"/>
  <c r="AR52" i="18"/>
  <c r="AR23" i="18"/>
  <c r="AT23" i="18"/>
  <c r="AT48" i="18"/>
  <c r="AT52" i="18"/>
  <c r="AA48" i="18"/>
  <c r="AA52" i="18"/>
  <c r="AA23" i="18"/>
  <c r="AC48" i="18"/>
  <c r="AC52" i="18"/>
  <c r="AC23" i="18"/>
  <c r="AE48" i="18"/>
  <c r="AE52" i="18"/>
  <c r="AE23" i="18"/>
  <c r="AF23" i="18"/>
  <c r="AF48" i="18"/>
  <c r="AF52" i="18"/>
  <c r="AH48" i="18"/>
  <c r="AH52" i="18"/>
  <c r="AH23" i="18"/>
  <c r="AJ48" i="18"/>
  <c r="AJ52" i="18"/>
  <c r="AJ23" i="18"/>
  <c r="AL23" i="18"/>
  <c r="AL48" i="18"/>
  <c r="AL52" i="18"/>
  <c r="AN23" i="18"/>
  <c r="AN48" i="18"/>
  <c r="AN52" i="18"/>
  <c r="AP48" i="18"/>
  <c r="AP52" i="18"/>
  <c r="AP23" i="18"/>
  <c r="AQ23" i="18"/>
  <c r="AQ48" i="18"/>
  <c r="AQ52" i="18"/>
  <c r="AS48" i="18"/>
  <c r="AS52" i="18"/>
  <c r="AS23" i="18"/>
  <c r="AM23" i="18"/>
  <c r="AM48" i="18"/>
  <c r="AM52" i="18"/>
  <c r="Z9" i="18"/>
  <c r="AU9" i="18"/>
  <c r="AV11" i="18"/>
  <c r="BG12" i="18"/>
  <c r="D38" i="33"/>
  <c r="I77" i="33"/>
  <c r="BT9" i="18"/>
  <c r="AS9" i="18"/>
  <c r="BS9" i="18"/>
  <c r="AR9" i="18"/>
  <c r="BA10" i="18"/>
  <c r="BB8" i="18"/>
  <c r="C36" i="33"/>
  <c r="C38" i="33"/>
  <c r="E28" i="33"/>
  <c r="E36" i="33"/>
  <c r="E38" i="33"/>
  <c r="AA34" i="18"/>
  <c r="AA35" i="18"/>
  <c r="AA8" i="18"/>
  <c r="AB34" i="18"/>
  <c r="AB35" i="18"/>
  <c r="AB8" i="18"/>
  <c r="AC34" i="18"/>
  <c r="AC35" i="18"/>
  <c r="AC8" i="18"/>
  <c r="AD34" i="18"/>
  <c r="AD35" i="18"/>
  <c r="AD8" i="18"/>
  <c r="AE34" i="18"/>
  <c r="AE35" i="18"/>
  <c r="AE8" i="18"/>
  <c r="AF34" i="18"/>
  <c r="AF35" i="18"/>
  <c r="AF8" i="18"/>
  <c r="AG34" i="18"/>
  <c r="AG35" i="18"/>
  <c r="AG8" i="18"/>
  <c r="AH34" i="18"/>
  <c r="AH35" i="18"/>
  <c r="AH8" i="18"/>
  <c r="AI34" i="18"/>
  <c r="AI35" i="18"/>
  <c r="AI8" i="18"/>
  <c r="AJ34" i="18"/>
  <c r="AJ35" i="18"/>
  <c r="AJ8" i="18"/>
  <c r="AK34" i="18"/>
  <c r="AK35" i="18"/>
  <c r="AK8" i="18"/>
  <c r="AL34" i="18"/>
  <c r="AL35" i="18"/>
  <c r="AL8" i="18"/>
  <c r="AM34" i="18"/>
  <c r="AM35" i="18"/>
  <c r="AM8" i="18"/>
  <c r="AN34" i="18"/>
  <c r="AN35" i="18"/>
  <c r="AN8" i="18"/>
  <c r="AO34" i="18"/>
  <c r="AO35" i="18"/>
  <c r="AO8" i="18"/>
  <c r="AP34" i="18"/>
  <c r="AP35" i="18"/>
  <c r="AP8" i="18"/>
  <c r="AQ34" i="18"/>
  <c r="AQ35" i="18"/>
  <c r="AQ8" i="18"/>
  <c r="AR34" i="18"/>
  <c r="AR35" i="18"/>
  <c r="AR8" i="18"/>
  <c r="AR10" i="18"/>
  <c r="AS34" i="18"/>
  <c r="AS35" i="18"/>
  <c r="AS8" i="18"/>
  <c r="AS10" i="18"/>
  <c r="AT34" i="18"/>
  <c r="AT35" i="18"/>
  <c r="AT8" i="18"/>
  <c r="AT10" i="18"/>
  <c r="BB9" i="18"/>
  <c r="Z35" i="18"/>
  <c r="E33" i="33"/>
  <c r="D34" i="33"/>
  <c r="Z11" i="18"/>
  <c r="Z13" i="18"/>
  <c r="Z14" i="18"/>
  <c r="AR11" i="18"/>
  <c r="AR13" i="18"/>
  <c r="AS11" i="18"/>
  <c r="AS13" i="18"/>
  <c r="AT11" i="18"/>
  <c r="AT13" i="18"/>
  <c r="E34" i="33"/>
  <c r="H76" i="33"/>
  <c r="Z33" i="18"/>
  <c r="F50" i="18"/>
  <c r="G50" i="18"/>
  <c r="Y44" i="18"/>
  <c r="Y52" i="18"/>
  <c r="Y53" i="18"/>
  <c r="Z46" i="18"/>
  <c r="Z53" i="18"/>
  <c r="AA9" i="18"/>
  <c r="AA10" i="18"/>
  <c r="BB10" i="18"/>
  <c r="BC8" i="18"/>
  <c r="AR46" i="18"/>
  <c r="AR53" i="18"/>
  <c r="AR33" i="18"/>
  <c r="AS46" i="18"/>
  <c r="AS53" i="18"/>
  <c r="AS33" i="18"/>
  <c r="AT46" i="18"/>
  <c r="AT53" i="18"/>
  <c r="AT33" i="18"/>
  <c r="AA11" i="18"/>
  <c r="AA13" i="18"/>
  <c r="AA14" i="18"/>
  <c r="BC9" i="18"/>
  <c r="AA33" i="18"/>
  <c r="AA46" i="18"/>
  <c r="AA53" i="18"/>
  <c r="F51" i="18"/>
  <c r="G51" i="18"/>
  <c r="AB9" i="18"/>
  <c r="AB10" i="18"/>
  <c r="BC10" i="18"/>
  <c r="BD8" i="18"/>
  <c r="AB11" i="18"/>
  <c r="AB13" i="18"/>
  <c r="AB14" i="18"/>
  <c r="BD9" i="18"/>
  <c r="AC9" i="18"/>
  <c r="AC10" i="18"/>
  <c r="BD10" i="18"/>
  <c r="BE8" i="18"/>
  <c r="AB46" i="18"/>
  <c r="AB53" i="18"/>
  <c r="AB33" i="18"/>
  <c r="F52" i="18"/>
  <c r="G52" i="18"/>
  <c r="AC11" i="18"/>
  <c r="AC13" i="18"/>
  <c r="AC14" i="18"/>
  <c r="BE9" i="18"/>
  <c r="AC46" i="18"/>
  <c r="AC53" i="18"/>
  <c r="F53" i="18"/>
  <c r="G53" i="18"/>
  <c r="AC33" i="18"/>
  <c r="AD9" i="18"/>
  <c r="AD10" i="18"/>
  <c r="BE10" i="18"/>
  <c r="BF8" i="18"/>
  <c r="AD11" i="18"/>
  <c r="AD13" i="18"/>
  <c r="AD14" i="18"/>
  <c r="BF9" i="18"/>
  <c r="AE9" i="18"/>
  <c r="AE10" i="18"/>
  <c r="BF10" i="18"/>
  <c r="BG8" i="18"/>
  <c r="AD46" i="18"/>
  <c r="AD53" i="18"/>
  <c r="F54" i="18"/>
  <c r="G54" i="18"/>
  <c r="AD33" i="18"/>
  <c r="AE11" i="18"/>
  <c r="AE13" i="18"/>
  <c r="AE14" i="18"/>
  <c r="BG9" i="18"/>
  <c r="AE46" i="18"/>
  <c r="AE53" i="18"/>
  <c r="F55" i="18"/>
  <c r="G55" i="18"/>
  <c r="AE33" i="18"/>
  <c r="AF9" i="18"/>
  <c r="AF10" i="18"/>
  <c r="BG10" i="18"/>
  <c r="BH8" i="18"/>
  <c r="AF11" i="18"/>
  <c r="AF13" i="18"/>
  <c r="AF14" i="18"/>
  <c r="BH9" i="18"/>
  <c r="AG9" i="18"/>
  <c r="AG10" i="18"/>
  <c r="BH10" i="18"/>
  <c r="BI8" i="18"/>
  <c r="F56" i="18"/>
  <c r="G56" i="18"/>
  <c r="AF33" i="18"/>
  <c r="AF46" i="18"/>
  <c r="AF53" i="18"/>
  <c r="AG11" i="18"/>
  <c r="AG13" i="18"/>
  <c r="AG14" i="18"/>
  <c r="BI10" i="18"/>
  <c r="BJ8" i="18"/>
  <c r="BI9" i="18"/>
  <c r="AH9" i="18"/>
  <c r="AH10" i="18"/>
  <c r="AG46" i="18"/>
  <c r="AG53" i="18"/>
  <c r="F57" i="18"/>
  <c r="G57" i="18"/>
  <c r="AG33" i="18"/>
  <c r="BJ9" i="18"/>
  <c r="AH11" i="18"/>
  <c r="AH13" i="18"/>
  <c r="AH14" i="18"/>
  <c r="F58" i="18"/>
  <c r="G58" i="18"/>
  <c r="AH46" i="18"/>
  <c r="AH53" i="18"/>
  <c r="AH33" i="18"/>
  <c r="AI9" i="18"/>
  <c r="AI10" i="18"/>
  <c r="BJ10" i="18"/>
  <c r="BK8" i="18"/>
  <c r="AI11" i="18"/>
  <c r="AI13" i="18"/>
  <c r="AI14" i="18"/>
  <c r="BK9" i="18"/>
  <c r="AJ9" i="18"/>
  <c r="AJ10" i="18"/>
  <c r="BK10" i="18"/>
  <c r="BL8" i="18"/>
  <c r="F59" i="18"/>
  <c r="G59" i="18"/>
  <c r="AI33" i="18"/>
  <c r="AI46" i="18"/>
  <c r="AI53" i="18"/>
  <c r="AJ11" i="18"/>
  <c r="AJ13" i="18"/>
  <c r="AJ14" i="18"/>
  <c r="BL9" i="18"/>
  <c r="F60" i="18"/>
  <c r="G60" i="18"/>
  <c r="AJ33" i="18"/>
  <c r="AJ46" i="18"/>
  <c r="AJ53" i="18"/>
  <c r="AK9" i="18"/>
  <c r="AK10" i="18"/>
  <c r="BL10" i="18"/>
  <c r="BM8" i="18"/>
  <c r="AK11" i="18"/>
  <c r="AK13" i="18"/>
  <c r="AK14" i="18"/>
  <c r="BM9" i="18"/>
  <c r="AL9" i="18"/>
  <c r="AL10" i="18"/>
  <c r="BM10" i="18"/>
  <c r="BN8" i="18"/>
  <c r="AK46" i="18"/>
  <c r="AK53" i="18"/>
  <c r="AK33" i="18"/>
  <c r="AL11" i="18"/>
  <c r="AL13" i="18"/>
  <c r="AL14" i="18"/>
  <c r="BN9" i="18"/>
  <c r="AL33" i="18"/>
  <c r="AL46" i="18"/>
  <c r="AL53" i="18"/>
  <c r="AM9" i="18"/>
  <c r="AM10" i="18"/>
  <c r="BN10" i="18"/>
  <c r="BO8" i="18"/>
  <c r="AM13" i="18"/>
  <c r="AM14" i="18"/>
  <c r="AM11" i="18"/>
  <c r="BO9" i="18"/>
  <c r="AM33" i="18"/>
  <c r="AM46" i="18"/>
  <c r="AM53" i="18"/>
  <c r="AN9" i="18"/>
  <c r="AN10" i="18"/>
  <c r="BO10" i="18"/>
  <c r="BP8" i="18"/>
  <c r="AN11" i="18"/>
  <c r="AN13" i="18"/>
  <c r="AN14" i="18"/>
  <c r="BP10" i="18"/>
  <c r="BQ8" i="18"/>
  <c r="BP9" i="18"/>
  <c r="AO9" i="18"/>
  <c r="AO10" i="18"/>
  <c r="AN33" i="18"/>
  <c r="AN46" i="18"/>
  <c r="AN53" i="18"/>
  <c r="BQ9" i="18"/>
  <c r="AO11" i="18"/>
  <c r="AO13" i="18"/>
  <c r="AO14" i="18"/>
  <c r="AO33" i="18"/>
  <c r="AO46" i="18"/>
  <c r="AO53" i="18"/>
  <c r="AP9" i="18"/>
  <c r="AP10" i="18"/>
  <c r="BQ10" i="18"/>
  <c r="BR8" i="18"/>
  <c r="AP11" i="18"/>
  <c r="AP13" i="18"/>
  <c r="AP14" i="18"/>
  <c r="BR9" i="18"/>
  <c r="AP46" i="18"/>
  <c r="AP53" i="18"/>
  <c r="AP33" i="18"/>
  <c r="AQ9" i="18"/>
  <c r="AQ10" i="18"/>
  <c r="BR10" i="18"/>
  <c r="BS8" i="18"/>
  <c r="BS10" i="18"/>
  <c r="BT8" i="18"/>
  <c r="BT10" i="18"/>
  <c r="AQ11" i="18"/>
  <c r="AQ13" i="18"/>
  <c r="AQ14" i="18"/>
  <c r="AR14" i="18"/>
  <c r="AS14" i="18"/>
  <c r="AT14" i="18"/>
  <c r="AQ33" i="18"/>
  <c r="AQ46" i="18"/>
  <c r="AQ53" i="18"/>
</calcChain>
</file>

<file path=xl/comments1.xml><?xml version="1.0" encoding="utf-8"?>
<comments xmlns="http://schemas.openxmlformats.org/spreadsheetml/2006/main">
  <authors>
    <author>MANOJ.MISHRA</author>
    <author>Windows User</author>
  </authors>
  <commentList>
    <comment ref="R21" authorId="0" shapeId="0">
      <text>
        <r>
          <rPr>
            <b/>
            <sz val="9"/>
            <color indexed="81"/>
            <rFont val="Tahoma"/>
            <family val="2"/>
          </rPr>
          <t>MANOJ.MISHRA:</t>
        </r>
        <r>
          <rPr>
            <sz val="9"/>
            <color indexed="81"/>
            <rFont val="Tahoma"/>
            <family val="2"/>
          </rPr>
          <t xml:space="preserve">
Erection not considered as it is supply package</t>
        </r>
      </text>
    </comment>
    <comment ref="X21" authorId="0" shapeId="0">
      <text>
        <r>
          <rPr>
            <b/>
            <sz val="9"/>
            <color indexed="81"/>
            <rFont val="Tahoma"/>
            <family val="2"/>
          </rPr>
          <t>MANOJ.MISHRA:</t>
        </r>
        <r>
          <rPr>
            <sz val="9"/>
            <color indexed="81"/>
            <rFont val="Tahoma"/>
            <family val="2"/>
          </rPr>
          <t xml:space="preserve">
Being supply pkg E&amp;C not considered.</t>
        </r>
      </text>
    </comment>
    <comment ref="BC25" authorId="1" shapeId="0">
      <text>
        <r>
          <rPr>
            <b/>
            <sz val="9"/>
            <color indexed="81"/>
            <rFont val="Tahoma"/>
            <charset val="1"/>
          </rPr>
          <t>Windows User:</t>
        </r>
        <r>
          <rPr>
            <sz val="9"/>
            <color indexed="81"/>
            <rFont val="Tahoma"/>
            <charset val="1"/>
          </rPr>
          <t xml:space="preserve">
Cost committee on 04.01.22 has changed erection rate from 12% to 20 %.</t>
        </r>
      </text>
    </comment>
  </commentList>
</comments>
</file>

<file path=xl/sharedStrings.xml><?xml version="1.0" encoding="utf-8"?>
<sst xmlns="http://schemas.openxmlformats.org/spreadsheetml/2006/main" count="1299" uniqueCount="826">
  <si>
    <t>Item</t>
  </si>
  <si>
    <t>Total</t>
  </si>
  <si>
    <t>IDC</t>
  </si>
  <si>
    <t>Years</t>
  </si>
  <si>
    <t>Plant</t>
  </si>
  <si>
    <t>Total fund</t>
  </si>
  <si>
    <t>cost</t>
  </si>
  <si>
    <t>Loan</t>
  </si>
  <si>
    <t>incl.IDC</t>
  </si>
  <si>
    <t>t</t>
  </si>
  <si>
    <t>b</t>
  </si>
  <si>
    <t>c</t>
  </si>
  <si>
    <t>v</t>
  </si>
  <si>
    <t>B</t>
  </si>
  <si>
    <t>a</t>
  </si>
  <si>
    <t>Unit</t>
  </si>
  <si>
    <t>Equity</t>
  </si>
  <si>
    <t xml:space="preserve">  STEEL AUTHORITY OF INDIA  LIMITED</t>
  </si>
  <si>
    <t>i</t>
  </si>
  <si>
    <t>Qty.</t>
  </si>
  <si>
    <t>Annexure - 6.5.1-1</t>
  </si>
  <si>
    <t>Gross Margin Calculation</t>
  </si>
  <si>
    <t>A</t>
  </si>
  <si>
    <t>Remarks</t>
  </si>
  <si>
    <t>Gross Margin</t>
  </si>
  <si>
    <t>Rs. Cr.</t>
  </si>
  <si>
    <t>Interest</t>
  </si>
  <si>
    <t>Production of crude tar / year</t>
  </si>
  <si>
    <t>Normative figure</t>
  </si>
  <si>
    <t>Depreciation</t>
  </si>
  <si>
    <t>Rs.cr.</t>
  </si>
  <si>
    <t>Production of CO Gas/ year</t>
  </si>
  <si>
    <t>Nm3</t>
  </si>
  <si>
    <t>Profit before tax</t>
  </si>
  <si>
    <t xml:space="preserve">Cost of purchased BF coke </t>
  </si>
  <si>
    <t>Rs./t</t>
  </si>
  <si>
    <t>Taken from Cost sheet of BSL for 2013-14 (9 months).</t>
  </si>
  <si>
    <t xml:space="preserve">Cost of production of BF coke (after adding back the credit of CO gas &amp; crude tar) </t>
  </si>
  <si>
    <t xml:space="preserve">Credit for CO gas &amp; crude tar @ Rs 1117.77 &amp; Rs 213.62 per t of BF Coke respectivily added back to works cost of BF coke @ Rs 16469 /t as per Cost Sheet of BSL for 2013-14 (9 months) as credit for the same has been accounted for separately. </t>
  </si>
  <si>
    <t>Corporate tax</t>
  </si>
  <si>
    <t>Credit for crude tar</t>
  </si>
  <si>
    <t>Credit for CO gas</t>
  </si>
  <si>
    <t>Rs./Gcal</t>
  </si>
  <si>
    <t>Rs Cr</t>
  </si>
  <si>
    <t xml:space="preserve"> Credit for crude tar</t>
  </si>
  <si>
    <t>C</t>
  </si>
  <si>
    <t>Annual production cost of BF coke with proposed Battery rebuilding</t>
  </si>
  <si>
    <t>BF Coke production envisaged from proposed Battery/ annum</t>
  </si>
  <si>
    <t>Techno-commercial Parameters</t>
  </si>
  <si>
    <t xml:space="preserve">Cash out flow if proposed project is implemented </t>
  </si>
  <si>
    <t xml:space="preserve">Total cash out flow if proposed project is implemented </t>
  </si>
  <si>
    <t xml:space="preserve">Cash out flow if proposed project is not-implemented </t>
  </si>
  <si>
    <t xml:space="preserve">Total annual expenditure in case of purchase of equivalent external BF coke </t>
  </si>
  <si>
    <t>Gross Margin (Net savings in cash out-flow if proposed project is implemented)</t>
  </si>
  <si>
    <t xml:space="preserve">Gross Margin Calculations </t>
  </si>
  <si>
    <t>Sl. No.</t>
  </si>
  <si>
    <t>Production of rails if proposed combi caster is installed / annum</t>
  </si>
  <si>
    <t>Production of billets if proposed combi caster is installed / annum</t>
  </si>
  <si>
    <t>Production of heavy structure if proposed combi caster is not installed /annum</t>
  </si>
  <si>
    <t>Production of billets if proposed combi caster is not installed /annum</t>
  </si>
  <si>
    <t>Contribution from rails</t>
  </si>
  <si>
    <t>BSP's product wise profitability statement for the period 2015-16 (9 months)</t>
  </si>
  <si>
    <t>Contribution from heavy structures</t>
  </si>
  <si>
    <t>Contribution from billet</t>
  </si>
  <si>
    <t>Contribution margin from rails per annum</t>
  </si>
  <si>
    <t>Contribution margin from billets per annum</t>
  </si>
  <si>
    <r>
      <t xml:space="preserve">Total contribution per annum </t>
    </r>
    <r>
      <rPr>
        <b/>
        <sz val="12"/>
        <rFont val="Arial"/>
        <family val="2"/>
      </rPr>
      <t>(A)</t>
    </r>
  </si>
  <si>
    <t>Opportunity loss on account of not producing heavy structures per annum</t>
  </si>
  <si>
    <t>Opportunity loss on account of not producing billet per annum</t>
  </si>
  <si>
    <r>
      <t xml:space="preserve">Total opportunity loss per annum </t>
    </r>
    <r>
      <rPr>
        <b/>
        <sz val="12"/>
        <rFont val="Arial"/>
        <family val="2"/>
      </rPr>
      <t>(B)</t>
    </r>
  </si>
  <si>
    <t>Gross Margin per annum (A-B)</t>
  </si>
  <si>
    <t>Contribution margin if proposed project is installed</t>
  </si>
  <si>
    <t>Opportunity loss if proposed project is installed</t>
  </si>
  <si>
    <t>Annexure - 6.6.2-1</t>
  </si>
  <si>
    <t>Proposed Qty</t>
  </si>
  <si>
    <t>Unit Cost (Rs/t)</t>
  </si>
  <si>
    <t>Total Cost (Rs. Cr.)</t>
  </si>
  <si>
    <t>Grand Total benefits (4+5+6+7)</t>
  </si>
  <si>
    <t>Gross Margin per annum (8-3)</t>
  </si>
  <si>
    <t xml:space="preserve">Operating expenditure including cost of material </t>
  </si>
  <si>
    <t>Total operating expenditure including cost of material (1+2)</t>
  </si>
  <si>
    <t xml:space="preserve">Purchase of Raw material </t>
  </si>
  <si>
    <t xml:space="preserve">Processing cost of Raw materail  </t>
  </si>
  <si>
    <t xml:space="preserve">NSR envisaged on account of sale of processed product </t>
  </si>
  <si>
    <t>NSR of product 1</t>
  </si>
  <si>
    <t>NSR of product 2</t>
  </si>
  <si>
    <t>NSR of product 3</t>
  </si>
  <si>
    <t xml:space="preserve">NSR of rejects </t>
  </si>
  <si>
    <t>Internal</t>
  </si>
  <si>
    <t>External</t>
  </si>
  <si>
    <t>Total fund incl. IDC</t>
  </si>
  <si>
    <t>Resources</t>
  </si>
  <si>
    <t>Borrowing</t>
  </si>
  <si>
    <t>Profitability Projections</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</si>
  <si>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</si>
  <si>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</si>
  <si>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</si>
  <si>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</si>
  <si>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</si>
  <si>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</si>
  <si>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</si>
  <si>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</si>
  <si>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</si>
  <si>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</si>
  <si>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</si>
  <si>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</si>
  <si>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</si>
  <si>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</si>
  <si>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</si>
  <si>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</si>
  <si>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</si>
  <si>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</si>
  <si>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</si>
  <si>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</si>
  <si>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</si>
  <si>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</si>
  <si>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</si>
  <si>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Yr 23</t>
  </si>
  <si>
    <t>Capacity Utilisation</t>
  </si>
  <si>
    <t>Profit Before Tax (PBT)</t>
  </si>
  <si>
    <t>Profit After Tax (PAT)</t>
  </si>
  <si>
    <t>Cumulative PAT</t>
  </si>
  <si>
    <t>Cash flow statement</t>
  </si>
  <si>
    <t>A. Cash from operations</t>
  </si>
  <si>
    <t>B. Equity/ Internal accruals</t>
  </si>
  <si>
    <t>(B) Cash out-flow :</t>
  </si>
  <si>
    <t>Capital expenditure</t>
  </si>
  <si>
    <t xml:space="preserve">        Equity/ Internal accruals</t>
  </si>
  <si>
    <t xml:space="preserve">        Loan</t>
  </si>
  <si>
    <t>Interest payment</t>
  </si>
  <si>
    <t>Principal repayment</t>
  </si>
  <si>
    <t>Corporate Income Tax</t>
  </si>
  <si>
    <t xml:space="preserve">Cash surplus </t>
  </si>
  <si>
    <t>Cash surplus (Cummulative)</t>
  </si>
  <si>
    <t>NPV &amp; IRR CALCULATIONS:</t>
  </si>
  <si>
    <t>IRR(Pre-tax)</t>
  </si>
  <si>
    <t>PI</t>
  </si>
  <si>
    <t>Outflow</t>
  </si>
  <si>
    <t>Capital Cost (excl. IDC)</t>
  </si>
  <si>
    <t>Inflow</t>
  </si>
  <si>
    <t>Gross margin</t>
  </si>
  <si>
    <t>Net flow</t>
  </si>
  <si>
    <t>Pre-tax</t>
  </si>
  <si>
    <t>Post Tax</t>
  </si>
  <si>
    <t>D</t>
  </si>
  <si>
    <t>Post-tax</t>
  </si>
  <si>
    <t>E</t>
  </si>
  <si>
    <t>IRR</t>
  </si>
  <si>
    <t>Annexure-6.6.1-1</t>
  </si>
  <si>
    <t xml:space="preserve">Phasing of expenditure </t>
  </si>
  <si>
    <t xml:space="preserve">Start of prod. </t>
  </si>
  <si>
    <t>MM</t>
  </si>
  <si>
    <t>Loan+MM</t>
  </si>
  <si>
    <t>Rs. in crore</t>
  </si>
  <si>
    <t>Calculation of depreciation</t>
  </si>
  <si>
    <t>Rate of depreciation</t>
  </si>
  <si>
    <t>1st.</t>
  </si>
  <si>
    <t>Gross Margin  from operation</t>
  </si>
  <si>
    <t>Year of production</t>
  </si>
  <si>
    <t>1(6months)</t>
  </si>
  <si>
    <t>2nd</t>
  </si>
  <si>
    <t>Interest (LT+WC)</t>
  </si>
  <si>
    <t>Check</t>
  </si>
  <si>
    <t>Gross Block</t>
  </si>
  <si>
    <t>3rd (6 months)</t>
  </si>
  <si>
    <t xml:space="preserve">Depreciation </t>
  </si>
  <si>
    <t>PC</t>
  </si>
  <si>
    <t>Net Block</t>
  </si>
  <si>
    <t xml:space="preserve">Corporate Income Tax exemption </t>
  </si>
  <si>
    <t>95% 0f CC</t>
  </si>
  <si>
    <t>Net Block Cost</t>
  </si>
  <si>
    <t>Rs cr</t>
  </si>
  <si>
    <t>Capital cost</t>
  </si>
  <si>
    <t>Start of prod.</t>
  </si>
  <si>
    <t>Working Capital</t>
  </si>
  <si>
    <t>Margin Money</t>
  </si>
  <si>
    <t>Cash-Inflows :</t>
  </si>
  <si>
    <t xml:space="preserve">Loan </t>
  </si>
  <si>
    <t>Term loan</t>
  </si>
  <si>
    <t xml:space="preserve">Long term loan </t>
  </si>
  <si>
    <t>WC loan</t>
  </si>
  <si>
    <t>NPV(Pre)</t>
  </si>
  <si>
    <t>NPV(Post)</t>
  </si>
  <si>
    <t>IRR(Post-tax)</t>
  </si>
  <si>
    <t>Net</t>
  </si>
  <si>
    <t>Corporate Tax</t>
  </si>
  <si>
    <t xml:space="preserve">             STEEL AUTHORITY OF INDIA  LIMITED</t>
  </si>
  <si>
    <t>NPV (@ 10%), Rs Cr</t>
  </si>
  <si>
    <t xml:space="preserve">ITC </t>
  </si>
  <si>
    <t>@10%</t>
  </si>
  <si>
    <t>ITC</t>
  </si>
  <si>
    <t>CC net of ITC</t>
  </si>
  <si>
    <t>STEEL AUTHORITY OF INDIA LIMITED</t>
  </si>
  <si>
    <t xml:space="preserve">SL. NO. </t>
  </si>
  <si>
    <t>Equipment / items</t>
  </si>
  <si>
    <t>Total Cost ( in lakhs)</t>
  </si>
  <si>
    <t xml:space="preserve">Equipment </t>
  </si>
  <si>
    <t>Lot</t>
  </si>
  <si>
    <t>ii</t>
  </si>
  <si>
    <t>iii</t>
  </si>
  <si>
    <t>iv</t>
  </si>
  <si>
    <t xml:space="preserve"> Nos</t>
  </si>
  <si>
    <t>Nos.</t>
  </si>
  <si>
    <t>2-Utilities</t>
  </si>
  <si>
    <t>vii</t>
  </si>
  <si>
    <t>Engg Estimate</t>
  </si>
  <si>
    <t>viii</t>
  </si>
  <si>
    <t>Fire fighting system -Portable Extinguishers</t>
  </si>
  <si>
    <t>Electrical</t>
  </si>
  <si>
    <t>Technological Structures</t>
  </si>
  <si>
    <t>tons</t>
  </si>
  <si>
    <t>Total Technological Structures Cost</t>
  </si>
  <si>
    <t>Structural</t>
  </si>
  <si>
    <t>Total Structural Cost</t>
  </si>
  <si>
    <t>Inserts</t>
  </si>
  <si>
    <t>6.32.1</t>
  </si>
  <si>
    <t>White washing</t>
  </si>
  <si>
    <t>13.37.1</t>
  </si>
  <si>
    <t>13.46.1</t>
  </si>
  <si>
    <t>11.3.1</t>
  </si>
  <si>
    <t>D2</t>
  </si>
  <si>
    <t>CIVIL- Equipment foundation</t>
  </si>
  <si>
    <t>G</t>
  </si>
  <si>
    <t>DISMANTLING</t>
  </si>
  <si>
    <t xml:space="preserve">Dismantling of  structures </t>
  </si>
  <si>
    <t>Total dismantling cost</t>
  </si>
  <si>
    <t xml:space="preserve">BQ of M/s ELEX dtd 26.07.2021 </t>
  </si>
  <si>
    <t>Sub -total (Mechanical)</t>
  </si>
  <si>
    <t>Sub -total (Utilities)</t>
  </si>
  <si>
    <t>Sub -total (Electrical)</t>
  </si>
  <si>
    <t>Engg Estimate based on calculation &amp; department database</t>
  </si>
  <si>
    <t xml:space="preserve">Field instruments like gauges, transmitters, scanner, opacity meter, vibration monitoring system and cable </t>
  </si>
  <si>
    <t>PLC system including HMI, engineering station, software and logic development</t>
  </si>
  <si>
    <t>PC &amp; A</t>
  </si>
  <si>
    <t>Sub -total (PC &amp; A)</t>
  </si>
  <si>
    <t>Total (Equipment cost)</t>
  </si>
  <si>
    <t>Supply, fabrication of steel structures (t)</t>
  </si>
  <si>
    <t>DSR 2021</t>
  </si>
  <si>
    <t>Sub-total CIVIL (OTHERS)</t>
  </si>
  <si>
    <t>sub-total Civil (equipment foundation)</t>
  </si>
  <si>
    <t>Items (Mech, Utilities, Elec. , PC &amp; A) , Struc &amp; Civil not covered in either BQ's</t>
  </si>
  <si>
    <t>02/DE/4880</t>
  </si>
  <si>
    <t>BOKARO STEEL PLANT</t>
  </si>
  <si>
    <t>Replacement of Balance 4 nos. battery cyclones by ESPs for SP I, BSL</t>
  </si>
  <si>
    <t>R0 estimate</t>
  </si>
  <si>
    <t>ESP dust pneumatic conveying system</t>
  </si>
  <si>
    <t>Electric Hoist, 5t capacity</t>
  </si>
  <si>
    <t>nos.</t>
  </si>
  <si>
    <t>PO No: P63 / 77 / 4510055210 PO DATE: 28.03.2019</t>
  </si>
  <si>
    <t xml:space="preserve">Passenger cum goods elevator, capacity=1t </t>
  </si>
  <si>
    <t>BQ referece no. reference: 72959-1 Date : 23/10/2017</t>
  </si>
  <si>
    <t>Dismantling of old ductwork, Existing battery cyclone (4 nos.), pumps</t>
  </si>
  <si>
    <t>Insertable Bag filters</t>
  </si>
  <si>
    <t>LOT</t>
  </si>
  <si>
    <t>CFD model analysis for all 4nos. ESP set</t>
  </si>
  <si>
    <t>Mechanical</t>
  </si>
  <si>
    <t>d</t>
  </si>
  <si>
    <t>e</t>
  </si>
  <si>
    <t>Motorised isolation dampers, DN 3500 (14t each)</t>
  </si>
  <si>
    <t>Engineering estimate based on CDMS dated: 16.12.2021</t>
  </si>
  <si>
    <t xml:space="preserve"> Electrical Equipment</t>
  </si>
  <si>
    <t>Modification in existing Common MCCs, Common MCC, MCCs, Control Desk, Illumination</t>
  </si>
  <si>
    <t>Engg Estimate based on Departmental Cost Database</t>
  </si>
  <si>
    <t>Cables</t>
  </si>
  <si>
    <t>Lightning and Earthing</t>
  </si>
  <si>
    <t>Earthing</t>
  </si>
  <si>
    <t>Lightning protection system</t>
  </si>
  <si>
    <t>Based on approved calculation of unicon. Price taken from BQ dated 03.10.2021</t>
  </si>
  <si>
    <t>Pacakge AC( 11.0 TR x3 nos) + associated system</t>
  </si>
  <si>
    <t>lot</t>
  </si>
  <si>
    <t xml:space="preserve">t </t>
  </si>
  <si>
    <t>Mechanical - items as per BQ</t>
  </si>
  <si>
    <t>Ventilation system - Wall mounted exhaust ventilation fans for electrical rooms</t>
  </si>
  <si>
    <t>Item (Brief description)</t>
  </si>
  <si>
    <t>Rate (Rs.)</t>
  </si>
  <si>
    <t>DSR code 2021</t>
  </si>
  <si>
    <t>EARTHWORK</t>
  </si>
  <si>
    <t>Earth work including bacfilling</t>
  </si>
  <si>
    <t>Cum</t>
  </si>
  <si>
    <t>2.8x0.8+1.1.2 (col 8) X0.2</t>
  </si>
  <si>
    <t>Sand filling</t>
  </si>
  <si>
    <t>Bolder soling</t>
  </si>
  <si>
    <t>7753+16.4</t>
  </si>
  <si>
    <t>CONCRETE</t>
  </si>
  <si>
    <t>PCC 1:3:6</t>
  </si>
  <si>
    <t>(4.1.6 + 4.3.1)</t>
  </si>
  <si>
    <t>RCC M25</t>
  </si>
  <si>
    <t>5.33.1.1*0.8 + 5.33.2.1*0.2+6*(5.9.1*0.5+5.9.3*0.5)</t>
  </si>
  <si>
    <t>Reinforcement Fe500</t>
  </si>
  <si>
    <t>Ton</t>
  </si>
  <si>
    <t xml:space="preserve">5.22.6*1000 </t>
  </si>
  <si>
    <t>Screed concrete</t>
  </si>
  <si>
    <t>Sqm</t>
  </si>
  <si>
    <t>4.10</t>
  </si>
  <si>
    <t>Plinth Protection</t>
  </si>
  <si>
    <t>4.17</t>
  </si>
  <si>
    <t>Precast concrete</t>
  </si>
  <si>
    <t>5.12</t>
  </si>
  <si>
    <t>MASONRY</t>
  </si>
  <si>
    <t>Brickwork upto 20m ht (Flyash)</t>
  </si>
  <si>
    <t>FLOORING</t>
  </si>
  <si>
    <t>40thk IPS flooring</t>
  </si>
  <si>
    <t>False Flooring</t>
  </si>
  <si>
    <t>11.54.2</t>
  </si>
  <si>
    <t>Vitreous Ceramic Flooring</t>
  </si>
  <si>
    <t>11.40</t>
  </si>
  <si>
    <t>DOORS &amp; WINDOWS</t>
  </si>
  <si>
    <t xml:space="preserve">Aluminium Doors/Partition </t>
  </si>
  <si>
    <t>21.1.1.2*15 + 21.3.2</t>
  </si>
  <si>
    <t>F</t>
  </si>
  <si>
    <t>FINISHING</t>
  </si>
  <si>
    <t xml:space="preserve">Cement Plaster 20 mm thick in 1:6 cement sand mortar (in two operation) </t>
  </si>
  <si>
    <t>13.3.1</t>
  </si>
  <si>
    <t xml:space="preserve">Cement Plaster 15 mm thick in 1:6 cement sand mortar (in one operation ) </t>
  </si>
  <si>
    <t>13.2.1</t>
  </si>
  <si>
    <t>6mm thick Ceiling plaster</t>
  </si>
  <si>
    <t>13.16.1</t>
  </si>
  <si>
    <t>Acrylic Emulsion Paint</t>
  </si>
  <si>
    <t>13.60.1</t>
  </si>
  <si>
    <t xml:space="preserve">Three coats of white washing </t>
  </si>
  <si>
    <t>2 coats of anti algal weather proof Exterior Acrylic Emulsion paint</t>
  </si>
  <si>
    <t>Atactic Polypropylene APP</t>
  </si>
  <si>
    <t>14.90</t>
  </si>
  <si>
    <t>False Ceiling</t>
  </si>
  <si>
    <t>26.22.1</t>
  </si>
  <si>
    <t>MISCELLANEOUS</t>
  </si>
  <si>
    <t>Dismantling and demolishing of all types of RCC other than diamaond wire sawing</t>
  </si>
  <si>
    <t>Bituminous Road</t>
  </si>
  <si>
    <t>from project no. 04/DE/4086</t>
  </si>
  <si>
    <t>H</t>
  </si>
  <si>
    <t>WATER SUPPLY</t>
  </si>
  <si>
    <t>WS-1</t>
  </si>
  <si>
    <r>
      <t xml:space="preserve">Constructing </t>
    </r>
    <r>
      <rPr>
        <b/>
        <sz val="12"/>
        <color indexed="8"/>
        <rFont val="Times New Roman"/>
        <family val="1"/>
      </rPr>
      <t>brick masonry chamber for underground C.I. inspection chamber</t>
    </r>
    <r>
      <rPr>
        <sz val="12"/>
        <color indexed="8"/>
        <rFont val="Times New Roman"/>
        <family val="1"/>
      </rPr>
      <t xml:space="preserve"> and bends with bricks in cement mortar 1:4 (1 cement : 4 coarse sand) C.I. cover with frame (light duty) 455x610 mm internal dimensions, total weight of cover with frame to be not less than 38 kg (weight of cover 23 kg and weight of frame 15 kg), R.C.C. top slab with 1:2:4 mix (1 cement: 2 coarse sand : 4 graded stone aggregate 20 mm nominal size), foundation concrete 1:5:10 (1 cement : 5 fine sand : 10 graded stone aggregate 40 mm nominal size), inside plastering 12 mm thick with cement mortar 1:3 (1 cement : 3 coarse sand), finished smooth with a floating coat of neat cement on walls and bed concrete etc. complete as per standard design: With common burnt clay F.P.S. (non modular) bricks of class designation 7.5. </t>
    </r>
    <r>
      <rPr>
        <b/>
        <sz val="12"/>
        <color indexed="8"/>
        <rFont val="Times New Roman"/>
        <family val="1"/>
      </rPr>
      <t>Inside dimensions 455x610 mm and 450 mm deep</t>
    </r>
  </si>
  <si>
    <t xml:space="preserve"> 19.30.2.1</t>
  </si>
  <si>
    <t>WS-2</t>
  </si>
  <si>
    <t>100 mm diaCentrifugally cast (spun) iron socket &amp; spigot (S&amp;S) pipe as per IS: 3989</t>
  </si>
  <si>
    <t>RM</t>
  </si>
  <si>
    <t xml:space="preserve">17.35.1.2 </t>
  </si>
  <si>
    <t>WS-2A</t>
  </si>
  <si>
    <r>
      <t xml:space="preserve">Supplying, laying and fixing glazed </t>
    </r>
    <r>
      <rPr>
        <b/>
        <sz val="12"/>
        <color indexed="8"/>
        <rFont val="Times New Roman"/>
        <family val="1"/>
      </rPr>
      <t>S.W. pipes</t>
    </r>
    <r>
      <rPr>
        <sz val="12"/>
        <color indexed="8"/>
        <rFont val="Times New Roman"/>
        <family val="1"/>
      </rPr>
      <t xml:space="preserve"> conforming to IS: 651-1992 at all depths and slopes below plinth level including jointing with cement mortar 1:1 with necessary hemp yarn and testing of pipe line including earthwork in trench and refilling and consolidation, all materials and labour etc., complete as per drawings and direction of Engineer.</t>
    </r>
  </si>
  <si>
    <r>
      <t>A)</t>
    </r>
    <r>
      <rPr>
        <sz val="7"/>
        <color indexed="8"/>
        <rFont val="Times New Roman"/>
        <family val="1"/>
      </rPr>
      <t>            2</t>
    </r>
    <r>
      <rPr>
        <sz val="12"/>
        <color indexed="8"/>
        <rFont val="Times New Roman"/>
        <family val="1"/>
      </rPr>
      <t>50 mm dia</t>
    </r>
  </si>
  <si>
    <t xml:space="preserve">19.1.4 </t>
  </si>
  <si>
    <t>WS-3</t>
  </si>
  <si>
    <r>
      <t xml:space="preserve">Providing &amp; fixing </t>
    </r>
    <r>
      <rPr>
        <b/>
        <sz val="12"/>
        <color indexed="8"/>
        <rFont val="Times New Roman"/>
        <family val="1"/>
      </rPr>
      <t>100</t>
    </r>
    <r>
      <rPr>
        <sz val="12"/>
        <color indexed="8"/>
        <rFont val="Times New Roman"/>
        <family val="1"/>
      </rPr>
      <t>/</t>
    </r>
    <r>
      <rPr>
        <b/>
        <sz val="12"/>
        <color indexed="8"/>
        <rFont val="Times New Roman"/>
        <family val="1"/>
      </rPr>
      <t>75/50 mm CPVC/HDPE/CI vent pipe with cowl</t>
    </r>
    <r>
      <rPr>
        <sz val="12"/>
        <color indexed="8"/>
        <rFont val="Times New Roman"/>
        <family val="1"/>
      </rPr>
      <t xml:space="preserve"> for ventilation with all material, labour, tools, tackles etc. complete as per direction of Engineer.</t>
    </r>
  </si>
  <si>
    <t xml:space="preserve">Similar to 17.35.1.2 </t>
  </si>
  <si>
    <t>WS-4</t>
  </si>
  <si>
    <r>
      <t xml:space="preserve">Providing and fixing </t>
    </r>
    <r>
      <rPr>
        <b/>
        <sz val="12"/>
        <color indexed="8"/>
        <rFont val="Times New Roman"/>
        <family val="1"/>
      </rPr>
      <t>Chlorinated Polyvinyl Chloride (CPVC) pipes</t>
    </r>
    <r>
      <rPr>
        <sz val="12"/>
        <color indexed="8"/>
        <rFont val="Times New Roman"/>
        <family val="1"/>
      </rPr>
      <t xml:space="preserve">,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t>
    </r>
    <r>
      <rPr>
        <b/>
        <sz val="12"/>
        <color indexed="8"/>
        <rFont val="Times New Roman"/>
        <family val="1"/>
      </rPr>
      <t>Concealed work</t>
    </r>
    <r>
      <rPr>
        <sz val="12"/>
        <color indexed="8"/>
        <rFont val="Times New Roman"/>
        <family val="1"/>
      </rPr>
      <t>, including cutting chases and making good the walls etc.</t>
    </r>
  </si>
  <si>
    <t xml:space="preserve"> </t>
  </si>
  <si>
    <r>
      <t>a.</t>
    </r>
    <r>
      <rPr>
        <sz val="7"/>
        <color indexed="8"/>
        <rFont val="Times New Roman"/>
        <family val="1"/>
      </rPr>
      <t xml:space="preserve">       </t>
    </r>
    <r>
      <rPr>
        <sz val="12"/>
        <color indexed="8"/>
        <rFont val="Times New Roman"/>
        <family val="1"/>
      </rPr>
      <t>15mm dia</t>
    </r>
  </si>
  <si>
    <t xml:space="preserve">18.8.1 </t>
  </si>
  <si>
    <r>
      <t>b.</t>
    </r>
    <r>
      <rPr>
        <sz val="7"/>
        <color indexed="8"/>
        <rFont val="Times New Roman"/>
        <family val="1"/>
      </rPr>
      <t xml:space="preserve">      </t>
    </r>
    <r>
      <rPr>
        <sz val="12"/>
        <color indexed="8"/>
        <rFont val="Times New Roman"/>
        <family val="1"/>
      </rPr>
      <t>20 mm dia</t>
    </r>
  </si>
  <si>
    <t xml:space="preserve">18.8.2 </t>
  </si>
  <si>
    <r>
      <t>c.</t>
    </r>
    <r>
      <rPr>
        <sz val="7"/>
        <color indexed="8"/>
        <rFont val="Times New Roman"/>
        <family val="1"/>
      </rPr>
      <t xml:space="preserve">       </t>
    </r>
    <r>
      <rPr>
        <sz val="12"/>
        <color indexed="8"/>
        <rFont val="Times New Roman"/>
        <family val="1"/>
      </rPr>
      <t>25 mm dia</t>
    </r>
  </si>
  <si>
    <t xml:space="preserve">18.8.3 </t>
  </si>
  <si>
    <r>
      <t xml:space="preserve">Providing and fixing </t>
    </r>
    <r>
      <rPr>
        <b/>
        <sz val="12"/>
        <color indexed="8"/>
        <rFont val="Times New Roman"/>
        <family val="1"/>
      </rPr>
      <t xml:space="preserve">Chlorinated Polyvinyl Chloride (CPVC) pipes, </t>
    </r>
    <r>
      <rPr>
        <sz val="12"/>
        <color indexed="8"/>
        <rFont val="Times New Roman"/>
        <family val="1"/>
      </rPr>
      <t xml:space="preserve">having thermal stability for hot &amp; cold water supply including all CPVC plain &amp; brass threaded fittings This includes jointing of pipes &amp; fittings with one step CPVC solvent cement ,trenching ,refilling &amp; testing of joints complete as per direction of Engineer in Charge. </t>
    </r>
    <r>
      <rPr>
        <b/>
        <sz val="12"/>
        <color indexed="8"/>
        <rFont val="Times New Roman"/>
        <family val="1"/>
      </rPr>
      <t>External work</t>
    </r>
  </si>
  <si>
    <r>
      <t>a.</t>
    </r>
    <r>
      <rPr>
        <sz val="7"/>
        <color indexed="8"/>
        <rFont val="Times New Roman"/>
        <family val="1"/>
      </rPr>
      <t xml:space="preserve">       </t>
    </r>
    <r>
      <rPr>
        <sz val="12"/>
        <color indexed="8"/>
        <rFont val="Times New Roman"/>
        <family val="1"/>
      </rPr>
      <t>25 mm dia</t>
    </r>
  </si>
  <si>
    <t xml:space="preserve">18.9.3 </t>
  </si>
  <si>
    <r>
      <t>b.</t>
    </r>
    <r>
      <rPr>
        <sz val="7"/>
        <color indexed="8"/>
        <rFont val="Times New Roman"/>
        <family val="1"/>
      </rPr>
      <t xml:space="preserve">      </t>
    </r>
    <r>
      <rPr>
        <sz val="12"/>
        <color indexed="8"/>
        <rFont val="Times New Roman"/>
        <family val="1"/>
      </rPr>
      <t>32 mm dia</t>
    </r>
  </si>
  <si>
    <t xml:space="preserve">18.9.4 </t>
  </si>
  <si>
    <t>WS-5</t>
  </si>
  <si>
    <r>
      <t xml:space="preserve">Providing and fixing </t>
    </r>
    <r>
      <rPr>
        <b/>
        <sz val="12"/>
        <color indexed="8"/>
        <rFont val="Times New Roman"/>
        <family val="1"/>
      </rPr>
      <t>15 mm nominal bore C.P. brass long body bib cock</t>
    </r>
    <r>
      <rPr>
        <sz val="12"/>
        <color indexed="8"/>
        <rFont val="Times New Roman"/>
        <family val="1"/>
      </rPr>
      <t xml:space="preserve"> of approved quality conforming to IS standards and weighing not less than 690 gms.</t>
    </r>
  </si>
  <si>
    <t>Nos</t>
  </si>
  <si>
    <t xml:space="preserve">18.51.1 </t>
  </si>
  <si>
    <t>WS-6</t>
  </si>
  <si>
    <r>
      <t xml:space="preserve">Providing and fixing </t>
    </r>
    <r>
      <rPr>
        <b/>
        <sz val="12"/>
        <color indexed="8"/>
        <rFont val="Times New Roman"/>
        <family val="1"/>
      </rPr>
      <t>C.P. brass angle valve (two way bib cock)</t>
    </r>
    <r>
      <rPr>
        <sz val="12"/>
        <color indexed="8"/>
        <rFont val="Times New Roman"/>
        <family val="1"/>
      </rPr>
      <t xml:space="preserve"> for basin mixer and geyser points of approved quality conforming to IS:8931 a) 15 mm nominal bore</t>
    </r>
  </si>
  <si>
    <t>18.53.1</t>
  </si>
  <si>
    <t>WS-7</t>
  </si>
  <si>
    <r>
      <t xml:space="preserve">Supplying, fitting and fixing 15 mm dia chromium plated easy clean tested crown type, </t>
    </r>
    <r>
      <rPr>
        <b/>
        <sz val="12"/>
        <color indexed="8"/>
        <rFont val="Times New Roman"/>
        <family val="1"/>
      </rPr>
      <t>long body stop cock</t>
    </r>
    <r>
      <rPr>
        <sz val="12"/>
        <color indexed="8"/>
        <rFont val="Times New Roman"/>
        <family val="1"/>
      </rPr>
      <t xml:space="preserve"> of approved make all material, labour, tools, tackles etc. complete as per direction of Engineer.</t>
    </r>
  </si>
  <si>
    <t xml:space="preserve">18.52.1 </t>
  </si>
  <si>
    <t>WS-8</t>
  </si>
  <si>
    <r>
      <t xml:space="preserve">Providing &amp; fixing </t>
    </r>
    <r>
      <rPr>
        <b/>
        <sz val="12"/>
        <color indexed="8"/>
        <rFont val="Times New Roman"/>
        <family val="1"/>
      </rPr>
      <t>white vitreous china European  water closet</t>
    </r>
    <r>
      <rPr>
        <sz val="12"/>
        <color indexed="8"/>
        <rFont val="Times New Roman"/>
        <family val="1"/>
      </rPr>
      <t xml:space="preserve"> with seat and lid, with C.P. Brass hinges and rubber buffers, 5 litres white vitreous china low level flushing cistern with fittings and brackets, 40 mm white porcelain enamelled flush bend, 25 mm G.I. mosquito proof nozzle with brass coupling of approved design, 15 mm polythene inlet connection pipe with brass couplings etc. complete including cutting and making good the walls and floors where ever required with all material, tools, tackles and labour etc. complete.</t>
    </r>
  </si>
  <si>
    <t xml:space="preserve">17.2.1 </t>
  </si>
  <si>
    <t>WS-9</t>
  </si>
  <si>
    <r>
      <t xml:space="preserve">Supplying, fitting and fixing </t>
    </r>
    <r>
      <rPr>
        <b/>
        <sz val="12"/>
        <color indexed="8"/>
        <rFont val="Times New Roman"/>
        <family val="1"/>
      </rPr>
      <t xml:space="preserve">125 mm dia C.P. brass </t>
    </r>
    <r>
      <rPr>
        <sz val="12"/>
        <color indexed="8"/>
        <rFont val="Times New Roman"/>
        <family val="1"/>
      </rPr>
      <t>grating</t>
    </r>
    <r>
      <rPr>
        <b/>
        <sz val="12"/>
        <color indexed="8"/>
        <rFont val="Times New Roman"/>
        <family val="1"/>
      </rPr>
      <t xml:space="preserve"> covers with PVC floor traps</t>
    </r>
    <r>
      <rPr>
        <sz val="12"/>
        <color indexed="8"/>
        <rFont val="Times New Roman"/>
        <family val="1"/>
      </rPr>
      <t xml:space="preserve"> including cutting the floor wherever necessary and making good the damage, all material and labour complete.</t>
    </r>
  </si>
  <si>
    <t>Refer 01/DE/4849</t>
  </si>
  <si>
    <t>WS-10</t>
  </si>
  <si>
    <r>
      <t xml:space="preserve">Providing and fixing </t>
    </r>
    <r>
      <rPr>
        <b/>
        <sz val="12"/>
        <color indexed="8"/>
        <rFont val="Times New Roman"/>
        <family val="1"/>
      </rPr>
      <t>white vitreous china wash basin</t>
    </r>
    <r>
      <rPr>
        <sz val="12"/>
        <color indexed="8"/>
        <rFont val="Times New Roman"/>
        <family val="1"/>
      </rPr>
      <t xml:space="preserve"> of approved quality with C.I brackets painted white, one 15 mm dia C.P brass pillar tap, rubber plug with C.P chain, C.P brass waste of standard pattern, 15 mm dia polyethylene inlet connection with pipe brass unions and 40 mm dia HDPE waste pipe with brass unions etc, complete including making good the walls, wherever required with all materials, tools, tackles and labour etc. complete b)      550 mm x 400 mm size</t>
    </r>
  </si>
  <si>
    <r>
      <t>b)</t>
    </r>
    <r>
      <rPr>
        <sz val="7"/>
        <color indexed="8"/>
        <rFont val="Times New Roman"/>
        <family val="1"/>
      </rPr>
      <t xml:space="preserve">      </t>
    </r>
    <r>
      <rPr>
        <sz val="12"/>
        <color indexed="8"/>
        <rFont val="Times New Roman"/>
        <family val="1"/>
      </rPr>
      <t>550 mm x 400 mm size</t>
    </r>
  </si>
  <si>
    <t xml:space="preserve">17.7.3 </t>
  </si>
  <si>
    <t>WS-11</t>
  </si>
  <si>
    <r>
      <t xml:space="preserve">Providing and fixing </t>
    </r>
    <r>
      <rPr>
        <b/>
        <sz val="12"/>
        <color indexed="8"/>
        <rFont val="Times New Roman"/>
        <family val="1"/>
      </rPr>
      <t xml:space="preserve">600x120x5 mm glass shelf </t>
    </r>
    <r>
      <rPr>
        <sz val="12"/>
        <color indexed="8"/>
        <rFont val="Times New Roman"/>
        <family val="1"/>
      </rPr>
      <t>with edges round off, supported on anodised aluminium angle frame with C.P. brass brackets and guard rail complete fixed with 40 mm long screws, rawl plugs etc., complete as per direction of Engineer. b)      550 mm x 400 mm size</t>
    </r>
  </si>
  <si>
    <t>WS-12</t>
  </si>
  <si>
    <r>
      <t xml:space="preserve">Providing and fixing </t>
    </r>
    <r>
      <rPr>
        <b/>
        <sz val="12"/>
        <color indexed="8"/>
        <rFont val="Times New Roman"/>
        <family val="1"/>
      </rPr>
      <t>PTMT soap Dish Holder</t>
    </r>
    <r>
      <rPr>
        <sz val="12"/>
        <color indexed="8"/>
        <rFont val="Times New Roman"/>
        <family val="1"/>
      </rPr>
      <t xml:space="preserve"> having length of 138mm, breadth 102mm, height of 75mm with concealed fitting arrangements, weighing not less than 106 gms with all material, labour, tools, tackles etc. complete as per direction of Engineer.</t>
    </r>
  </si>
  <si>
    <t>WS-13</t>
  </si>
  <si>
    <r>
      <t xml:space="preserve">Providing and fixing </t>
    </r>
    <r>
      <rPr>
        <b/>
        <sz val="12"/>
        <color indexed="8"/>
        <rFont val="Times New Roman"/>
        <family val="1"/>
      </rPr>
      <t>PTMT towel rail</t>
    </r>
    <r>
      <rPr>
        <sz val="12"/>
        <color indexed="8"/>
        <rFont val="Times New Roman"/>
        <family val="1"/>
      </rPr>
      <t xml:space="preserve"> complete with brackets fixed to wooden cleats with CP brass screws with concealed fittings arrangement of approved quality and colour. 600 mm long towel rail with total length of 645 mm, width 78mm and effective height of 88 mm, weighing not less than 190gms with all material, labour, tools, tackles etc. complete as per direction of Engineer</t>
    </r>
  </si>
  <si>
    <t xml:space="preserve">17.73.2 </t>
  </si>
  <si>
    <t>WS-14</t>
  </si>
  <si>
    <r>
      <t xml:space="preserve">Providing and fixing </t>
    </r>
    <r>
      <rPr>
        <b/>
        <sz val="12"/>
        <color indexed="8"/>
        <rFont val="Times New Roman"/>
        <family val="1"/>
      </rPr>
      <t>mirror of superior glass</t>
    </r>
    <r>
      <rPr>
        <sz val="12"/>
        <color indexed="8"/>
        <rFont val="Times New Roman"/>
        <family val="1"/>
      </rPr>
      <t xml:space="preserve"> (of approved quality) and of required shape and size with plastic moulded frame of approved make and shade with 6 mm thick hard board backing with all materials and labour complete:</t>
    </r>
    <r>
      <rPr>
        <sz val="10"/>
        <color indexed="8"/>
        <rFont val="Helvetica"/>
        <family val="2"/>
      </rPr>
      <t xml:space="preserve"> Rectangular shape 453x357 mm</t>
    </r>
  </si>
  <si>
    <t>Rectangular shape 453x357 mm</t>
  </si>
  <si>
    <t>17.32.2</t>
  </si>
  <si>
    <t>WS-15</t>
  </si>
  <si>
    <r>
      <t xml:space="preserve">Supplying, fitting and fixing along with all standard fittings, approved quality </t>
    </r>
    <r>
      <rPr>
        <b/>
        <sz val="12"/>
        <color indexed="8"/>
        <rFont val="Times New Roman"/>
        <family val="1"/>
      </rPr>
      <t>CP health faucet</t>
    </r>
    <r>
      <rPr>
        <sz val="12"/>
        <color indexed="8"/>
        <rFont val="Times New Roman"/>
        <family val="1"/>
      </rPr>
      <t xml:space="preserve"> and two way bib cock with 1m PVC tube &amp; swivel hook, complete including making good the walls damaged during installation.</t>
    </r>
  </si>
  <si>
    <t>WS-16</t>
  </si>
  <si>
    <r>
      <t>Supplying and fixing</t>
    </r>
    <r>
      <rPr>
        <b/>
        <sz val="12"/>
        <color indexed="8"/>
        <rFont val="Times New Roman"/>
        <family val="1"/>
      </rPr>
      <t xml:space="preserve"> tested heavy-duty gun metal full way gate valve</t>
    </r>
    <r>
      <rPr>
        <sz val="12"/>
        <color indexed="8"/>
        <rFont val="Times New Roman"/>
        <family val="1"/>
      </rPr>
      <t xml:space="preserve"> of approved make all material and labour complete</t>
    </r>
  </si>
  <si>
    <t>a. 25 mm dia</t>
  </si>
  <si>
    <t xml:space="preserve">18.17.1 </t>
  </si>
  <si>
    <t>WS-17</t>
  </si>
  <si>
    <r>
      <t xml:space="preserve">Providing and placing on terrace (at all floor levels) </t>
    </r>
    <r>
      <rPr>
        <b/>
        <sz val="12"/>
        <color indexed="8"/>
        <rFont val="Times New Roman"/>
        <family val="1"/>
      </rPr>
      <t>polyethylene water storage tank</t>
    </r>
    <r>
      <rPr>
        <sz val="12"/>
        <color indexed="8"/>
        <rFont val="Times New Roman"/>
        <family val="1"/>
      </rPr>
      <t xml:space="preserve">, ISI : 12701 marked, with cover and suitable locking arrangement and making necessary holes for inlet, outlet and overflow pipes &amp; fittings but without the base support for tank.  </t>
    </r>
    <r>
      <rPr>
        <b/>
        <sz val="12"/>
        <color indexed="8"/>
        <rFont val="Times New Roman"/>
        <family val="1"/>
      </rPr>
      <t>Tanks of 1000/5000 Litres</t>
    </r>
    <r>
      <rPr>
        <sz val="12"/>
        <color indexed="8"/>
        <rFont val="Times New Roman"/>
        <family val="1"/>
      </rPr>
      <t xml:space="preserve"> capacity including all labour and material as per the direction of Engineer</t>
    </r>
  </si>
  <si>
    <t>lts.</t>
  </si>
  <si>
    <t>WS-18</t>
  </si>
  <si>
    <r>
      <t xml:space="preserve">Providing, supplying and fixing in position </t>
    </r>
    <r>
      <rPr>
        <b/>
        <sz val="12"/>
        <color indexed="8"/>
        <rFont val="Times New Roman"/>
        <family val="1"/>
      </rPr>
      <t>brass float valves</t>
    </r>
    <r>
      <rPr>
        <sz val="12"/>
        <color indexed="8"/>
        <rFont val="Times New Roman"/>
        <family val="1"/>
      </rPr>
      <t xml:space="preserve"> in water tanks on top of the roof, all labour and material as per the direction of the Engineer.</t>
    </r>
  </si>
  <si>
    <t>18.18.3</t>
  </si>
  <si>
    <t>WS-19</t>
  </si>
  <si>
    <r>
      <t xml:space="preserve">Providing and fixing on wall face </t>
    </r>
    <r>
      <rPr>
        <b/>
        <sz val="12"/>
        <color indexed="8"/>
        <rFont val="Times New Roman"/>
        <family val="1"/>
      </rPr>
      <t>unplasticised Rigid PVC rain water pipes</t>
    </r>
    <r>
      <rPr>
        <sz val="12"/>
        <color indexed="8"/>
        <rFont val="Times New Roman"/>
        <family val="1"/>
      </rPr>
      <t xml:space="preserve"> conforming to IS : 13592 Type A, including jointing with seal ring conforming to IS : 5382, leaving 10 mm gap for thermal expansion,  (i) Single socketed pipes-.110 mm diameter</t>
    </r>
  </si>
  <si>
    <t>12.41.2</t>
  </si>
  <si>
    <t>WS-20</t>
  </si>
  <si>
    <r>
      <rPr>
        <b/>
        <sz val="10"/>
        <color indexed="63"/>
        <rFont val="Arial"/>
        <family val="2"/>
      </rPr>
      <t xml:space="preserve">Making connection of drain or sewer line </t>
    </r>
    <r>
      <rPr>
        <sz val="10"/>
        <color indexed="63"/>
        <rFont val="Arial"/>
        <family val="2"/>
      </rPr>
      <t>with existing manhole including breaking into and making good the walls, floors with cement concrete 1:2:4 mix (1 cement : 2 coarse sand : 4 graded stone aggregate 20 mm nominal size) cement plastered on both sides with cement mortar 1:3 (1 cement : 3 coarse sand), finished with a floating coat of neat cement and making necessary channels for the drain etc. complete</t>
    </r>
  </si>
  <si>
    <t>EACH</t>
  </si>
  <si>
    <t>19.21.3</t>
  </si>
  <si>
    <t>WS-21</t>
  </si>
  <si>
    <r>
      <t>Construction of Manhole of internal size 1200 mm x 900 mm</t>
    </r>
    <r>
      <rPr>
        <sz val="12"/>
        <color indexed="8"/>
        <rFont val="Times New Roman"/>
        <family val="1"/>
      </rPr>
      <t xml:space="preserve"> in brick work in cement mortar 1:4 including earth work in excavation, filling of excavated earth &amp; transportation of surplus earth upto a lead of 500 m, bed concrete 1:3:6 (1 Cement: 3 Coarse sand: 6 Stone aggregates of 40 mm &amp; downgraded size) &amp; RCC 1:1.5:3 (1Cement: 1.5 Coarse sand: 3 Stone aggregates of 20 mm &amp; down graded size) cover slab with opening for circular man hole cover including fixing of CI heavy duty manhole cover conforming to IS 1726-1991 with frame &amp; 12mm thick cement plaster inside &amp; outside in cement mortar 1:3 including channel &amp; benching in cement concrete 1:2:4 (1Cement:2 Coarse sand: 4 Stone aggregates of 20mm &amp; downgraded size) rendered smooth with neat cement and fixing rungs in concrete block of mix 1:2:4 (1Cement:2 Coarse sand: 4 Stone aggregates of 20mm &amp; downgraded size)  of size 600 x 230 x 150 mm etc complete as per IS:4111(Part-1)1986, drawings, specifications and direction of engineer-in-charge. a) Upto a depth 2.5 m</t>
    </r>
  </si>
  <si>
    <t>19.7.3.1 + 1.6* 19.8.2.1</t>
  </si>
  <si>
    <t>WS-22</t>
  </si>
  <si>
    <t>Constructing masonry Chamber 30x30x50 cm inside, in brick work in cement mortar 1:4 (1 cement :4 coarse sand) for stop cock, with C. I. surface box 100x100 x75 mm (inside) with hinged cover fixed in cement concrete slab 1:2:4 mix (1 cement : 2 coarse sand : 4 graded stone aggregate 20 mm nominal size), i/c necessary excavation, foundation concrete 1:5:10 ( 1 cement : 5 fine sand : 10 graded stone aggregate 40mm nominal size ) and inside plastering with cement mortar 1:3 (1 cement : 3 coarse sand) 12mm thick, finished with a floating coat of neat cement complete as per standard design :</t>
  </si>
  <si>
    <t>18.32.1</t>
  </si>
  <si>
    <t>WS-23</t>
  </si>
  <si>
    <r>
      <rPr>
        <b/>
        <sz val="10"/>
        <color indexed="63"/>
        <rFont val="Arial"/>
        <family val="2"/>
      </rPr>
      <t xml:space="preserve">Providing and fixing bend </t>
    </r>
    <r>
      <rPr>
        <sz val="10"/>
        <color indexed="63"/>
        <rFont val="Arial"/>
        <family val="2"/>
      </rPr>
      <t>of required degree with access door, insertion rubber washer 3 mm thick, bolts and nuts complete</t>
    </r>
  </si>
  <si>
    <t>a) 100 mm dia-Sand cast iron S&amp;S as per IS - 3989</t>
  </si>
  <si>
    <t>17.38.1.2</t>
  </si>
  <si>
    <t>WS-24</t>
  </si>
  <si>
    <r>
      <rPr>
        <b/>
        <sz val="12"/>
        <color indexed="8"/>
        <rFont val="Segoe UI"/>
        <family val="2"/>
      </rPr>
      <t xml:space="preserve">Providing and fixing square-mouth S.W. gully trap </t>
    </r>
    <r>
      <rPr>
        <sz val="12"/>
        <color indexed="8"/>
        <rFont val="Segoe UI"/>
        <family val="2"/>
      </rPr>
      <t>class SP-1 complete with C.I. grating brick masonry chamber with water tight C.I. cover with frame of 300 x300 mm size (inside) the weight of cover to be not less than 4.50 kg and frame to be not less than 2.70 kg as per standard design: 150 x 100 mm size P type with fly ash bricks</t>
    </r>
  </si>
  <si>
    <t>19.4.2.1</t>
  </si>
  <si>
    <t>WS-25</t>
  </si>
  <si>
    <r>
      <t>S</t>
    </r>
    <r>
      <rPr>
        <b/>
        <sz val="12"/>
        <color indexed="8"/>
        <rFont val="Segoe UI"/>
        <family val="2"/>
      </rPr>
      <t>upplying and fixing C.I. cover</t>
    </r>
    <r>
      <rPr>
        <sz val="12"/>
        <color indexed="8"/>
        <rFont val="Segoe UI"/>
        <family val="2"/>
      </rPr>
      <t xml:space="preserve"> with frame for manholes-560 mm diameter C.I. cover (heavy duty) the weight of the
cover to be not less than 108 kg</t>
    </r>
  </si>
  <si>
    <t>3860+19.18.3</t>
  </si>
  <si>
    <t>WS-26</t>
  </si>
  <si>
    <r>
      <rPr>
        <b/>
        <sz val="12"/>
        <color indexed="8"/>
        <rFont val="Segoe UI"/>
        <family val="2"/>
      </rPr>
      <t>Making soak pit</t>
    </r>
    <r>
      <rPr>
        <sz val="12"/>
        <color indexed="8"/>
        <rFont val="Segoe UI"/>
        <family val="2"/>
      </rPr>
      <t xml:space="preserve"> 2.5 m diameter 3.0 metre deep</t>
    </r>
  </si>
  <si>
    <t>19.32.1</t>
  </si>
  <si>
    <t>M30 D grout</t>
  </si>
  <si>
    <t>5.33.1.2+5*5.9.2</t>
  </si>
  <si>
    <t>10.2*1000</t>
  </si>
  <si>
    <t xml:space="preserve">PILING </t>
  </si>
  <si>
    <t>600 DIA piles including reinforcement</t>
  </si>
  <si>
    <t>20.2.3 + 5.22.6 *50</t>
  </si>
  <si>
    <t>CIVIL</t>
  </si>
  <si>
    <t>Utility pipelines with supports - IS 2062</t>
  </si>
  <si>
    <t>Supply of complete flange to flange ESP (900000m3/h) for &lt;30mg/Nm3 emission, internals, TR sets, supporting structures, hoppers, slide gate and double flap valve, insulation etc.</t>
  </si>
  <si>
    <t>Rate Cost ( in lakhs)</t>
  </si>
  <si>
    <t xml:space="preserve">HT &amp; LT power cable &amp; control Cable, </t>
  </si>
  <si>
    <t>Cable termination &amp; jointing , Cable Tray, mscellaneous like rubber mat, safety gloves etc</t>
  </si>
  <si>
    <t>vi</t>
  </si>
  <si>
    <t>ix</t>
  </si>
  <si>
    <t>Escalation of 1.07 considered as per WPI</t>
  </si>
  <si>
    <t>Escalation of 1.11 considered as per WPI</t>
  </si>
  <si>
    <t>New Stair Case</t>
  </si>
  <si>
    <t>Dismantling of existing Stair Cases</t>
  </si>
  <si>
    <t xml:space="preserve">BQ from Macawber Ref.: 2108243- P dated  27/09/2021. </t>
  </si>
  <si>
    <t>CTE Remarks</t>
  </si>
  <si>
    <t>As talked over phone with TFM(Mech.) on 01.01.2022, New stair cases to be considered after dismantling of existing stair cases. For per ton rate, refer email from TFM(Stru.) dt. 27.12.2021 to TFL.</t>
  </si>
  <si>
    <t>CIVIL-Others</t>
  </si>
  <si>
    <t>Engg Estimate based on departmental database</t>
  </si>
  <si>
    <t>TFL confirmed that the design flow considered in BQ of M/s Flsmidth is for ESP is 900000 which is same as required design flow. 5 % for D&amp;E and 2 % for frieght component from BQ has been deducted to arrive at basic price.</t>
  </si>
  <si>
    <t>S T E E L   A U T H O R I T Y   OF   I N D I A    L I M I T E D</t>
  </si>
  <si>
    <t>Annexure-6.1.1-2</t>
  </si>
  <si>
    <t>`</t>
  </si>
  <si>
    <t>Plant cost</t>
  </si>
  <si>
    <t>Page-1/3</t>
  </si>
  <si>
    <t>Page-2/3</t>
  </si>
  <si>
    <t>Page-3/3</t>
  </si>
  <si>
    <t>RATES &amp; DUTIES</t>
  </si>
  <si>
    <t>Date</t>
  </si>
  <si>
    <t>10.05.2016</t>
  </si>
  <si>
    <t>Annexure-3</t>
  </si>
  <si>
    <t>-</t>
  </si>
  <si>
    <t>FE parity with FP rate</t>
  </si>
  <si>
    <t>** DETAILED CAPITAL COST ESTIMATE**</t>
  </si>
  <si>
    <t>Figures in Rs. Crore</t>
  </si>
  <si>
    <t>FE PARITY:</t>
  </si>
  <si>
    <t>FP rate</t>
  </si>
  <si>
    <t>CD</t>
  </si>
  <si>
    <t>IT</t>
  </si>
  <si>
    <t>E&amp;C</t>
  </si>
  <si>
    <t>GST (Supply &amp; services)</t>
  </si>
  <si>
    <t>Contingn</t>
  </si>
  <si>
    <t>GST (freight)</t>
  </si>
  <si>
    <t>1 US $= Rs.</t>
  </si>
  <si>
    <t>(@10%)</t>
  </si>
  <si>
    <t>1 Euro= Rs.</t>
  </si>
  <si>
    <t>1 UK POUND=</t>
  </si>
  <si>
    <t>1st year</t>
  </si>
  <si>
    <t>1 JAP Y=</t>
  </si>
  <si>
    <t>2nd  year</t>
  </si>
  <si>
    <t>Sl.No.</t>
  </si>
  <si>
    <t>SHOP/FACILITY/PACKAGE</t>
  </si>
  <si>
    <t>FC</t>
  </si>
  <si>
    <t>EQUIPMENT</t>
  </si>
  <si>
    <t>SPARES</t>
  </si>
  <si>
    <t>TECHNOLOGICAL STRS.</t>
  </si>
  <si>
    <t xml:space="preserve"> BUILDING STRUCTURES</t>
  </si>
  <si>
    <t>REFRACTORIES</t>
  </si>
  <si>
    <t>ERECTION</t>
  </si>
  <si>
    <t>ENGG. &amp; CONSTRN.</t>
  </si>
  <si>
    <t>FRT. &amp; INS.</t>
  </si>
  <si>
    <t xml:space="preserve">IMPORT DUTIES, IT &amp;  CESS              </t>
  </si>
  <si>
    <t>INDIGENOUS DUTY &amp; TAXES</t>
  </si>
  <si>
    <t>KNOW-HOW</t>
  </si>
  <si>
    <t>TRAINING</t>
  </si>
  <si>
    <t>OTHERS</t>
  </si>
  <si>
    <t>CONTINGENCY</t>
  </si>
  <si>
    <t xml:space="preserve">TOTAL CAPITAL COST </t>
  </si>
  <si>
    <t>EXTRA</t>
  </si>
  <si>
    <t>ADOPTED</t>
  </si>
  <si>
    <t>Imported</t>
  </si>
  <si>
    <t>Indigenous</t>
  </si>
  <si>
    <t>BOUGHT OUT</t>
  </si>
  <si>
    <t>SITE FAB. .</t>
  </si>
  <si>
    <t>Others</t>
  </si>
  <si>
    <t>Equipment Foundation</t>
  </si>
  <si>
    <t>Equipment</t>
  </si>
  <si>
    <t>Structure</t>
  </si>
  <si>
    <t>Refractories</t>
  </si>
  <si>
    <t>Dismantling</t>
  </si>
  <si>
    <t>Contractor's</t>
  </si>
  <si>
    <t>Owner's</t>
  </si>
  <si>
    <t>Ocean</t>
  </si>
  <si>
    <t>Inland</t>
  </si>
  <si>
    <t>GST</t>
  </si>
  <si>
    <t>ITax on</t>
  </si>
  <si>
    <t>(not to be printed)</t>
  </si>
  <si>
    <t>Post Comm.</t>
  </si>
  <si>
    <t>HW</t>
  </si>
  <si>
    <t>SW</t>
  </si>
  <si>
    <t>Foreign Sup.</t>
  </si>
  <si>
    <t>Design Engg.</t>
  </si>
  <si>
    <t>Imp.</t>
  </si>
  <si>
    <t>Ind.</t>
  </si>
  <si>
    <t>Imp. Supply</t>
  </si>
  <si>
    <t>FS</t>
  </si>
  <si>
    <t>Imp. Services</t>
  </si>
  <si>
    <t>Ind. Supply</t>
  </si>
  <si>
    <t>Ind. Services</t>
  </si>
  <si>
    <t>Imp duty</t>
  </si>
  <si>
    <t>LC</t>
  </si>
  <si>
    <t>TOTAL</t>
  </si>
  <si>
    <t>Input tax credit (ITC)</t>
  </si>
  <si>
    <t>f</t>
  </si>
  <si>
    <t>g</t>
  </si>
  <si>
    <t>h</t>
  </si>
  <si>
    <t>j</t>
  </si>
  <si>
    <t>k</t>
  </si>
  <si>
    <t>l</t>
  </si>
  <si>
    <t>m</t>
  </si>
  <si>
    <t>n</t>
  </si>
  <si>
    <t>o</t>
  </si>
  <si>
    <t>p</t>
  </si>
  <si>
    <t>q</t>
  </si>
  <si>
    <t>r</t>
  </si>
  <si>
    <t>s</t>
  </si>
  <si>
    <t>u</t>
  </si>
  <si>
    <t>w</t>
  </si>
  <si>
    <t>x</t>
  </si>
  <si>
    <t>y</t>
  </si>
  <si>
    <t>z</t>
  </si>
  <si>
    <t>aa</t>
  </si>
  <si>
    <t>ab</t>
  </si>
  <si>
    <t>ac</t>
  </si>
  <si>
    <t>ae</t>
  </si>
  <si>
    <t>af</t>
  </si>
  <si>
    <t>ag</t>
  </si>
  <si>
    <t>ah</t>
  </si>
  <si>
    <t>al</t>
  </si>
  <si>
    <t>an</t>
  </si>
  <si>
    <t>ao</t>
  </si>
  <si>
    <t>ap</t>
  </si>
  <si>
    <t>aq</t>
  </si>
  <si>
    <t>ar</t>
  </si>
  <si>
    <t>as</t>
  </si>
  <si>
    <t>at</t>
  </si>
  <si>
    <t>au</t>
  </si>
  <si>
    <t>av</t>
  </si>
  <si>
    <t>aw</t>
  </si>
  <si>
    <t>ax</t>
  </si>
  <si>
    <t>ay</t>
  </si>
  <si>
    <t xml:space="preserve">Total net of ITC </t>
  </si>
  <si>
    <t>1 (a)</t>
  </si>
  <si>
    <t>1 (b)</t>
  </si>
  <si>
    <t>1 (c)</t>
  </si>
  <si>
    <t>1 (d)</t>
  </si>
  <si>
    <t>Total Plant cost</t>
  </si>
  <si>
    <t>NORMS:</t>
  </si>
  <si>
    <t xml:space="preserve">CAPITAL COST </t>
  </si>
  <si>
    <t>**ERECTION COST**:</t>
  </si>
  <si>
    <t>Indg.</t>
  </si>
  <si>
    <t>EQUIPMENT-HW (IMP+IND)-IN LC</t>
  </si>
  <si>
    <t>Capital Cost net of ITC</t>
  </si>
  <si>
    <t xml:space="preserve">STRUCTURES-HW (IMP+IND)-IN </t>
  </si>
  <si>
    <t>LC FOR TECH,B/O &amp; SITE FAB</t>
  </si>
  <si>
    <t>REFRACTORIES-HW(IMP+IND)-IN</t>
  </si>
  <si>
    <t>**ENGG. &amp; CONSTRUCTION**</t>
  </si>
  <si>
    <t>OWNER'S--IN FC</t>
  </si>
  <si>
    <t>OWNER'S--IN LC</t>
  </si>
  <si>
    <t>Foreign Supervision</t>
  </si>
  <si>
    <t>Else manday x per diem rate</t>
  </si>
  <si>
    <t>CONTRACTORS' IN FC</t>
  </si>
  <si>
    <t>CONTRACTORS' IN LC</t>
  </si>
  <si>
    <t>**FREIGHT &amp; INSURANCE**</t>
  </si>
  <si>
    <t xml:space="preserve">OCEAN FR &amp; INSURANCE- </t>
  </si>
  <si>
    <t xml:space="preserve">  ON HW FC</t>
  </si>
  <si>
    <t>INLAND FR &amp; INS.-ON IMP HW EQ &amp;</t>
  </si>
  <si>
    <t>SPARES-IN LC</t>
  </si>
  <si>
    <t>INLAND FR &amp; INS.-ON IMP HW STRS &amp;</t>
  </si>
  <si>
    <t>REFRACTORIES-IN LC</t>
  </si>
  <si>
    <t>INLAND FR &amp; INS - ON IND HW EQ</t>
  </si>
  <si>
    <t>&amp; SPARES</t>
  </si>
  <si>
    <t>INLAND FR &amp; INS - ON IND HW STRS</t>
  </si>
  <si>
    <t>&amp; REFRACTORIES</t>
  </si>
  <si>
    <t>**TAXES &amp; DUTIES**</t>
  </si>
  <si>
    <t>IMPORT DUTY (PROJECT ID)</t>
  </si>
  <si>
    <t>BCD</t>
  </si>
  <si>
    <t>GST (Imp. Supply)</t>
  </si>
  <si>
    <t>GST (Imp. Services)</t>
  </si>
  <si>
    <t>2007-08</t>
  </si>
  <si>
    <t>I R R</t>
  </si>
  <si>
    <t>%</t>
  </si>
  <si>
    <t>GST (Ind. Supply)</t>
  </si>
  <si>
    <t>EXPENDITURE</t>
  </si>
  <si>
    <t>UNIT</t>
  </si>
  <si>
    <t>GST (Ind. Services)</t>
  </si>
  <si>
    <t>Energy Consumption/Annum</t>
  </si>
  <si>
    <t>kwh</t>
  </si>
  <si>
    <t>P.I.</t>
  </si>
  <si>
    <t>Ratio</t>
  </si>
  <si>
    <t>GST (Freight)</t>
  </si>
  <si>
    <t>Energy Cost/Annum</t>
  </si>
  <si>
    <t>Rs Lakh</t>
  </si>
  <si>
    <t>INCOME TAX RATE</t>
  </si>
  <si>
    <t>Miscellaneous</t>
  </si>
  <si>
    <t>Total Expenditure</t>
  </si>
  <si>
    <t>Social Welfare surcharge</t>
  </si>
  <si>
    <t>Cess on I.Tax / Corp tax</t>
  </si>
  <si>
    <t>CONTINGENCIES</t>
  </si>
  <si>
    <t>ANNEXURE  6.1.1-1</t>
  </si>
  <si>
    <t>**CAPITAL COST ESTIMATE**SUMMARY</t>
  </si>
  <si>
    <t>Sl.No</t>
  </si>
  <si>
    <t>EQUIPMENT + Tech. Structures</t>
  </si>
  <si>
    <t>Building STRUCTURALS</t>
  </si>
  <si>
    <t>ENGG &amp; CONSTN</t>
  </si>
  <si>
    <t>FRT. &amp; INSURANCE</t>
  </si>
  <si>
    <t>DUTIES &amp; TAXES</t>
  </si>
  <si>
    <t>CAPITAL COST</t>
  </si>
  <si>
    <t>Incl.</t>
  </si>
  <si>
    <t>Cost</t>
  </si>
  <si>
    <t>I</t>
  </si>
  <si>
    <t xml:space="preserve">         CAPITAL COST ESTIMATE (SUMMARY)</t>
  </si>
  <si>
    <t>(For Presentation Purpose Only)</t>
  </si>
  <si>
    <t>Sl.</t>
  </si>
  <si>
    <t>Amount</t>
  </si>
  <si>
    <t>No.</t>
  </si>
  <si>
    <t>Equipment+Tech. Struct.</t>
  </si>
  <si>
    <t>Spares</t>
  </si>
  <si>
    <t>Building Structures</t>
  </si>
  <si>
    <t>Civil Works</t>
  </si>
  <si>
    <t>Erec. &amp; Comm.</t>
  </si>
  <si>
    <t>Engg. &amp; Constn</t>
  </si>
  <si>
    <t>Freight &amp; Insurance</t>
  </si>
  <si>
    <t>Taxes &amp; Duties</t>
  </si>
  <si>
    <t>Contingencies</t>
  </si>
  <si>
    <t>Total Plant Cost</t>
  </si>
  <si>
    <t xml:space="preserve">IDC </t>
  </si>
  <si>
    <t>Capital Cost</t>
  </si>
  <si>
    <t>Area survey &amp; soil investigation (Package - I)</t>
  </si>
  <si>
    <t>Auxiliary Packageg (Package - III &amp; other packages)</t>
  </si>
  <si>
    <t xml:space="preserve">Supply package </t>
  </si>
  <si>
    <t>PHASING OF EXPENDITURE &amp; IDC (27 months from Stg.-2 approval)</t>
  </si>
  <si>
    <t>3rd year (3 months)</t>
  </si>
  <si>
    <t xml:space="preserve">Nos </t>
  </si>
  <si>
    <t>BQ from M/s Emcons (system house of M/s Rockwell) Dated 08.03.2021</t>
  </si>
  <si>
    <t>integration with plant ERP/ MIS and aditional HMIs for respective sinter machine cotntrol room along with OFC cable, N/w hardware and aceessories</t>
  </si>
  <si>
    <t>Engineering estimate (Lot for 3 machines)</t>
  </si>
  <si>
    <t>Description</t>
  </si>
  <si>
    <t xml:space="preserve"> 5 % knockdown as per cost committee held on 04.01.2022.</t>
  </si>
  <si>
    <t>Base date: 1st Qtr 2022</t>
  </si>
  <si>
    <r>
      <rPr>
        <sz val="12"/>
        <color indexed="10"/>
        <rFont val="Times New Roman"/>
        <family val="1"/>
      </rPr>
      <t xml:space="preserve">Screw </t>
    </r>
    <r>
      <rPr>
        <sz val="12"/>
        <rFont val="Times New Roman"/>
        <family val="1"/>
      </rPr>
      <t>Air Compressor with air dryer</t>
    </r>
    <r>
      <rPr>
        <sz val="12"/>
        <color indexed="10"/>
        <rFont val="Times New Roman"/>
        <family val="1"/>
      </rPr>
      <t xml:space="preserve"> (400 fad)</t>
    </r>
  </si>
  <si>
    <r>
      <t xml:space="preserve">New Ductwork – IS 2062, fabricated </t>
    </r>
    <r>
      <rPr>
        <sz val="12"/>
        <color indexed="10"/>
        <rFont val="Times New Roman"/>
        <family val="1"/>
      </rPr>
      <t>(6 mm thick)</t>
    </r>
  </si>
  <si>
    <t>To be viewed by Civil Deptt</t>
  </si>
  <si>
    <t xml:space="preserve"> 20 % Knockdwon as per Design review held on 24.02.2022.                                 5 % D &amp; E included in BQ has been deducted to arrive at basic price.</t>
  </si>
  <si>
    <t>As per Design review, cost to be viewed by PC &amp; A. TFM (PC &amp; A) vide email dt. 28.02.22, confirmed to knockdown the PLC cost by 50%</t>
  </si>
  <si>
    <t>As per Design review, the engnieering estiamte to be knockdown by 20%</t>
  </si>
  <si>
    <t>As per design review rate to be cosnidered as  @1L/ton</t>
  </si>
  <si>
    <t>As per Design review, the 30% discount to be considered in place of 20%</t>
  </si>
  <si>
    <t>10% knockdown as per Design reivew</t>
  </si>
  <si>
    <t>As per Design review , 20lakh to be co nsidered in place of 29.86lakh</t>
  </si>
  <si>
    <t>As per design review, to be deleted from scope.</t>
  </si>
  <si>
    <t>As per design review observations, TFM(Civil) has reduced quantity from 3000m to 1500m</t>
  </si>
  <si>
    <t>Sl.no</t>
  </si>
  <si>
    <t>Capital cost (net of ITC)</t>
  </si>
  <si>
    <t>Rs.135.92 Cr.</t>
  </si>
  <si>
    <t>Basis</t>
  </si>
  <si>
    <t>BQ of M/s FLSmidth dtd 10.08.2021.</t>
  </si>
  <si>
    <t>BQ of M/s ELEX dtd 26.07.2021 - Not considered</t>
  </si>
  <si>
    <t>Implementation schedule from stage-II</t>
  </si>
  <si>
    <t>Value</t>
  </si>
  <si>
    <t xml:space="preserve">27 months </t>
  </si>
  <si>
    <t>Erection</t>
  </si>
  <si>
    <t>20 % for Equipment &amp; structure</t>
  </si>
  <si>
    <t xml:space="preserve">Replacement of Balance 4 nos. battery cyclones by ESPs for SP I, BSL </t>
  </si>
  <si>
    <t xml:space="preserve">Equipment cost </t>
  </si>
  <si>
    <t>Rs. 76.65 crore</t>
  </si>
  <si>
    <t>Utilities</t>
  </si>
  <si>
    <t>Rs.69.03 Cr</t>
  </si>
  <si>
    <t>Rs.0.44 Cr</t>
  </si>
  <si>
    <t xml:space="preserve">Rs. </t>
  </si>
  <si>
    <t>Rs. 5.54Cr.</t>
  </si>
  <si>
    <t>Rs. 1.63 Cr.</t>
  </si>
  <si>
    <t>Percentage</t>
  </si>
  <si>
    <t>Rs. 3.20 Cr</t>
  </si>
  <si>
    <t>Rs. 0.54 Cr.</t>
  </si>
  <si>
    <t>Rs. 1 lakh /ton</t>
  </si>
  <si>
    <t>Rs. 0.9 lakh/ton</t>
  </si>
  <si>
    <t>Rs. 1.28 Cr</t>
  </si>
  <si>
    <t>Civil (Equpt. Foundation)</t>
  </si>
  <si>
    <t>Rs. 7.85 Cr</t>
  </si>
  <si>
    <t>Civil (Others)</t>
  </si>
  <si>
    <t xml:space="preserve">Rs. 1.45 Cr. </t>
  </si>
  <si>
    <t>FINAL 10% KNOCKDOWN AS PER DESIGN REVIEW ON 24.02.2022 in place of 5 % knockdown during cost committee</t>
  </si>
  <si>
    <t>TFL confirmed that the required design flow for ESP is 900000 and in BQ of M/s Elex the flow considered is 1154780. So after capcity adjustment the price provided by TFL is 7772.83 lakh.After  removing 5 % for D&amp;E component from BQ, the price comes to 7402.70 lakh.</t>
  </si>
  <si>
    <t>BQ of M/s FLS dtd 10.08.2021.</t>
  </si>
  <si>
    <t>Havells Dec2021 Price list with 30% dicount in palce of 20 % discount</t>
  </si>
  <si>
    <t>CONFIDENTIAL</t>
  </si>
  <si>
    <t xml:space="preserve">Ref. No.: CET-17(4)/4004/  31       </t>
  </si>
  <si>
    <t>Date: 04.02.2015</t>
  </si>
  <si>
    <t>(Name of Plant)</t>
  </si>
  <si>
    <t>(Name of projects)</t>
  </si>
  <si>
    <t>Augmentation of facilities to supply rails for Iran export order</t>
  </si>
  <si>
    <t>PACKAGE COST ESTIMATE</t>
  </si>
  <si>
    <t>TS NO.: CET/01/BH/4004/TS/ME/01/R=1</t>
  </si>
  <si>
    <t>1 EURO=Rs.</t>
  </si>
  <si>
    <t>Rs. Crore</t>
  </si>
  <si>
    <t>1 USD=Rs.</t>
  </si>
  <si>
    <t>Description of Item</t>
  </si>
  <si>
    <t xml:space="preserve">Design &amp; Engineering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</si>
  <si>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</si>
  <si>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</si>
  <si>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</si>
  <si>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</si>
  <si>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</si>
  <si>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</si>
  <si>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</si>
  <si>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r>
      <rPr>
        <b/>
        <u/>
        <sz val="12"/>
        <rFont val="Arial"/>
        <family val="2"/>
      </rPr>
      <t>Foreign</t>
    </r>
    <r>
      <rPr>
        <sz val="12"/>
        <rFont val="Arial"/>
        <family val="2"/>
      </rPr>
      <t xml:space="preserve"> Supervision charges in India during erection, startup, commissioning and PG test </t>
    </r>
    <r>
      <rPr>
        <b/>
        <sz val="12"/>
        <rFont val="Arial"/>
        <family val="2"/>
      </rPr>
      <t>for _____mandays</t>
    </r>
  </si>
  <si>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</si>
  <si>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</si>
  <si>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</si>
  <si>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 xml:space="preserve">Included above </t>
  </si>
  <si>
    <t>Supply of 2 years O &amp; M spares</t>
  </si>
  <si>
    <t>Sub-total (1 to 13)</t>
  </si>
  <si>
    <t>Purchaser's Scope:</t>
  </si>
  <si>
    <t>BCD @7.5%  on CIF</t>
  </si>
  <si>
    <t xml:space="preserve">Social welfare surcharge @ 10% on BCD </t>
  </si>
  <si>
    <t xml:space="preserve">GST @ 18 % on imported supply </t>
  </si>
  <si>
    <t>Income Tax  @ 10 % grossed-up on imported services</t>
  </si>
  <si>
    <t>GST @ 18 % on imported Services &amp; IT</t>
  </si>
  <si>
    <t>Input tax credit (ITC) for GST</t>
  </si>
  <si>
    <t>(M. K. Mishra)</t>
  </si>
  <si>
    <t>GM (Projects-CTE)</t>
  </si>
  <si>
    <t>SAIL/CET</t>
  </si>
  <si>
    <t>13.05.2016</t>
  </si>
  <si>
    <t>-do</t>
  </si>
  <si>
    <t>Erection for imported supply</t>
  </si>
  <si>
    <t>Erection for plant &amp; equipt</t>
  </si>
  <si>
    <t xml:space="preserve">Erection for structure </t>
  </si>
  <si>
    <t xml:space="preserve">Erection for refractory </t>
  </si>
  <si>
    <t>Basic cost</t>
  </si>
  <si>
    <t xml:space="preserve">                  Indigenous supplies &amp; services</t>
  </si>
  <si>
    <t>Imp. Items</t>
  </si>
  <si>
    <t>Indg. Items</t>
  </si>
  <si>
    <t>GST Ind. supply</t>
  </si>
  <si>
    <t>GST Ind. services</t>
  </si>
  <si>
    <t xml:space="preserve">Inland Frt &amp; Ins </t>
  </si>
  <si>
    <t>Purchaser's scope</t>
  </si>
  <si>
    <t>Design &amp; Engineering</t>
  </si>
  <si>
    <t xml:space="preserve">Supply of Plant &amp; eqpt  </t>
  </si>
  <si>
    <t>Supply of  SW</t>
  </si>
  <si>
    <t xml:space="preserve">Supply of  Tech Strs </t>
  </si>
  <si>
    <t>Building structures</t>
  </si>
  <si>
    <t>Civil work incl. all related supplies -Equipment foundation</t>
  </si>
  <si>
    <t>Civil work incl. all related supplies - Others</t>
  </si>
  <si>
    <t xml:space="preserve">Erection of Plant &amp; eqpt </t>
  </si>
  <si>
    <t xml:space="preserve">Erection of Tech Strs, </t>
  </si>
  <si>
    <t xml:space="preserve">Erection of  Refractories </t>
  </si>
  <si>
    <t xml:space="preserve">Erection of  build. strs </t>
  </si>
  <si>
    <t>Training</t>
  </si>
  <si>
    <t>a) Ocean Freight</t>
  </si>
  <si>
    <t>b) Custom, port clearance &amp; inland trasport</t>
  </si>
  <si>
    <t>Supply of 2 years O&amp;M spares</t>
  </si>
  <si>
    <t>ITC for GST</t>
  </si>
  <si>
    <t xml:space="preserve">Total Package Cost </t>
  </si>
  <si>
    <t>Package cost net of ITC for GST (15-16)</t>
  </si>
  <si>
    <t>TS NO.: CET/02/RN/4880/TS/UT/01/R=2, MARCH 2022</t>
  </si>
  <si>
    <t>Annexure-1</t>
  </si>
  <si>
    <t xml:space="preserve">PRICE BID EVALUATION </t>
  </si>
  <si>
    <t>Comparative statement of the quoted prices w.r.t. estimate</t>
  </si>
  <si>
    <t>Estimate</t>
  </si>
  <si>
    <t xml:space="preserve">Design &amp; Engineering incl. drgs. &amp; doc. </t>
  </si>
  <si>
    <t xml:space="preserve">Supply of Building steel structures including sheeting and glazing </t>
  </si>
  <si>
    <t>Civil Engineering Work including all related supplies- Others including dismantling</t>
  </si>
  <si>
    <t xml:space="preserve">Storage, handling, Erection of Plant &amp; eqpt, Refractories incl. Comm. &amp; PG tests of the facilities </t>
  </si>
  <si>
    <t>Foreign supervision charges in India during erection, startup, commissioning &amp; PG test for _____mandays</t>
  </si>
  <si>
    <t>Ocean Freight, Custom, port clearance &amp; inland transport for imported items</t>
  </si>
  <si>
    <t>Comprehensive Marine / transit &amp; Storage-cum-erection insurance</t>
  </si>
  <si>
    <t>Included above</t>
  </si>
  <si>
    <t>Input tax credit (ITC) on GST</t>
  </si>
  <si>
    <t>Total Quoted Price net of ITC on GST</t>
  </si>
  <si>
    <t>Variation w.r.t Estimate (in %)</t>
  </si>
  <si>
    <t xml:space="preserve">Ranking </t>
  </si>
  <si>
    <t>L1</t>
  </si>
  <si>
    <t>L2</t>
  </si>
  <si>
    <t xml:space="preserve">M/s BHEL </t>
  </si>
  <si>
    <t>Original Price bid</t>
  </si>
  <si>
    <t>Decrement Price bid</t>
  </si>
  <si>
    <t>M/s Elex</t>
  </si>
  <si>
    <t>Price bid after decrement</t>
  </si>
  <si>
    <t>N.A.</t>
  </si>
  <si>
    <t>COVERED IN SL.NO. 7</t>
  </si>
  <si>
    <t>INCLUDED IN SL.NO. 2</t>
  </si>
  <si>
    <t>Supply of two year O &amp; M spares</t>
  </si>
  <si>
    <t xml:space="preserve">Training charges:                                                                             For _____Foreign mandays                                                For _____Indian mandays                </t>
  </si>
  <si>
    <t>COVERED IN SL.NO. 1 &amp; 2</t>
  </si>
  <si>
    <t xml:space="preserve">INCLUDED IN SL.NO. 2               </t>
  </si>
  <si>
    <t xml:space="preserve">Note: This is a computer generated document. It does not require signature. </t>
  </si>
  <si>
    <t>Total Quoted Price (1 to 13)</t>
  </si>
  <si>
    <t>% CONSIDERED BY BHEL</t>
  </si>
  <si>
    <t>% CONSIDERED BY CET</t>
  </si>
  <si>
    <t>Revised price bid of M/s BHEL dt.11.09.2023</t>
  </si>
  <si>
    <t>COVERED IN SL.NO. 2</t>
  </si>
  <si>
    <t>Ref. No.: CET-17(4)/4880-</t>
  </si>
  <si>
    <t>Date: 12.09.2023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</si>
</sst>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71" formatCode="_(* #,##0.00_);_(* \(#,##0.00\);_(* &quot;-&quot;??_);_(@_)"/>
    <numFmt numFmtId="172" formatCode="0.00_)"/>
    <numFmt numFmtId="173" formatCode="0_)"/>
    <numFmt numFmtId="174" formatCode="0.0%"/>
    <numFmt numFmtId="175" formatCode="0.000_)"/>
    <numFmt numFmtId="176" formatCode="0.0_)"/>
    <numFmt numFmtId="177" formatCode="0.0000_)"/>
    <numFmt numFmtId="178" formatCode="&quot;Rs&quot;#,##0.00_);[Red]\(&quot;Rs&quot;#,##0.00\)"/>
    <numFmt numFmtId="180" formatCode="[$INR]\ #,##0.00_);[Red]\([$INR]\ #,##0.00\)"/>
    <numFmt numFmtId="181" formatCode="0.00000_)"/>
    <numFmt numFmtId="182" formatCode="0.0000000_)"/>
    <numFmt numFmtId="183" formatCode="0.0"/>
    <numFmt numFmtId="184" formatCode="0.00000000000"/>
    <numFmt numFmtId="185" formatCode="[$INR]\ #,##0.00;[Red][$INR]\ #,##0.00"/>
    <numFmt numFmtId="186" formatCode="&quot;₹&quot;\ #,##0.00;[Red]&quot;₹&quot;\ #,##0.00"/>
    <numFmt numFmtId="189" formatCode="_(* #,##0.0000_);_(* \(#,##0.0000\);_(* &quot;-&quot;????_);_(@_)"/>
    <numFmt numFmtId="190" formatCode="0.0000%"/>
    <numFmt numFmtId="196" formatCode="0.000"/>
    <numFmt numFmtId="199" formatCode="_-* #,##0_-;\-* #,##0_-;_-* &quot;-&quot;??_-;_-@_-"/>
    <numFmt numFmtId="200" formatCode="0.000000_)"/>
    <numFmt numFmtId="201" formatCode="0.0000000"/>
    <numFmt numFmtId="204" formatCode="0.00000000_)"/>
  </numFmts>
  <fonts count="85" x14ac:knownFonts="1">
    <font>
      <sz val="12"/>
      <name val="Arial"/>
    </font>
    <font>
      <sz val="11"/>
      <color indexed="8"/>
      <name val="Calibri"/>
      <family val="2"/>
    </font>
    <font>
      <sz val="10"/>
      <name val="Arial"/>
      <family val="2"/>
    </font>
    <font>
      <b/>
      <sz val="12"/>
      <name val="Arial"/>
      <family val="2"/>
    </font>
    <font>
      <sz val="14"/>
      <name val="Arial"/>
      <family val="2"/>
    </font>
    <font>
      <sz val="12"/>
      <name val="Arial"/>
      <family val="2"/>
    </font>
    <font>
      <b/>
      <u/>
      <sz val="12"/>
      <name val="Arial"/>
      <family val="2"/>
    </font>
    <font>
      <b/>
      <sz val="14"/>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sz val="10"/>
      <name val="Courier"/>
      <family val="3"/>
    </font>
    <font>
      <b/>
      <sz val="10"/>
      <name val="Arial"/>
      <family val="2"/>
    </font>
    <font>
      <b/>
      <sz val="18"/>
      <name val="Arial"/>
      <family val="2"/>
    </font>
    <font>
      <sz val="12"/>
      <color indexed="8"/>
      <name val="Arial"/>
      <family val="2"/>
    </font>
    <font>
      <b/>
      <sz val="16"/>
      <name val="Arial"/>
      <family val="2"/>
    </font>
    <font>
      <b/>
      <i/>
      <sz val="12"/>
      <name val="Arial"/>
      <family val="2"/>
    </font>
    <font>
      <b/>
      <sz val="12"/>
      <color indexed="8"/>
      <name val="Arial"/>
      <family val="2"/>
    </font>
    <font>
      <sz val="14"/>
      <color indexed="8"/>
      <name val="Arial"/>
      <family val="2"/>
    </font>
    <font>
      <b/>
      <sz val="10"/>
      <color indexed="8"/>
      <name val="Arial"/>
      <family val="2"/>
    </font>
    <font>
      <b/>
      <sz val="14"/>
      <color indexed="8"/>
      <name val="Arial"/>
      <family val="2"/>
    </font>
    <font>
      <b/>
      <sz val="12"/>
      <name val="Times New Roman"/>
      <family val="1"/>
    </font>
    <font>
      <sz val="12"/>
      <name val="Times New Roman"/>
      <family val="1"/>
    </font>
    <font>
      <sz val="11"/>
      <name val="Calibri"/>
      <family val="2"/>
    </font>
    <font>
      <sz val="12"/>
      <color indexed="8"/>
      <name val="Times New Roman"/>
      <family val="1"/>
    </font>
    <font>
      <sz val="10"/>
      <name val="Arial"/>
      <family val="2"/>
    </font>
    <font>
      <b/>
      <sz val="12"/>
      <color indexed="8"/>
      <name val="Times New Roman"/>
      <family val="1"/>
    </font>
    <font>
      <sz val="12"/>
      <name val="Arial"/>
      <family val="2"/>
    </font>
    <font>
      <sz val="7"/>
      <color indexed="8"/>
      <name val="Times New Roman"/>
      <family val="1"/>
    </font>
    <font>
      <sz val="10"/>
      <color indexed="8"/>
      <name val="Helvetica"/>
      <family val="2"/>
    </font>
    <font>
      <b/>
      <sz val="10"/>
      <color indexed="63"/>
      <name val="Arial"/>
      <family val="2"/>
    </font>
    <font>
      <sz val="10"/>
      <color indexed="63"/>
      <name val="Arial"/>
      <family val="2"/>
    </font>
    <font>
      <b/>
      <sz val="12"/>
      <color indexed="8"/>
      <name val="Segoe UI"/>
      <family val="2"/>
    </font>
    <font>
      <sz val="12"/>
      <color indexed="8"/>
      <name val="Segoe UI"/>
      <family val="2"/>
    </font>
    <font>
      <sz val="12"/>
      <name val="Segoe UI"/>
      <family val="2"/>
    </font>
    <font>
      <sz val="12"/>
      <color indexed="12"/>
      <name val="Arial"/>
      <family val="2"/>
    </font>
    <font>
      <b/>
      <sz val="11"/>
      <name val="Arial"/>
      <family val="2"/>
    </font>
    <font>
      <sz val="20"/>
      <name val="Arial"/>
      <family val="2"/>
    </font>
    <font>
      <b/>
      <sz val="20"/>
      <name val="Arial"/>
      <family val="2"/>
    </font>
    <font>
      <sz val="18"/>
      <name val="Arial"/>
      <family val="2"/>
    </font>
    <font>
      <sz val="16"/>
      <name val="Arial"/>
      <family val="2"/>
    </font>
    <font>
      <b/>
      <sz val="9"/>
      <color indexed="81"/>
      <name val="Tahoma"/>
      <family val="2"/>
    </font>
    <font>
      <sz val="9"/>
      <color indexed="81"/>
      <name val="Tahoma"/>
      <family val="2"/>
    </font>
    <font>
      <sz val="9"/>
      <color indexed="81"/>
      <name val="Tahoma"/>
      <charset val="1"/>
    </font>
    <font>
      <b/>
      <sz val="9"/>
      <color indexed="81"/>
      <name val="Tahoma"/>
      <charset val="1"/>
    </font>
    <font>
      <sz val="12"/>
      <color indexed="10"/>
      <name val="Times New Roman"/>
      <family val="1"/>
    </font>
    <font>
      <b/>
      <sz val="10"/>
      <color indexed="56"/>
      <name val="Arial"/>
      <family val="2"/>
    </font>
    <font>
      <sz val="10"/>
      <color indexed="10"/>
      <name val="Arial"/>
      <family val="2"/>
    </font>
    <font>
      <sz val="10"/>
      <name val="Times New Roman"/>
      <family val="1"/>
    </font>
    <font>
      <b/>
      <sz val="10"/>
      <name val="Times New Roman"/>
      <family val="1"/>
    </font>
    <font>
      <sz val="10"/>
      <color indexed="56"/>
      <name val="Arial"/>
      <family val="2"/>
    </font>
    <font>
      <sz val="11"/>
      <color theme="1"/>
      <name val="Calibri"/>
      <family val="2"/>
      <scheme val="minor"/>
    </font>
    <font>
      <b/>
      <sz val="11"/>
      <color theme="1"/>
      <name val="Calibri"/>
      <family val="2"/>
      <scheme val="minor"/>
    </font>
    <font>
      <sz val="11"/>
      <color rgb="FFFF0000"/>
      <name val="Calibri"/>
      <family val="2"/>
      <scheme val="minor"/>
    </font>
    <font>
      <sz val="12"/>
      <color theme="1"/>
      <name val="Times New Roman"/>
      <family val="1"/>
    </font>
    <font>
      <b/>
      <sz val="12"/>
      <color theme="1"/>
      <name val="Times New Roman"/>
      <family val="1"/>
    </font>
    <font>
      <sz val="11"/>
      <color rgb="FF000000"/>
      <name val="Calibri"/>
      <family val="2"/>
    </font>
    <font>
      <sz val="12"/>
      <name val="Calibri"/>
      <family val="2"/>
      <scheme val="minor"/>
    </font>
    <font>
      <b/>
      <sz val="12"/>
      <color theme="1"/>
      <name val="Segoe UI"/>
      <family val="2"/>
    </font>
    <font>
      <sz val="12"/>
      <color theme="1"/>
      <name val="Segoe UI"/>
      <family val="2"/>
    </font>
    <font>
      <sz val="12"/>
      <color rgb="FF000000"/>
      <name val="Segoe UI"/>
      <family val="2"/>
    </font>
    <font>
      <sz val="12"/>
      <color rgb="FF000000"/>
      <name val="Arial"/>
      <family val="2"/>
    </font>
    <font>
      <sz val="14"/>
      <color rgb="FF000000"/>
      <name val="Arial"/>
      <family val="2"/>
    </font>
    <font>
      <sz val="12"/>
      <color theme="1"/>
      <name val="Cambria"/>
      <family val="1"/>
    </font>
    <font>
      <sz val="11"/>
      <name val="Calibri"/>
      <family val="2"/>
      <scheme val="minor"/>
    </font>
    <font>
      <sz val="12"/>
      <color rgb="FFFF0000"/>
      <name val="Times New Roman"/>
      <family val="1"/>
    </font>
    <font>
      <sz val="12"/>
      <color theme="1"/>
      <name val="Arial"/>
      <family val="2"/>
    </font>
    <font>
      <sz val="12"/>
      <color rgb="FFFF0000"/>
      <name val="Arial"/>
      <family val="2"/>
    </font>
    <font>
      <sz val="10"/>
      <color theme="1"/>
      <name val="Arial"/>
      <family val="2"/>
    </font>
    <font>
      <sz val="12"/>
      <color rgb="FFFF0000"/>
      <name val="Calibri"/>
      <family val="2"/>
      <scheme val="minor"/>
    </font>
    <font>
      <sz val="11"/>
      <color rgb="FFFF0000"/>
      <name val="Calibri"/>
      <family val="2"/>
    </font>
    <font>
      <sz val="12"/>
      <color rgb="FFFF0000"/>
      <name val="Segoe UI"/>
      <family val="2"/>
    </font>
    <font>
      <sz val="10"/>
      <color theme="1"/>
      <name val="Times New Roman"/>
      <family val="1"/>
    </font>
  </fonts>
  <fills count="27">
    <fill>
      <patternFill patternType="none"/>
    </fill>
    <fill>
      <patternFill patternType="gray125"/>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6"/>
      </patternFill>
    </fill>
    <fill>
      <patternFill patternType="solid">
        <fgColor indexed="10"/>
      </patternFill>
    </fill>
    <fill>
      <patternFill patternType="solid">
        <fgColor indexed="54"/>
      </patternFill>
    </fill>
    <fill>
      <patternFill patternType="solid">
        <fgColor indexed="46"/>
      </patternFill>
    </fill>
    <fill>
      <patternFill patternType="solid">
        <fgColor indexed="9"/>
      </patternFill>
    </fill>
    <fill>
      <patternFill patternType="solid">
        <fgColor indexed="55"/>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rgb="FF000000"/>
      </patternFill>
    </fill>
    <fill>
      <patternFill patternType="solid">
        <fgColor rgb="FF92D050"/>
        <bgColor rgb="FF000000"/>
      </patternFill>
    </fill>
    <fill>
      <patternFill patternType="solid">
        <fgColor rgb="FF00B050"/>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69">
    <xf numFmtId="172" fontId="0"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8" fillId="6"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9" borderId="0" applyNumberFormat="0" applyBorder="0" applyAlignment="0" applyProtection="0"/>
    <xf numFmtId="0" fontId="8" fillId="13" borderId="0" applyNumberFormat="0" applyBorder="0" applyAlignment="0" applyProtection="0"/>
    <xf numFmtId="0" fontId="9" fillId="15" borderId="0" applyNumberFormat="0" applyBorder="0" applyAlignment="0" applyProtection="0"/>
    <xf numFmtId="0" fontId="21" fillId="16" borderId="1" applyNumberFormat="0" applyAlignment="0" applyProtection="0"/>
    <xf numFmtId="0" fontId="10" fillId="17" borderId="2" applyNumberFormat="0" applyAlignment="0" applyProtection="0"/>
    <xf numFmtId="171" fontId="2" fillId="0" borderId="0" applyFont="0" applyFill="0" applyBorder="0" applyAlignment="0" applyProtection="0"/>
    <xf numFmtId="171" fontId="2" fillId="0" borderId="0" applyFont="0" applyFill="0" applyBorder="0" applyAlignment="0" applyProtection="0"/>
    <xf numFmtId="0" fontId="11" fillId="0" borderId="0" applyNumberFormat="0" applyFill="0" applyBorder="0" applyAlignment="0" applyProtection="0"/>
    <xf numFmtId="0" fontId="12" fillId="6" borderId="0" applyNumberFormat="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20" fillId="0" borderId="6" applyNumberFormat="0" applyFill="0" applyAlignment="0" applyProtection="0"/>
    <xf numFmtId="0" fontId="22" fillId="7" borderId="0" applyNumberFormat="0" applyBorder="0" applyAlignment="0" applyProtection="0"/>
    <xf numFmtId="0" fontId="63" fillId="0" borderId="0"/>
    <xf numFmtId="172" fontId="5" fillId="0" borderId="0"/>
    <xf numFmtId="172" fontId="39" fillId="0" borderId="0"/>
    <xf numFmtId="0" fontId="2" fillId="0" borderId="0"/>
    <xf numFmtId="172" fontId="5" fillId="0" borderId="0"/>
    <xf numFmtId="0" fontId="63" fillId="0" borderId="0"/>
    <xf numFmtId="0" fontId="2" fillId="0" borderId="0"/>
    <xf numFmtId="0" fontId="63" fillId="0" borderId="0"/>
    <xf numFmtId="0" fontId="63" fillId="0" borderId="0"/>
    <xf numFmtId="0" fontId="37" fillId="0" borderId="0"/>
    <xf numFmtId="181" fontId="5" fillId="0" borderId="0"/>
    <xf numFmtId="172" fontId="5" fillId="0" borderId="0"/>
    <xf numFmtId="189" fontId="5" fillId="0" borderId="0"/>
    <xf numFmtId="181" fontId="5" fillId="0" borderId="0"/>
    <xf numFmtId="174" fontId="23" fillId="0" borderId="0"/>
    <xf numFmtId="184" fontId="23" fillId="0" borderId="0"/>
    <xf numFmtId="172" fontId="5" fillId="0" borderId="0"/>
    <xf numFmtId="172" fontId="5" fillId="0" borderId="0"/>
    <xf numFmtId="172" fontId="5" fillId="0" borderId="0"/>
    <xf numFmtId="178" fontId="5" fillId="0" borderId="0"/>
    <xf numFmtId="0" fontId="63" fillId="0" borderId="0"/>
    <xf numFmtId="172" fontId="5" fillId="0" borderId="0"/>
    <xf numFmtId="199" fontId="5" fillId="0" borderId="0"/>
    <xf numFmtId="0" fontId="2" fillId="5" borderId="7" applyNumberFormat="0" applyFont="0" applyAlignment="0" applyProtection="0"/>
    <xf numFmtId="0" fontId="17" fillId="16"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1177">
    <xf numFmtId="172" fontId="0" fillId="0" borderId="0" xfId="0"/>
    <xf numFmtId="172" fontId="5" fillId="0" borderId="0" xfId="0" applyFont="1" applyAlignment="1">
      <alignment vertical="top" wrapText="1"/>
    </xf>
    <xf numFmtId="172" fontId="5" fillId="0" borderId="0" xfId="0" applyNumberFormat="1" applyFont="1" applyBorder="1" applyAlignment="1" applyProtection="1">
      <alignment vertical="top"/>
    </xf>
    <xf numFmtId="172" fontId="5" fillId="0" borderId="0" xfId="0" applyFont="1" applyFill="1" applyBorder="1" applyAlignment="1">
      <alignment vertical="top"/>
    </xf>
    <xf numFmtId="0" fontId="5" fillId="0" borderId="0" xfId="55" applyNumberFormat="1"/>
    <xf numFmtId="0" fontId="3" fillId="0" borderId="0" xfId="55" applyNumberFormat="1" applyFont="1" applyAlignment="1">
      <alignment horizontal="right"/>
    </xf>
    <xf numFmtId="0" fontId="5" fillId="0" borderId="0" xfId="55" applyNumberFormat="1" applyAlignment="1">
      <alignment horizontal="left"/>
    </xf>
    <xf numFmtId="0" fontId="5" fillId="0" borderId="0" xfId="55" applyNumberFormat="1" applyAlignment="1">
      <alignment horizontal="center"/>
    </xf>
    <xf numFmtId="0" fontId="5" fillId="0" borderId="0" xfId="55" applyNumberFormat="1" applyFont="1"/>
    <xf numFmtId="0" fontId="5" fillId="0" borderId="0" xfId="55" applyNumberFormat="1" applyFont="1" applyAlignment="1">
      <alignment horizontal="right" vertical="center"/>
    </xf>
    <xf numFmtId="0" fontId="3" fillId="0" borderId="10" xfId="55" applyNumberFormat="1" applyFont="1" applyBorder="1" applyAlignment="1">
      <alignment horizontal="center" vertical="top"/>
    </xf>
    <xf numFmtId="0" fontId="3" fillId="0" borderId="11" xfId="55" applyNumberFormat="1" applyFont="1" applyBorder="1" applyAlignment="1">
      <alignment vertical="top"/>
    </xf>
    <xf numFmtId="0" fontId="5" fillId="0" borderId="12" xfId="55" applyNumberFormat="1" applyFont="1" applyBorder="1" applyAlignment="1">
      <alignment vertical="top"/>
    </xf>
    <xf numFmtId="0" fontId="5" fillId="0" borderId="13" xfId="55" applyNumberFormat="1" applyFont="1" applyBorder="1" applyAlignment="1">
      <alignment vertical="top"/>
    </xf>
    <xf numFmtId="0" fontId="5" fillId="0" borderId="0" xfId="55" applyNumberFormat="1" applyAlignment="1">
      <alignment vertical="top"/>
    </xf>
    <xf numFmtId="0" fontId="5" fillId="0" borderId="0" xfId="55" applyNumberFormat="1" applyAlignment="1">
      <alignment horizontal="center" vertical="top"/>
    </xf>
    <xf numFmtId="2" fontId="5" fillId="0" borderId="0" xfId="55" applyNumberFormat="1" applyAlignment="1">
      <alignment vertical="top"/>
    </xf>
    <xf numFmtId="0" fontId="5" fillId="0" borderId="10" xfId="55" applyNumberFormat="1" applyFont="1" applyFill="1" applyBorder="1" applyAlignment="1">
      <alignment horizontal="center" vertical="top"/>
    </xf>
    <xf numFmtId="0" fontId="5" fillId="0" borderId="10" xfId="55" applyNumberFormat="1" applyFont="1" applyBorder="1" applyAlignment="1">
      <alignment horizontal="center" vertical="top"/>
    </xf>
    <xf numFmtId="2" fontId="5" fillId="0" borderId="0" xfId="55" applyNumberFormat="1"/>
    <xf numFmtId="1" fontId="5" fillId="0" borderId="0" xfId="55" applyNumberFormat="1"/>
    <xf numFmtId="1" fontId="5" fillId="18" borderId="10" xfId="55" applyNumberFormat="1" applyFont="1" applyFill="1" applyBorder="1" applyAlignment="1">
      <alignment vertical="top"/>
    </xf>
    <xf numFmtId="0" fontId="5" fillId="0" borderId="0" xfId="55" applyNumberFormat="1" applyBorder="1"/>
    <xf numFmtId="2" fontId="5" fillId="0" borderId="0" xfId="55" applyNumberFormat="1" applyFont="1" applyBorder="1"/>
    <xf numFmtId="2" fontId="3" fillId="0" borderId="10" xfId="55" applyNumberFormat="1" applyFont="1" applyBorder="1" applyAlignment="1">
      <alignment vertical="top"/>
    </xf>
    <xf numFmtId="2" fontId="5" fillId="0" borderId="10" xfId="55" applyNumberFormat="1" applyFont="1" applyBorder="1" applyAlignment="1">
      <alignment vertical="top"/>
    </xf>
    <xf numFmtId="0" fontId="3" fillId="0" borderId="14" xfId="55" applyNumberFormat="1" applyFont="1" applyBorder="1" applyAlignment="1">
      <alignment horizontal="center" vertical="top"/>
    </xf>
    <xf numFmtId="2" fontId="3" fillId="0" borderId="14" xfId="55" applyNumberFormat="1" applyFont="1" applyBorder="1" applyAlignment="1">
      <alignment vertical="top"/>
    </xf>
    <xf numFmtId="2" fontId="3" fillId="0" borderId="0" xfId="55" applyNumberFormat="1" applyFont="1" applyBorder="1"/>
    <xf numFmtId="0" fontId="5" fillId="0" borderId="15" xfId="55" applyNumberFormat="1" applyBorder="1"/>
    <xf numFmtId="0" fontId="5" fillId="18" borderId="10" xfId="55" applyNumberFormat="1" applyFont="1" applyFill="1" applyBorder="1" applyAlignment="1">
      <alignment horizontal="center" vertical="top"/>
    </xf>
    <xf numFmtId="2" fontId="5" fillId="0" borderId="0" xfId="55" applyNumberFormat="1" applyFont="1" applyBorder="1" applyAlignment="1">
      <alignment vertical="top"/>
    </xf>
    <xf numFmtId="0" fontId="3" fillId="0" borderId="11" xfId="55" applyNumberFormat="1" applyFont="1" applyBorder="1" applyAlignment="1">
      <alignment horizontal="center" vertical="top"/>
    </xf>
    <xf numFmtId="0" fontId="5" fillId="0" borderId="10" xfId="55" applyNumberFormat="1" applyBorder="1" applyAlignment="1">
      <alignment vertical="top"/>
    </xf>
    <xf numFmtId="0" fontId="5" fillId="0" borderId="0" xfId="55" applyNumberFormat="1" applyBorder="1" applyAlignment="1">
      <alignment vertical="top"/>
    </xf>
    <xf numFmtId="0" fontId="3" fillId="0" borderId="12" xfId="55" applyNumberFormat="1" applyFont="1" applyBorder="1" applyAlignment="1">
      <alignment vertical="top"/>
    </xf>
    <xf numFmtId="0" fontId="3" fillId="0" borderId="13" xfId="55" applyNumberFormat="1" applyFont="1" applyBorder="1" applyAlignment="1">
      <alignment vertical="top"/>
    </xf>
    <xf numFmtId="2" fontId="5" fillId="18" borderId="10" xfId="55" applyNumberFormat="1" applyFont="1" applyFill="1" applyBorder="1" applyAlignment="1">
      <alignment vertical="top"/>
    </xf>
    <xf numFmtId="2" fontId="3" fillId="18" borderId="10" xfId="55" applyNumberFormat="1" applyFont="1" applyFill="1" applyBorder="1" applyAlignment="1">
      <alignment vertical="top"/>
    </xf>
    <xf numFmtId="172" fontId="5" fillId="0" borderId="0" xfId="55" applyAlignment="1">
      <alignment vertical="top" wrapText="1"/>
    </xf>
    <xf numFmtId="172" fontId="3" fillId="0" borderId="0" xfId="55" applyFont="1" applyBorder="1" applyAlignment="1">
      <alignment vertical="top"/>
    </xf>
    <xf numFmtId="172" fontId="5" fillId="0" borderId="0" xfId="55" applyAlignment="1">
      <alignment vertical="top"/>
    </xf>
    <xf numFmtId="172" fontId="3" fillId="0" borderId="0" xfId="55" applyFont="1" applyBorder="1" applyAlignment="1">
      <alignment horizontal="center" vertical="top"/>
    </xf>
    <xf numFmtId="172" fontId="5" fillId="0" borderId="0" xfId="55" applyNumberFormat="1" applyBorder="1" applyAlignment="1">
      <alignment vertical="top"/>
    </xf>
    <xf numFmtId="182" fontId="5" fillId="0" borderId="0" xfId="55" applyNumberFormat="1" applyBorder="1" applyAlignment="1">
      <alignment vertical="top"/>
    </xf>
    <xf numFmtId="173" fontId="5" fillId="0" borderId="0" xfId="55" applyNumberFormat="1" applyBorder="1" applyAlignment="1">
      <alignment vertical="top"/>
    </xf>
    <xf numFmtId="0" fontId="5" fillId="0" borderId="0" xfId="55" applyNumberFormat="1" applyFont="1" applyAlignment="1">
      <alignment vertical="top"/>
    </xf>
    <xf numFmtId="0" fontId="3" fillId="0" borderId="10" xfId="55" applyNumberFormat="1" applyFont="1" applyBorder="1" applyAlignment="1">
      <alignment vertical="top"/>
    </xf>
    <xf numFmtId="172" fontId="3" fillId="0" borderId="0" xfId="55" applyFont="1" applyFill="1" applyBorder="1" applyAlignment="1">
      <alignment horizontal="center" vertical="top" wrapText="1"/>
    </xf>
    <xf numFmtId="0" fontId="5" fillId="0" borderId="10" xfId="55" applyNumberFormat="1" applyFont="1" applyBorder="1" applyAlignment="1">
      <alignment vertical="top" wrapText="1"/>
    </xf>
    <xf numFmtId="0" fontId="5" fillId="0" borderId="10" xfId="55" applyNumberFormat="1" applyFill="1" applyBorder="1" applyAlignment="1">
      <alignment vertical="top"/>
    </xf>
    <xf numFmtId="2" fontId="3" fillId="0" borderId="10" xfId="55" applyNumberFormat="1" applyFont="1" applyFill="1" applyBorder="1" applyAlignment="1">
      <alignment vertical="top"/>
    </xf>
    <xf numFmtId="172" fontId="5" fillId="0" borderId="0" xfId="55" applyBorder="1" applyAlignment="1">
      <alignment vertical="top"/>
    </xf>
    <xf numFmtId="172" fontId="5" fillId="0" borderId="0" xfId="55" applyNumberFormat="1" applyFont="1" applyBorder="1" applyAlignment="1" applyProtection="1">
      <alignment vertical="top"/>
    </xf>
    <xf numFmtId="172" fontId="5" fillId="0" borderId="0" xfId="55" applyFont="1" applyFill="1" applyBorder="1" applyAlignment="1">
      <alignment vertical="top"/>
    </xf>
    <xf numFmtId="0" fontId="5" fillId="18" borderId="10" xfId="55" applyNumberFormat="1" applyFont="1" applyFill="1" applyBorder="1" applyAlignment="1">
      <alignment vertical="top" wrapText="1"/>
    </xf>
    <xf numFmtId="173" fontId="5" fillId="18" borderId="0" xfId="55" applyNumberFormat="1" applyFill="1" applyBorder="1" applyAlignment="1">
      <alignment vertical="top" wrapText="1"/>
    </xf>
    <xf numFmtId="172" fontId="0" fillId="0" borderId="0" xfId="0" applyBorder="1" applyAlignment="1">
      <alignment vertical="top"/>
    </xf>
    <xf numFmtId="172" fontId="0" fillId="0" borderId="0" xfId="0" applyAlignment="1">
      <alignment vertical="top"/>
    </xf>
    <xf numFmtId="172" fontId="0" fillId="0" borderId="10" xfId="0" applyBorder="1" applyAlignment="1">
      <alignment vertical="top"/>
    </xf>
    <xf numFmtId="172" fontId="3" fillId="0" borderId="10" xfId="0" applyFont="1" applyBorder="1" applyAlignment="1">
      <alignment horizontal="center" vertical="top" wrapText="1"/>
    </xf>
    <xf numFmtId="172" fontId="5" fillId="0" borderId="10" xfId="0" applyFont="1" applyBorder="1" applyAlignment="1">
      <alignment horizontal="left" vertical="top" wrapText="1"/>
    </xf>
    <xf numFmtId="172" fontId="3" fillId="0" borderId="10" xfId="0" applyFont="1" applyBorder="1" applyAlignment="1">
      <alignment horizontal="left" vertical="top"/>
    </xf>
    <xf numFmtId="172" fontId="3" fillId="0" borderId="0" xfId="0" applyFont="1" applyAlignment="1">
      <alignment vertical="top"/>
    </xf>
    <xf numFmtId="9" fontId="0" fillId="0" borderId="0" xfId="64" applyFont="1" applyBorder="1"/>
    <xf numFmtId="9" fontId="0" fillId="0" borderId="0" xfId="64" applyFont="1" applyFill="1" applyBorder="1"/>
    <xf numFmtId="172" fontId="5" fillId="0" borderId="10" xfId="0" applyFont="1" applyBorder="1" applyAlignment="1">
      <alignment vertical="top" wrapText="1"/>
    </xf>
    <xf numFmtId="172" fontId="5" fillId="18" borderId="10" xfId="0" applyFont="1" applyFill="1" applyBorder="1" applyAlignment="1">
      <alignment vertical="top" wrapText="1"/>
    </xf>
    <xf numFmtId="172" fontId="0" fillId="0" borderId="0" xfId="0" applyAlignment="1">
      <alignment vertical="top" wrapText="1"/>
    </xf>
    <xf numFmtId="172" fontId="3" fillId="18" borderId="0" xfId="0" applyFont="1" applyFill="1" applyBorder="1" applyAlignment="1">
      <alignment horizontal="right" vertical="top"/>
    </xf>
    <xf numFmtId="172" fontId="7" fillId="0" borderId="0" xfId="0" applyNumberFormat="1" applyFont="1" applyAlignment="1" applyProtection="1">
      <alignment horizontal="center" vertical="top" wrapText="1"/>
    </xf>
    <xf numFmtId="182" fontId="0" fillId="0" borderId="0" xfId="0" applyNumberFormat="1" applyBorder="1" applyAlignment="1">
      <alignment vertical="top"/>
    </xf>
    <xf numFmtId="173" fontId="0" fillId="0" borderId="0" xfId="0" applyNumberFormat="1" applyBorder="1" applyAlignment="1">
      <alignment vertical="top"/>
    </xf>
    <xf numFmtId="172" fontId="0" fillId="0" borderId="16" xfId="0" applyBorder="1" applyAlignment="1">
      <alignment vertical="top"/>
    </xf>
    <xf numFmtId="172" fontId="3" fillId="0" borderId="14" xfId="0" applyFont="1" applyBorder="1" applyAlignment="1">
      <alignment horizontal="center" vertical="top" wrapText="1"/>
    </xf>
    <xf numFmtId="172" fontId="3" fillId="0" borderId="14" xfId="0" applyFont="1" applyBorder="1" applyAlignment="1">
      <alignment vertical="top" wrapText="1"/>
    </xf>
    <xf numFmtId="172" fontId="3" fillId="0" borderId="10" xfId="0" applyFont="1" applyFill="1" applyBorder="1" applyAlignment="1">
      <alignment horizontal="center" vertical="top" wrapText="1"/>
    </xf>
    <xf numFmtId="172" fontId="3" fillId="0" borderId="0" xfId="0" applyFont="1" applyFill="1" applyBorder="1" applyAlignment="1">
      <alignment horizontal="center" vertical="top" wrapText="1"/>
    </xf>
    <xf numFmtId="172" fontId="3" fillId="0" borderId="14" xfId="0" applyFont="1" applyFill="1" applyBorder="1" applyAlignment="1">
      <alignment horizontal="center" vertical="top" wrapText="1"/>
    </xf>
    <xf numFmtId="173" fontId="0" fillId="0" borderId="10" xfId="0" applyNumberFormat="1" applyBorder="1" applyAlignment="1">
      <alignment horizontal="center" vertical="top"/>
    </xf>
    <xf numFmtId="172" fontId="0" fillId="0" borderId="10" xfId="0" applyNumberFormat="1" applyBorder="1" applyAlignment="1">
      <alignment vertical="top" wrapText="1"/>
    </xf>
    <xf numFmtId="172" fontId="5" fillId="0" borderId="0" xfId="0" applyNumberFormat="1" applyFont="1" applyBorder="1" applyAlignment="1">
      <alignment vertical="top" wrapText="1"/>
    </xf>
    <xf numFmtId="172" fontId="3" fillId="0" borderId="0" xfId="0" applyNumberFormat="1" applyFont="1" applyBorder="1" applyAlignment="1">
      <alignment horizontal="center" vertical="top" wrapText="1"/>
    </xf>
    <xf numFmtId="173" fontId="5" fillId="0" borderId="14" xfId="0" applyNumberFormat="1" applyFont="1" applyBorder="1" applyAlignment="1">
      <alignment horizontal="center" vertical="top" wrapText="1"/>
    </xf>
    <xf numFmtId="172" fontId="0" fillId="0" borderId="0" xfId="0" applyNumberFormat="1" applyBorder="1" applyAlignment="1">
      <alignment vertical="top" wrapText="1"/>
    </xf>
    <xf numFmtId="172" fontId="5" fillId="0" borderId="0" xfId="0" applyNumberFormat="1" applyFont="1" applyBorder="1" applyAlignment="1" applyProtection="1">
      <alignment horizontal="center" vertical="top" wrapText="1"/>
    </xf>
    <xf numFmtId="173" fontId="3" fillId="0" borderId="10" xfId="0" applyNumberFormat="1" applyFont="1" applyBorder="1" applyAlignment="1">
      <alignment vertical="top"/>
    </xf>
    <xf numFmtId="172" fontId="3" fillId="0" borderId="10" xfId="0" applyFont="1" applyBorder="1" applyAlignment="1">
      <alignment vertical="top"/>
    </xf>
    <xf numFmtId="173" fontId="5" fillId="0" borderId="10" xfId="0" applyNumberFormat="1" applyFont="1" applyFill="1" applyBorder="1" applyAlignment="1">
      <alignment horizontal="center" vertical="top" wrapText="1"/>
    </xf>
    <xf numFmtId="173" fontId="3" fillId="0" borderId="10" xfId="0" applyNumberFormat="1" applyFont="1" applyBorder="1" applyAlignment="1">
      <alignment vertical="top" wrapText="1"/>
    </xf>
    <xf numFmtId="172" fontId="3" fillId="0" borderId="10" xfId="0" applyNumberFormat="1" applyFont="1" applyBorder="1" applyAlignment="1">
      <alignment vertical="top" wrapText="1"/>
    </xf>
    <xf numFmtId="173" fontId="5" fillId="0" borderId="10" xfId="0" applyNumberFormat="1" applyFont="1" applyBorder="1" applyAlignment="1">
      <alignment horizontal="center" vertical="top" wrapText="1"/>
    </xf>
    <xf numFmtId="172" fontId="3" fillId="0" borderId="10" xfId="0" applyFont="1" applyBorder="1" applyAlignment="1">
      <alignment vertical="top" wrapText="1"/>
    </xf>
    <xf numFmtId="172" fontId="0" fillId="0" borderId="11" xfId="0" applyBorder="1" applyAlignment="1">
      <alignment vertical="top"/>
    </xf>
    <xf numFmtId="172" fontId="3" fillId="0" borderId="0" xfId="0" applyFont="1" applyAlignment="1">
      <alignment horizontal="left" vertical="top"/>
    </xf>
    <xf numFmtId="172" fontId="3" fillId="0" borderId="0" xfId="0" applyFont="1" applyBorder="1" applyAlignment="1">
      <alignment horizontal="center" vertical="top"/>
    </xf>
    <xf numFmtId="172" fontId="5" fillId="0" borderId="0" xfId="0" applyNumberFormat="1" applyFont="1" applyBorder="1" applyAlignment="1" applyProtection="1">
      <alignment horizontal="center" vertical="top"/>
    </xf>
    <xf numFmtId="172" fontId="0" fillId="0" borderId="0" xfId="0" applyBorder="1" applyAlignment="1">
      <alignment vertical="top" wrapText="1"/>
    </xf>
    <xf numFmtId="173" fontId="0" fillId="0" borderId="0" xfId="0" applyNumberFormat="1" applyBorder="1" applyAlignment="1">
      <alignment vertical="top" wrapText="1"/>
    </xf>
    <xf numFmtId="172" fontId="25" fillId="0" borderId="0" xfId="0" applyNumberFormat="1" applyFont="1" applyAlignment="1" applyProtection="1">
      <alignment horizontal="left" vertical="top" wrapText="1"/>
    </xf>
    <xf numFmtId="10" fontId="5" fillId="0" borderId="0" xfId="0" applyNumberFormat="1" applyFont="1" applyBorder="1" applyAlignment="1" applyProtection="1">
      <alignment vertical="top"/>
    </xf>
    <xf numFmtId="172" fontId="0" fillId="0" borderId="0" xfId="0" applyAlignment="1">
      <alignment horizontal="center" vertical="top"/>
    </xf>
    <xf numFmtId="172" fontId="4" fillId="0" borderId="0" xfId="0" applyNumberFormat="1" applyFont="1" applyBorder="1" applyAlignment="1" applyProtection="1">
      <alignment vertical="top"/>
    </xf>
    <xf numFmtId="10" fontId="5" fillId="0" borderId="0" xfId="64" applyNumberFormat="1" applyFont="1" applyFill="1" applyBorder="1" applyAlignment="1" applyProtection="1">
      <alignment vertical="top"/>
    </xf>
    <xf numFmtId="172" fontId="5" fillId="18" borderId="10" xfId="0" applyFont="1" applyFill="1" applyBorder="1" applyAlignment="1">
      <alignment vertical="top"/>
    </xf>
    <xf numFmtId="172" fontId="3" fillId="18" borderId="14" xfId="0" applyFont="1" applyFill="1" applyBorder="1" applyAlignment="1">
      <alignment horizontal="center" vertical="top" wrapText="1"/>
    </xf>
    <xf numFmtId="173" fontId="0" fillId="18" borderId="10" xfId="0" applyNumberFormat="1" applyFill="1" applyBorder="1" applyAlignment="1">
      <alignment vertical="top"/>
    </xf>
    <xf numFmtId="172" fontId="0" fillId="18" borderId="14" xfId="0" applyFill="1" applyBorder="1" applyAlignment="1">
      <alignment vertical="top"/>
    </xf>
    <xf numFmtId="172" fontId="5" fillId="18" borderId="14" xfId="0" applyFont="1" applyFill="1" applyBorder="1" applyAlignment="1">
      <alignment vertical="top" wrapText="1"/>
    </xf>
    <xf numFmtId="173" fontId="0" fillId="18" borderId="14" xfId="0" applyNumberFormat="1" applyFill="1" applyBorder="1" applyAlignment="1">
      <alignment vertical="top" wrapText="1"/>
    </xf>
    <xf numFmtId="172" fontId="3" fillId="18" borderId="10" xfId="0" applyFont="1" applyFill="1" applyBorder="1" applyAlignment="1">
      <alignment horizontal="center" vertical="top" wrapText="1"/>
    </xf>
    <xf numFmtId="173" fontId="5" fillId="18" borderId="10" xfId="0" applyNumberFormat="1" applyFont="1" applyFill="1" applyBorder="1" applyAlignment="1">
      <alignment vertical="top" wrapText="1"/>
    </xf>
    <xf numFmtId="172" fontId="5" fillId="0" borderId="10" xfId="0" applyFont="1" applyFill="1" applyBorder="1" applyAlignment="1">
      <alignment horizontal="left" vertical="top" wrapText="1"/>
    </xf>
    <xf numFmtId="172" fontId="0" fillId="0" borderId="10" xfId="0" applyFill="1" applyBorder="1" applyAlignment="1">
      <alignment vertical="top"/>
    </xf>
    <xf numFmtId="173" fontId="3" fillId="0" borderId="10" xfId="0" applyNumberFormat="1" applyFont="1" applyFill="1" applyBorder="1" applyAlignment="1">
      <alignment vertical="top"/>
    </xf>
    <xf numFmtId="9" fontId="28" fillId="0" borderId="0" xfId="64" applyFont="1" applyBorder="1"/>
    <xf numFmtId="9" fontId="5" fillId="0" borderId="12" xfId="64" applyFont="1" applyBorder="1" applyAlignment="1" applyProtection="1">
      <alignment horizontal="right"/>
    </xf>
    <xf numFmtId="10" fontId="5" fillId="0" borderId="0" xfId="64" applyNumberFormat="1" applyFont="1" applyFill="1" applyBorder="1" applyAlignment="1" applyProtection="1"/>
    <xf numFmtId="10" fontId="5" fillId="0" borderId="0" xfId="64" applyNumberFormat="1" applyFont="1"/>
    <xf numFmtId="10" fontId="5" fillId="0" borderId="0" xfId="64" applyNumberFormat="1" applyFont="1" applyBorder="1" applyAlignment="1" applyProtection="1">
      <alignment horizontal="right"/>
    </xf>
    <xf numFmtId="172" fontId="5" fillId="0" borderId="0" xfId="50" applyBorder="1"/>
    <xf numFmtId="172" fontId="5" fillId="0" borderId="0" xfId="50"/>
    <xf numFmtId="172" fontId="4" fillId="0" borderId="0" xfId="50" applyFont="1"/>
    <xf numFmtId="172" fontId="7" fillId="0" borderId="0" xfId="50" applyNumberFormat="1" applyFont="1" applyAlignment="1" applyProtection="1"/>
    <xf numFmtId="172" fontId="4" fillId="0" borderId="0" xfId="50" applyNumberFormat="1" applyFont="1" applyAlignment="1" applyProtection="1"/>
    <xf numFmtId="172" fontId="4" fillId="0" borderId="0" xfId="50" applyFont="1" applyAlignment="1">
      <alignment horizontal="right"/>
    </xf>
    <xf numFmtId="172" fontId="6" fillId="0" borderId="0" xfId="50" applyFont="1"/>
    <xf numFmtId="172" fontId="3" fillId="0" borderId="0" xfId="50" applyFont="1" applyAlignment="1"/>
    <xf numFmtId="172" fontId="28" fillId="0" borderId="0" xfId="50" applyFont="1" applyBorder="1"/>
    <xf numFmtId="172" fontId="5" fillId="0" borderId="0" xfId="50" applyFont="1" applyBorder="1"/>
    <xf numFmtId="172" fontId="5" fillId="0" borderId="0" xfId="50" applyNumberFormat="1" applyAlignment="1" applyProtection="1">
      <alignment horizontal="center"/>
    </xf>
    <xf numFmtId="172" fontId="5" fillId="0" borderId="0" xfId="50" applyNumberFormat="1" applyProtection="1"/>
    <xf numFmtId="172" fontId="3" fillId="0" borderId="0" xfId="50" applyNumberFormat="1" applyFont="1" applyAlignment="1" applyProtection="1"/>
    <xf numFmtId="172" fontId="30" fillId="0" borderId="0" xfId="50" applyFont="1" applyProtection="1"/>
    <xf numFmtId="172" fontId="31" fillId="0" borderId="0" xfId="50" applyFont="1" applyBorder="1" applyProtection="1"/>
    <xf numFmtId="176" fontId="30" fillId="0" borderId="0" xfId="50" applyNumberFormat="1" applyFont="1" applyBorder="1" applyProtection="1"/>
    <xf numFmtId="172" fontId="5" fillId="0" borderId="16" xfId="50" applyNumberFormat="1" applyBorder="1" applyProtection="1"/>
    <xf numFmtId="172" fontId="5" fillId="0" borderId="16" xfId="50" applyNumberFormat="1" applyBorder="1" applyAlignment="1" applyProtection="1">
      <alignment horizontal="center"/>
    </xf>
    <xf numFmtId="172" fontId="5" fillId="0" borderId="16" xfId="50" applyBorder="1"/>
    <xf numFmtId="172" fontId="32" fillId="0" borderId="0" xfId="50" applyFont="1" applyProtection="1"/>
    <xf numFmtId="177" fontId="4" fillId="0" borderId="0" xfId="50" applyNumberFormat="1" applyFont="1"/>
    <xf numFmtId="172" fontId="30" fillId="0" borderId="0" xfId="50" applyFont="1" applyAlignment="1" applyProtection="1">
      <alignment horizontal="left"/>
    </xf>
    <xf numFmtId="2" fontId="5" fillId="0" borderId="0" xfId="50" applyNumberFormat="1" applyFont="1" applyBorder="1"/>
    <xf numFmtId="172" fontId="5" fillId="0" borderId="0" xfId="50" applyNumberFormat="1" applyAlignment="1" applyProtection="1">
      <alignment horizontal="fill"/>
    </xf>
    <xf numFmtId="172" fontId="5" fillId="0" borderId="0" xfId="50" applyNumberFormat="1"/>
    <xf numFmtId="172" fontId="26" fillId="0" borderId="10" xfId="50" applyFont="1" applyBorder="1" applyProtection="1"/>
    <xf numFmtId="173" fontId="5" fillId="0" borderId="10" xfId="50" applyNumberFormat="1" applyFont="1" applyBorder="1" applyAlignment="1" applyProtection="1">
      <alignment horizontal="center"/>
    </xf>
    <xf numFmtId="173" fontId="4" fillId="0" borderId="0" xfId="50" applyNumberFormat="1" applyFont="1" applyBorder="1" applyAlignment="1" applyProtection="1">
      <alignment horizontal="right"/>
    </xf>
    <xf numFmtId="0" fontId="5" fillId="0" borderId="0" xfId="50" applyNumberFormat="1"/>
    <xf numFmtId="0" fontId="28" fillId="0" borderId="0" xfId="50" applyNumberFormat="1" applyFont="1" applyBorder="1"/>
    <xf numFmtId="0" fontId="5" fillId="0" borderId="0" xfId="50" applyNumberFormat="1" applyFont="1" applyBorder="1"/>
    <xf numFmtId="0" fontId="5" fillId="0" borderId="0" xfId="50" applyNumberFormat="1" applyBorder="1"/>
    <xf numFmtId="172" fontId="5" fillId="0" borderId="0" xfId="50" applyNumberFormat="1" applyBorder="1" applyProtection="1"/>
    <xf numFmtId="172" fontId="26" fillId="0" borderId="12" xfId="50" applyFont="1" applyBorder="1" applyProtection="1"/>
    <xf numFmtId="173" fontId="5" fillId="0" borderId="12" xfId="50" applyNumberFormat="1" applyFont="1" applyBorder="1" applyAlignment="1" applyProtection="1">
      <alignment horizontal="right"/>
    </xf>
    <xf numFmtId="9" fontId="4" fillId="0" borderId="0" xfId="64" applyFont="1" applyBorder="1" applyAlignment="1" applyProtection="1">
      <alignment horizontal="right"/>
    </xf>
    <xf numFmtId="10" fontId="5" fillId="0" borderId="0" xfId="64" applyNumberFormat="1" applyFont="1" applyBorder="1"/>
    <xf numFmtId="172" fontId="26" fillId="0" borderId="0" xfId="50" applyFont="1" applyProtection="1"/>
    <xf numFmtId="2" fontId="26" fillId="0" borderId="0" xfId="50" applyNumberFormat="1" applyFont="1" applyProtection="1"/>
    <xf numFmtId="0" fontId="24" fillId="0" borderId="0" xfId="50" applyNumberFormat="1" applyFont="1"/>
    <xf numFmtId="0" fontId="24" fillId="0" borderId="0" xfId="50" applyNumberFormat="1" applyFont="1" applyBorder="1"/>
    <xf numFmtId="172" fontId="5" fillId="0" borderId="0" xfId="50" applyFont="1" applyAlignment="1">
      <alignment horizontal="center"/>
    </xf>
    <xf numFmtId="172" fontId="5" fillId="0" borderId="0" xfId="50" applyNumberFormat="1" applyFont="1" applyProtection="1"/>
    <xf numFmtId="172" fontId="30" fillId="0" borderId="0" xfId="50" applyNumberFormat="1" applyFont="1" applyProtection="1"/>
    <xf numFmtId="172" fontId="26" fillId="0" borderId="0" xfId="50" applyNumberFormat="1" applyFont="1" applyProtection="1"/>
    <xf numFmtId="172" fontId="5" fillId="0" borderId="12" xfId="50" applyNumberFormat="1" applyBorder="1" applyProtection="1"/>
    <xf numFmtId="10" fontId="30" fillId="0" borderId="0" xfId="64" applyNumberFormat="1" applyFont="1" applyProtection="1"/>
    <xf numFmtId="177" fontId="30" fillId="0" borderId="0" xfId="50" applyNumberFormat="1" applyFont="1" applyProtection="1"/>
    <xf numFmtId="2" fontId="5" fillId="0" borderId="0" xfId="50" applyNumberFormat="1" applyBorder="1"/>
    <xf numFmtId="172" fontId="5" fillId="0" borderId="0" xfId="50" applyNumberFormat="1" applyFont="1" applyAlignment="1" applyProtection="1">
      <alignment horizontal="fill"/>
    </xf>
    <xf numFmtId="173" fontId="5" fillId="0" borderId="0" xfId="50" applyNumberFormat="1" applyAlignment="1" applyProtection="1">
      <alignment horizontal="fill"/>
    </xf>
    <xf numFmtId="173" fontId="5" fillId="0" borderId="0" xfId="50" applyNumberFormat="1"/>
    <xf numFmtId="172" fontId="5" fillId="0" borderId="0" xfId="50" applyFont="1"/>
    <xf numFmtId="172" fontId="3" fillId="0" borderId="0" xfId="50" applyFont="1"/>
    <xf numFmtId="172" fontId="26" fillId="0" borderId="16" xfId="50" applyFont="1" applyBorder="1" applyProtection="1"/>
    <xf numFmtId="172" fontId="26" fillId="0" borderId="16" xfId="50" applyNumberFormat="1" applyFont="1" applyBorder="1" applyProtection="1"/>
    <xf numFmtId="172" fontId="30" fillId="0" borderId="0" xfId="50" applyNumberFormat="1" applyFont="1" applyBorder="1" applyProtection="1"/>
    <xf numFmtId="172" fontId="3" fillId="0" borderId="0" xfId="50" applyFont="1" applyBorder="1"/>
    <xf numFmtId="172" fontId="26" fillId="0" borderId="0" xfId="50" applyFont="1" applyBorder="1" applyProtection="1"/>
    <xf numFmtId="172" fontId="26" fillId="0" borderId="0" xfId="50" applyNumberFormat="1" applyFont="1" applyBorder="1" applyProtection="1"/>
    <xf numFmtId="2" fontId="3" fillId="0" borderId="0" xfId="50" applyNumberFormat="1" applyFont="1" applyBorder="1"/>
    <xf numFmtId="172" fontId="29" fillId="0" borderId="0" xfId="50" applyFont="1" applyProtection="1"/>
    <xf numFmtId="172" fontId="5" fillId="0" borderId="0" xfId="50" applyFont="1" applyAlignment="1">
      <alignment horizontal="right"/>
    </xf>
    <xf numFmtId="172" fontId="3" fillId="0" borderId="0" xfId="50" applyFont="1" applyFill="1" applyBorder="1"/>
    <xf numFmtId="9" fontId="29" fillId="0" borderId="0" xfId="50" applyNumberFormat="1" applyFont="1" applyProtection="1"/>
    <xf numFmtId="177" fontId="5" fillId="0" borderId="0" xfId="50" applyNumberFormat="1" applyFont="1"/>
    <xf numFmtId="172" fontId="5" fillId="0" borderId="0" xfId="50" applyNumberFormat="1" applyFont="1"/>
    <xf numFmtId="172" fontId="4" fillId="0" borderId="0" xfId="50" applyNumberFormat="1" applyFont="1"/>
    <xf numFmtId="172" fontId="26" fillId="0" borderId="11" xfId="50" applyFont="1" applyBorder="1" applyProtection="1"/>
    <xf numFmtId="173" fontId="26" fillId="0" borderId="12" xfId="50" applyNumberFormat="1" applyFont="1" applyBorder="1" applyAlignment="1" applyProtection="1">
      <alignment horizontal="center"/>
    </xf>
    <xf numFmtId="173" fontId="26" fillId="0" borderId="13" xfId="50" applyNumberFormat="1" applyFont="1" applyBorder="1" applyAlignment="1" applyProtection="1">
      <alignment horizontal="center"/>
    </xf>
    <xf numFmtId="173" fontId="30" fillId="0" borderId="0" xfId="50" applyNumberFormat="1" applyFont="1" applyBorder="1" applyProtection="1"/>
    <xf numFmtId="172" fontId="3" fillId="0" borderId="0" xfId="50" applyFont="1" applyBorder="1" applyAlignment="1">
      <alignment horizontal="center"/>
    </xf>
    <xf numFmtId="172" fontId="4" fillId="0" borderId="12" xfId="50" applyFont="1" applyBorder="1"/>
    <xf numFmtId="172" fontId="26" fillId="0" borderId="12" xfId="50" applyNumberFormat="1" applyFont="1" applyBorder="1" applyProtection="1"/>
    <xf numFmtId="172" fontId="5" fillId="0" borderId="0" xfId="50" applyNumberFormat="1" applyFont="1" applyBorder="1" applyProtection="1"/>
    <xf numFmtId="172" fontId="6" fillId="0" borderId="0" xfId="50" applyFont="1" applyBorder="1"/>
    <xf numFmtId="172" fontId="5" fillId="0" borderId="0" xfId="50" applyNumberFormat="1" applyBorder="1"/>
    <xf numFmtId="172" fontId="5" fillId="0" borderId="0" xfId="50" applyNumberFormat="1" applyBorder="1" applyAlignment="1" applyProtection="1">
      <alignment horizontal="center"/>
    </xf>
    <xf numFmtId="172" fontId="5" fillId="0" borderId="0" xfId="50" quotePrefix="1" applyNumberFormat="1" applyBorder="1" applyProtection="1"/>
    <xf numFmtId="9" fontId="4" fillId="0" borderId="0" xfId="64" applyNumberFormat="1" applyFont="1"/>
    <xf numFmtId="172" fontId="26" fillId="0" borderId="0" xfId="50" applyFont="1" applyAlignment="1" applyProtection="1">
      <alignment horizontal="right"/>
    </xf>
    <xf numFmtId="172" fontId="5" fillId="0" borderId="0" xfId="50" applyNumberFormat="1" applyBorder="1" applyAlignment="1" applyProtection="1">
      <alignment horizontal="fill"/>
    </xf>
    <xf numFmtId="10" fontId="4" fillId="0" borderId="0" xfId="64" applyNumberFormat="1" applyFont="1"/>
    <xf numFmtId="9" fontId="4" fillId="0" borderId="0" xfId="64" applyFont="1"/>
    <xf numFmtId="172" fontId="5" fillId="0" borderId="0" xfId="50" applyFont="1" applyBorder="1" applyAlignment="1">
      <alignment horizontal="center"/>
    </xf>
    <xf numFmtId="172" fontId="26" fillId="0" borderId="17" xfId="50" applyFont="1" applyBorder="1" applyProtection="1"/>
    <xf numFmtId="172" fontId="26" fillId="0" borderId="18" xfId="50" applyNumberFormat="1" applyFont="1" applyBorder="1" applyProtection="1"/>
    <xf numFmtId="172" fontId="26" fillId="0" borderId="19" xfId="50" applyFont="1" applyBorder="1" applyProtection="1"/>
    <xf numFmtId="172" fontId="26" fillId="0" borderId="20" xfId="50" applyNumberFormat="1" applyFont="1" applyBorder="1" applyProtection="1"/>
    <xf numFmtId="172" fontId="4" fillId="0" borderId="10" xfId="50" applyFont="1" applyBorder="1"/>
    <xf numFmtId="172" fontId="5" fillId="0" borderId="10" xfId="50" applyFont="1" applyBorder="1"/>
    <xf numFmtId="173" fontId="4" fillId="0" borderId="0" xfId="50" applyNumberFormat="1" applyFont="1" applyBorder="1" applyAlignment="1" applyProtection="1">
      <alignment horizontal="left"/>
    </xf>
    <xf numFmtId="172" fontId="5" fillId="0" borderId="0" xfId="50" applyAlignment="1">
      <alignment horizontal="center"/>
    </xf>
    <xf numFmtId="172" fontId="7" fillId="0" borderId="0" xfId="50" applyFont="1" applyAlignment="1">
      <alignment horizontal="right"/>
    </xf>
    <xf numFmtId="173" fontId="5" fillId="0" borderId="0" xfId="50" applyNumberFormat="1" applyFont="1" applyBorder="1" applyAlignment="1" applyProtection="1">
      <alignment horizontal="right"/>
    </xf>
    <xf numFmtId="173" fontId="4" fillId="0" borderId="0" xfId="50" applyNumberFormat="1" applyFont="1"/>
    <xf numFmtId="172" fontId="5" fillId="0" borderId="0" xfId="50" applyNumberFormat="1" applyFont="1" applyBorder="1" applyAlignment="1" applyProtection="1"/>
    <xf numFmtId="172" fontId="4" fillId="0" borderId="0" xfId="50" applyNumberFormat="1" applyFont="1" applyBorder="1" applyAlignment="1" applyProtection="1"/>
    <xf numFmtId="173" fontId="4" fillId="0" borderId="0" xfId="50" applyNumberFormat="1" applyFont="1" applyFill="1" applyBorder="1"/>
    <xf numFmtId="172" fontId="5" fillId="0" borderId="0" xfId="50" applyFont="1" applyFill="1" applyBorder="1"/>
    <xf numFmtId="2" fontId="5" fillId="0" borderId="0" xfId="50" applyNumberFormat="1" applyFont="1" applyBorder="1" applyAlignment="1"/>
    <xf numFmtId="172" fontId="4" fillId="0" borderId="0" xfId="50" applyFont="1" applyBorder="1" applyAlignment="1"/>
    <xf numFmtId="172" fontId="5" fillId="0" borderId="0" xfId="50" applyFont="1" applyBorder="1" applyAlignment="1"/>
    <xf numFmtId="2" fontId="5" fillId="0" borderId="0" xfId="50" applyNumberFormat="1" applyFont="1" applyBorder="1" applyAlignment="1" applyProtection="1"/>
    <xf numFmtId="2" fontId="5" fillId="0" borderId="0" xfId="50" applyNumberFormat="1" applyFont="1"/>
    <xf numFmtId="173" fontId="4" fillId="0" borderId="0" xfId="50" applyNumberFormat="1" applyFont="1" applyAlignment="1">
      <alignment horizontal="right"/>
    </xf>
    <xf numFmtId="173" fontId="4" fillId="0" borderId="16" xfId="50" applyNumberFormat="1" applyFont="1" applyBorder="1"/>
    <xf numFmtId="172" fontId="5" fillId="0" borderId="16" xfId="50" applyFont="1" applyBorder="1"/>
    <xf numFmtId="10" fontId="5" fillId="0" borderId="16" xfId="64" applyNumberFormat="1" applyFont="1" applyBorder="1"/>
    <xf numFmtId="172" fontId="5" fillId="0" borderId="16" xfId="50" applyFont="1" applyBorder="1" applyAlignment="1">
      <alignment horizontal="center"/>
    </xf>
    <xf numFmtId="173" fontId="4" fillId="0" borderId="0" xfId="50" applyNumberFormat="1" applyFont="1" applyBorder="1" applyAlignment="1" applyProtection="1">
      <alignment horizontal="center"/>
    </xf>
    <xf numFmtId="173" fontId="5" fillId="0" borderId="0" xfId="50" applyNumberFormat="1" applyFont="1" applyBorder="1" applyAlignment="1" applyProtection="1">
      <alignment horizontal="left"/>
    </xf>
    <xf numFmtId="173" fontId="5" fillId="0" borderId="0" xfId="50" applyNumberFormat="1" applyFont="1" applyBorder="1" applyAlignment="1" applyProtection="1">
      <alignment horizontal="center"/>
    </xf>
    <xf numFmtId="172" fontId="5" fillId="0" borderId="0" xfId="50" applyFont="1" applyBorder="1" applyAlignment="1" applyProtection="1">
      <alignment horizontal="right"/>
    </xf>
    <xf numFmtId="173" fontId="5" fillId="18" borderId="10" xfId="50" applyNumberFormat="1" applyFont="1" applyFill="1" applyBorder="1" applyAlignment="1" applyProtection="1">
      <alignment horizontal="center"/>
    </xf>
    <xf numFmtId="172" fontId="5" fillId="0" borderId="16" xfId="50" applyBorder="1" applyAlignment="1">
      <alignment horizontal="center"/>
    </xf>
    <xf numFmtId="172" fontId="5" fillId="0" borderId="16" xfId="50" quotePrefix="1" applyNumberFormat="1" applyBorder="1" applyAlignment="1" applyProtection="1">
      <alignment horizontal="center"/>
    </xf>
    <xf numFmtId="172" fontId="66" fillId="0" borderId="0" xfId="0" applyFont="1" applyAlignment="1">
      <alignment vertical="center" wrapText="1"/>
    </xf>
    <xf numFmtId="172" fontId="67" fillId="0" borderId="0" xfId="0" applyFont="1" applyAlignment="1">
      <alignment vertical="center" wrapText="1"/>
    </xf>
    <xf numFmtId="172" fontId="67" fillId="19" borderId="10" xfId="0" applyFont="1" applyFill="1" applyBorder="1" applyAlignment="1">
      <alignment vertical="center" wrapText="1"/>
    </xf>
    <xf numFmtId="172" fontId="67" fillId="0" borderId="10" xfId="0" applyFont="1" applyFill="1" applyBorder="1" applyAlignment="1">
      <alignment vertical="center" wrapText="1"/>
    </xf>
    <xf numFmtId="0" fontId="33" fillId="19" borderId="10" xfId="0" applyNumberFormat="1" applyFont="1" applyFill="1" applyBorder="1" applyAlignment="1">
      <alignment horizontal="right" vertical="center" wrapText="1"/>
    </xf>
    <xf numFmtId="0" fontId="33" fillId="19" borderId="10" xfId="0" applyNumberFormat="1" applyFont="1" applyFill="1" applyBorder="1" applyAlignment="1">
      <alignment vertical="center" wrapText="1"/>
    </xf>
    <xf numFmtId="0" fontId="33" fillId="0" borderId="10" xfId="0" applyNumberFormat="1" applyFont="1" applyFill="1" applyBorder="1" applyAlignment="1">
      <alignment vertical="center" wrapText="1"/>
    </xf>
    <xf numFmtId="173" fontId="66" fillId="0" borderId="10" xfId="0" applyNumberFormat="1" applyFont="1" applyBorder="1" applyAlignment="1">
      <alignment horizontal="right" vertical="center" wrapText="1"/>
    </xf>
    <xf numFmtId="172" fontId="34" fillId="0" borderId="10" xfId="0" applyFont="1" applyBorder="1" applyAlignment="1">
      <alignment vertical="center" wrapText="1"/>
    </xf>
    <xf numFmtId="172" fontId="66" fillId="0" borderId="10" xfId="0" applyFont="1" applyBorder="1" applyAlignment="1">
      <alignment vertical="center" wrapText="1"/>
    </xf>
    <xf numFmtId="172" fontId="66" fillId="18" borderId="10" xfId="0" applyFont="1" applyFill="1" applyBorder="1" applyAlignment="1">
      <alignment vertical="center" wrapText="1"/>
    </xf>
    <xf numFmtId="172" fontId="66" fillId="0" borderId="10" xfId="0" applyFont="1" applyFill="1" applyBorder="1" applyAlignment="1">
      <alignment vertical="center" wrapText="1"/>
    </xf>
    <xf numFmtId="173" fontId="66" fillId="0" borderId="10" xfId="0" applyNumberFormat="1" applyFont="1" applyFill="1" applyBorder="1" applyAlignment="1">
      <alignment horizontal="right" vertical="center" wrapText="1"/>
    </xf>
    <xf numFmtId="172" fontId="34" fillId="0" borderId="10" xfId="0" applyFont="1" applyFill="1" applyBorder="1" applyAlignment="1">
      <alignment vertical="center" wrapText="1"/>
    </xf>
    <xf numFmtId="173" fontId="67" fillId="19" borderId="10" xfId="0" applyNumberFormat="1" applyFont="1" applyFill="1" applyBorder="1" applyAlignment="1">
      <alignment horizontal="right" vertical="center" wrapText="1"/>
    </xf>
    <xf numFmtId="172" fontId="33" fillId="19" borderId="10" xfId="0" applyFont="1" applyFill="1" applyBorder="1" applyAlignment="1">
      <alignment vertical="center" wrapText="1"/>
    </xf>
    <xf numFmtId="173" fontId="66" fillId="0" borderId="10" xfId="0" applyNumberFormat="1" applyFont="1" applyBorder="1" applyAlignment="1">
      <alignment vertical="center" wrapText="1"/>
    </xf>
    <xf numFmtId="172" fontId="67" fillId="20" borderId="10" xfId="0" applyFont="1" applyFill="1" applyBorder="1" applyAlignment="1">
      <alignment vertical="center" wrapText="1"/>
    </xf>
    <xf numFmtId="172" fontId="66" fillId="20" borderId="10" xfId="0" applyFont="1" applyFill="1" applyBorder="1" applyAlignment="1">
      <alignment vertical="center" wrapText="1"/>
    </xf>
    <xf numFmtId="2" fontId="66" fillId="0" borderId="10" xfId="0" applyNumberFormat="1" applyFont="1" applyBorder="1" applyAlignment="1">
      <alignment vertical="center" wrapText="1"/>
    </xf>
    <xf numFmtId="172" fontId="66" fillId="0" borderId="0" xfId="0" applyFont="1" applyBorder="1" applyAlignment="1">
      <alignment vertical="center" wrapText="1"/>
    </xf>
    <xf numFmtId="172" fontId="66" fillId="0" borderId="0" xfId="0" applyNumberFormat="1" applyFont="1" applyBorder="1" applyAlignment="1">
      <alignment vertical="center" wrapText="1"/>
    </xf>
    <xf numFmtId="172" fontId="66" fillId="0" borderId="10" xfId="0" applyFont="1" applyBorder="1" applyAlignment="1">
      <alignment vertical="center"/>
    </xf>
    <xf numFmtId="2" fontId="67" fillId="20" borderId="10" xfId="0" applyNumberFormat="1" applyFont="1" applyFill="1" applyBorder="1" applyAlignment="1">
      <alignment vertical="center" wrapText="1"/>
    </xf>
    <xf numFmtId="2" fontId="67" fillId="0" borderId="10" xfId="0" applyNumberFormat="1" applyFont="1" applyFill="1" applyBorder="1" applyAlignment="1">
      <alignment vertical="center" wrapText="1"/>
    </xf>
    <xf numFmtId="172" fontId="33" fillId="0" borderId="10" xfId="0" applyFont="1" applyFill="1" applyBorder="1" applyAlignment="1">
      <alignment vertical="center" wrapText="1"/>
    </xf>
    <xf numFmtId="172" fontId="67" fillId="0" borderId="10" xfId="0" applyFont="1" applyBorder="1" applyAlignment="1">
      <alignment vertical="center" wrapText="1"/>
    </xf>
    <xf numFmtId="172" fontId="35" fillId="0" borderId="21" xfId="0" applyFont="1" applyBorder="1" applyAlignment="1">
      <alignment horizontal="right" vertical="center" wrapText="1"/>
    </xf>
    <xf numFmtId="172" fontId="68" fillId="0" borderId="22" xfId="0" applyFont="1" applyBorder="1" applyAlignment="1">
      <alignment horizontal="center" vertical="center" wrapText="1"/>
    </xf>
    <xf numFmtId="172" fontId="68" fillId="0" borderId="22" xfId="0" applyFont="1" applyBorder="1" applyAlignment="1">
      <alignment vertical="center" wrapText="1"/>
    </xf>
    <xf numFmtId="172" fontId="5" fillId="0" borderId="0" xfId="0" applyFont="1"/>
    <xf numFmtId="172" fontId="36" fillId="0" borderId="10" xfId="0" applyFont="1" applyBorder="1" applyAlignment="1">
      <alignment horizontal="left" vertical="top" wrapText="1"/>
    </xf>
    <xf numFmtId="172" fontId="5" fillId="0" borderId="10" xfId="0" applyNumberFormat="1" applyFont="1" applyFill="1" applyBorder="1" applyAlignment="1">
      <alignment horizontal="center" vertical="top" wrapText="1"/>
    </xf>
    <xf numFmtId="172" fontId="34" fillId="0" borderId="10" xfId="0" applyFont="1" applyFill="1" applyBorder="1" applyAlignment="1">
      <alignment horizontal="left" vertical="top" wrapText="1"/>
    </xf>
    <xf numFmtId="0" fontId="33" fillId="19" borderId="23" xfId="0" applyNumberFormat="1" applyFont="1" applyFill="1" applyBorder="1" applyAlignment="1">
      <alignment vertical="center" wrapText="1"/>
    </xf>
    <xf numFmtId="172" fontId="34" fillId="0" borderId="14" xfId="0" applyFont="1" applyBorder="1" applyAlignment="1">
      <alignment vertical="center" wrapText="1"/>
    </xf>
    <xf numFmtId="0" fontId="3" fillId="21" borderId="10" xfId="0" applyNumberFormat="1" applyFont="1" applyFill="1" applyBorder="1" applyAlignment="1">
      <alignment horizontal="left" vertical="center" wrapText="1"/>
    </xf>
    <xf numFmtId="0" fontId="3" fillId="21" borderId="10" xfId="0" applyNumberFormat="1" applyFont="1" applyFill="1" applyBorder="1" applyAlignment="1">
      <alignment horizontal="center" vertical="top" wrapText="1"/>
    </xf>
    <xf numFmtId="0" fontId="69" fillId="0" borderId="10" xfId="48" applyFont="1" applyBorder="1"/>
    <xf numFmtId="172" fontId="34" fillId="0" borderId="10" xfId="0" applyFont="1" applyBorder="1" applyAlignment="1">
      <alignment horizontal="center" vertical="top" wrapText="1"/>
    </xf>
    <xf numFmtId="0" fontId="5" fillId="0" borderId="10" xfId="41" applyNumberFormat="1" applyFont="1" applyBorder="1" applyAlignment="1">
      <alignment horizontal="center" vertical="top" wrapText="1"/>
    </xf>
    <xf numFmtId="0" fontId="3" fillId="20" borderId="10" xfId="41" applyNumberFormat="1" applyFont="1" applyFill="1" applyBorder="1" applyAlignment="1">
      <alignment vertical="top" wrapText="1"/>
    </xf>
    <xf numFmtId="0" fontId="3" fillId="20" borderId="10" xfId="41" applyNumberFormat="1" applyFont="1" applyFill="1" applyBorder="1" applyAlignment="1">
      <alignment horizontal="center" vertical="top" wrapText="1"/>
    </xf>
    <xf numFmtId="0" fontId="3" fillId="0" borderId="10" xfId="41" applyNumberFormat="1" applyFont="1" applyFill="1" applyBorder="1" applyAlignment="1">
      <alignment horizontal="center" vertical="top" wrapText="1"/>
    </xf>
    <xf numFmtId="172" fontId="70" fillId="22" borderId="10" xfId="41" applyFont="1" applyFill="1" applyBorder="1" applyAlignment="1">
      <alignment horizontal="justify" vertical="center" wrapText="1"/>
    </xf>
    <xf numFmtId="172" fontId="70" fillId="22" borderId="10" xfId="41" applyFont="1" applyFill="1" applyBorder="1" applyAlignment="1">
      <alignment horizontal="center" vertical="center" wrapText="1"/>
    </xf>
    <xf numFmtId="172" fontId="71" fillId="18" borderId="10" xfId="41" applyFont="1" applyFill="1" applyBorder="1" applyAlignment="1">
      <alignment horizontal="justify" vertical="center" wrapText="1"/>
    </xf>
    <xf numFmtId="172" fontId="71" fillId="0" borderId="10" xfId="41" applyFont="1" applyBorder="1" applyAlignment="1">
      <alignment horizontal="center" vertical="center" wrapText="1"/>
    </xf>
    <xf numFmtId="1" fontId="3" fillId="23" borderId="10" xfId="41" applyNumberFormat="1" applyFont="1" applyFill="1" applyBorder="1" applyAlignment="1">
      <alignment horizontal="center" vertical="top" wrapText="1"/>
    </xf>
    <xf numFmtId="2" fontId="66" fillId="19" borderId="10" xfId="0" applyNumberFormat="1" applyFont="1" applyFill="1" applyBorder="1" applyAlignment="1">
      <alignment horizontal="center" vertical="center"/>
    </xf>
    <xf numFmtId="0" fontId="5" fillId="19" borderId="13" xfId="41" applyNumberFormat="1" applyFont="1" applyFill="1" applyBorder="1" applyAlignment="1">
      <alignment horizontal="center" vertical="top" wrapText="1"/>
    </xf>
    <xf numFmtId="2" fontId="72" fillId="18" borderId="10" xfId="0" applyNumberFormat="1" applyFont="1" applyFill="1" applyBorder="1" applyAlignment="1">
      <alignment horizontal="center" vertical="center"/>
    </xf>
    <xf numFmtId="0" fontId="5" fillId="18" borderId="13" xfId="41" applyNumberFormat="1" applyFont="1" applyFill="1" applyBorder="1" applyAlignment="1">
      <alignment horizontal="center" vertical="top" wrapText="1"/>
    </xf>
    <xf numFmtId="2" fontId="72" fillId="18" borderId="10" xfId="0" applyNumberFormat="1" applyFont="1" applyFill="1" applyBorder="1" applyAlignment="1">
      <alignment horizontal="center"/>
    </xf>
    <xf numFmtId="49" fontId="73" fillId="24" borderId="11" xfId="41" applyNumberFormat="1" applyFont="1" applyFill="1" applyBorder="1" applyAlignment="1">
      <alignment horizontal="center"/>
    </xf>
    <xf numFmtId="172" fontId="66" fillId="18" borderId="10" xfId="0" applyFont="1" applyFill="1" applyBorder="1" applyAlignment="1">
      <alignment horizontal="center" vertical="center"/>
    </xf>
    <xf numFmtId="49" fontId="73" fillId="25" borderId="11" xfId="41" applyNumberFormat="1" applyFont="1" applyFill="1" applyBorder="1" applyAlignment="1">
      <alignment horizontal="center" wrapText="1"/>
    </xf>
    <xf numFmtId="2" fontId="66" fillId="18" borderId="10" xfId="0" applyNumberFormat="1" applyFont="1" applyFill="1" applyBorder="1" applyAlignment="1">
      <alignment horizontal="center" vertical="center"/>
    </xf>
    <xf numFmtId="49" fontId="73" fillId="24" borderId="11" xfId="41" applyNumberFormat="1" applyFont="1" applyFill="1" applyBorder="1" applyAlignment="1">
      <alignment horizontal="center" vertical="top" wrapText="1"/>
    </xf>
    <xf numFmtId="2" fontId="66" fillId="18" borderId="10" xfId="0" applyNumberFormat="1" applyFont="1" applyFill="1" applyBorder="1" applyAlignment="1">
      <alignment horizontal="center"/>
    </xf>
    <xf numFmtId="181" fontId="74" fillId="18" borderId="10" xfId="49" applyFont="1" applyFill="1" applyBorder="1" applyAlignment="1">
      <alignment wrapText="1"/>
    </xf>
    <xf numFmtId="0" fontId="5" fillId="0" borderId="13" xfId="41" applyNumberFormat="1" applyFont="1" applyBorder="1" applyAlignment="1">
      <alignment horizontal="center" vertical="top" wrapText="1"/>
    </xf>
    <xf numFmtId="196" fontId="72" fillId="18" borderId="10" xfId="0" applyNumberFormat="1" applyFont="1" applyFill="1" applyBorder="1" applyAlignment="1">
      <alignment horizontal="center"/>
    </xf>
    <xf numFmtId="2" fontId="72" fillId="18" borderId="0" xfId="0" applyNumberFormat="1" applyFont="1" applyFill="1" applyBorder="1" applyAlignment="1">
      <alignment horizontal="center"/>
    </xf>
    <xf numFmtId="49" fontId="5" fillId="18" borderId="13" xfId="41" applyNumberFormat="1" applyFont="1" applyFill="1" applyBorder="1" applyAlignment="1">
      <alignment horizontal="center" vertical="top" wrapText="1"/>
    </xf>
    <xf numFmtId="172" fontId="71" fillId="0" borderId="10" xfId="41" applyFont="1" applyFill="1" applyBorder="1" applyAlignment="1">
      <alignment horizontal="center" vertical="center" wrapText="1"/>
    </xf>
    <xf numFmtId="0" fontId="5" fillId="18" borderId="10" xfId="41" applyNumberFormat="1" applyFont="1" applyFill="1" applyBorder="1" applyAlignment="1">
      <alignment horizontal="center" vertical="top" wrapText="1"/>
    </xf>
    <xf numFmtId="181" fontId="74" fillId="24" borderId="23" xfId="49" applyFont="1" applyFill="1" applyBorder="1" applyAlignment="1">
      <alignment vertical="top" wrapText="1"/>
    </xf>
    <xf numFmtId="172" fontId="66" fillId="18" borderId="10" xfId="0" applyFont="1" applyFill="1" applyBorder="1" applyAlignment="1">
      <alignment horizontal="center" vertical="center" wrapText="1"/>
    </xf>
    <xf numFmtId="172" fontId="66" fillId="0" borderId="10" xfId="0" applyFont="1" applyBorder="1" applyAlignment="1">
      <alignment horizontal="center" vertical="center" wrapText="1"/>
    </xf>
    <xf numFmtId="172" fontId="72" fillId="0" borderId="0" xfId="0" applyFont="1" applyFill="1" applyBorder="1" applyAlignment="1">
      <alignment horizontal="center" vertical="center"/>
    </xf>
    <xf numFmtId="172" fontId="66" fillId="18" borderId="24" xfId="0" applyFont="1" applyFill="1" applyBorder="1" applyAlignment="1">
      <alignment horizontal="center" vertical="center" wrapText="1"/>
    </xf>
    <xf numFmtId="172" fontId="67" fillId="0" borderId="10" xfId="0" applyFont="1" applyBorder="1" applyAlignment="1">
      <alignment horizontal="center" vertical="top" wrapText="1"/>
    </xf>
    <xf numFmtId="172" fontId="66" fillId="0" borderId="10" xfId="0" applyFont="1" applyBorder="1" applyAlignment="1">
      <alignment horizontal="center" vertical="top" wrapText="1"/>
    </xf>
    <xf numFmtId="172" fontId="66" fillId="0" borderId="0" xfId="0" applyFont="1" applyBorder="1" applyAlignment="1">
      <alignment horizontal="center" vertical="center" wrapText="1"/>
    </xf>
    <xf numFmtId="2" fontId="72" fillId="18" borderId="0" xfId="0" applyNumberFormat="1" applyFont="1" applyFill="1" applyBorder="1" applyAlignment="1">
      <alignment horizontal="center" vertical="center"/>
    </xf>
    <xf numFmtId="172" fontId="66" fillId="0" borderId="25" xfId="0" applyFont="1" applyBorder="1" applyAlignment="1">
      <alignment horizontal="justify" vertical="center" wrapText="1"/>
    </xf>
    <xf numFmtId="2" fontId="66" fillId="18" borderId="10" xfId="0" applyNumberFormat="1" applyFont="1" applyFill="1" applyBorder="1" applyAlignment="1">
      <alignment horizontal="center" vertical="center" wrapText="1"/>
    </xf>
    <xf numFmtId="172" fontId="66" fillId="0" borderId="23" xfId="0" applyFont="1" applyBorder="1" applyAlignment="1">
      <alignment horizontal="center" vertical="top" wrapText="1"/>
    </xf>
    <xf numFmtId="172" fontId="72" fillId="0" borderId="12" xfId="0" applyFont="1" applyFill="1" applyBorder="1" applyAlignment="1">
      <alignment horizontal="center" vertical="center"/>
    </xf>
    <xf numFmtId="172" fontId="66" fillId="0" borderId="14" xfId="0" applyFont="1" applyBorder="1" applyAlignment="1">
      <alignment horizontal="center" vertical="top" wrapText="1"/>
    </xf>
    <xf numFmtId="172" fontId="66" fillId="18" borderId="26" xfId="0" applyFont="1" applyFill="1" applyBorder="1" applyAlignment="1">
      <alignment horizontal="center" vertical="center" wrapText="1"/>
    </xf>
    <xf numFmtId="172" fontId="66" fillId="0" borderId="23" xfId="0" applyFont="1" applyBorder="1" applyAlignment="1">
      <alignment vertical="top" wrapText="1"/>
    </xf>
    <xf numFmtId="172" fontId="66" fillId="0" borderId="21" xfId="0" applyFont="1" applyBorder="1" applyAlignment="1">
      <alignment vertical="top" wrapText="1"/>
    </xf>
    <xf numFmtId="172" fontId="75" fillId="0" borderId="10" xfId="0" applyFont="1" applyBorder="1" applyAlignment="1">
      <alignment horizontal="center" vertical="center" wrapText="1"/>
    </xf>
    <xf numFmtId="172" fontId="66" fillId="0" borderId="10" xfId="0" applyFont="1" applyBorder="1" applyAlignment="1">
      <alignment vertical="top" wrapText="1"/>
    </xf>
    <xf numFmtId="172" fontId="66" fillId="0" borderId="23" xfId="0" applyFont="1" applyBorder="1" applyAlignment="1">
      <alignment vertical="center"/>
    </xf>
    <xf numFmtId="172" fontId="0" fillId="0" borderId="23" xfId="0" applyBorder="1" applyAlignment="1">
      <alignment vertical="center"/>
    </xf>
    <xf numFmtId="172" fontId="66" fillId="0" borderId="10" xfId="0" applyFont="1" applyBorder="1" applyAlignment="1">
      <alignment horizontal="justify" vertical="top" wrapText="1"/>
    </xf>
    <xf numFmtId="172" fontId="72" fillId="0" borderId="0" xfId="0" applyFont="1" applyFill="1" applyBorder="1" applyAlignment="1">
      <alignment vertical="top"/>
    </xf>
    <xf numFmtId="172" fontId="72" fillId="0" borderId="23" xfId="0" applyFont="1" applyFill="1" applyBorder="1"/>
    <xf numFmtId="172" fontId="72" fillId="0" borderId="10" xfId="0" applyFont="1" applyFill="1" applyBorder="1"/>
    <xf numFmtId="172" fontId="72" fillId="0" borderId="23" xfId="0" applyFont="1" applyFill="1" applyBorder="1" applyAlignment="1">
      <alignment vertical="top"/>
    </xf>
    <xf numFmtId="172" fontId="72" fillId="0" borderId="10" xfId="0" applyFont="1" applyFill="1" applyBorder="1" applyAlignment="1">
      <alignment vertical="top"/>
    </xf>
    <xf numFmtId="172" fontId="72" fillId="0" borderId="12" xfId="0" applyFont="1" applyFill="1" applyBorder="1" applyAlignment="1">
      <alignment vertical="top"/>
    </xf>
    <xf numFmtId="172" fontId="72" fillId="0" borderId="12" xfId="0" applyFont="1" applyFill="1" applyBorder="1"/>
    <xf numFmtId="0" fontId="3" fillId="20" borderId="10" xfId="41" applyNumberFormat="1" applyFont="1" applyFill="1" applyBorder="1" applyAlignment="1">
      <alignment vertical="center" wrapText="1"/>
    </xf>
    <xf numFmtId="0" fontId="3" fillId="20" borderId="10" xfId="41" applyNumberFormat="1" applyFont="1" applyFill="1" applyBorder="1" applyAlignment="1">
      <alignment horizontal="center" vertical="center" wrapText="1"/>
    </xf>
    <xf numFmtId="0" fontId="3" fillId="23" borderId="10" xfId="41" applyNumberFormat="1" applyFont="1" applyFill="1" applyBorder="1" applyAlignment="1">
      <alignment horizontal="center" vertical="top" wrapText="1"/>
    </xf>
    <xf numFmtId="172" fontId="46" fillId="18" borderId="10" xfId="0" applyNumberFormat="1" applyFont="1" applyFill="1" applyBorder="1" applyAlignment="1">
      <alignment horizontal="center" vertical="center" wrapText="1"/>
    </xf>
    <xf numFmtId="2" fontId="46" fillId="18" borderId="0" xfId="0" applyNumberFormat="1" applyFont="1" applyFill="1" applyBorder="1" applyAlignment="1">
      <alignment horizontal="center"/>
    </xf>
    <xf numFmtId="0" fontId="3" fillId="0" borderId="10" xfId="0" applyNumberFormat="1" applyFont="1" applyFill="1" applyBorder="1" applyAlignment="1">
      <alignment horizontal="center" vertical="top" wrapText="1"/>
    </xf>
    <xf numFmtId="0" fontId="5" fillId="0" borderId="10" xfId="0" applyNumberFormat="1" applyFont="1" applyFill="1" applyBorder="1" applyAlignment="1">
      <alignment horizontal="center" vertical="top" wrapText="1"/>
    </xf>
    <xf numFmtId="0" fontId="69" fillId="0" borderId="10" xfId="42" applyFont="1" applyFill="1" applyBorder="1" applyAlignment="1">
      <alignment wrapText="1"/>
    </xf>
    <xf numFmtId="0" fontId="69" fillId="0" borderId="10" xfId="0" applyNumberFormat="1" applyFont="1" applyFill="1" applyBorder="1" applyAlignment="1">
      <alignment horizontal="center" vertical="top" wrapText="1"/>
    </xf>
    <xf numFmtId="0" fontId="69" fillId="0" borderId="10" xfId="0" applyNumberFormat="1" applyFont="1" applyFill="1" applyBorder="1" applyAlignment="1">
      <alignment horizontal="center" vertical="center" wrapText="1"/>
    </xf>
    <xf numFmtId="2" fontId="69" fillId="0" borderId="10" xfId="48" applyNumberFormat="1" applyFont="1" applyFill="1" applyBorder="1"/>
    <xf numFmtId="0" fontId="69" fillId="0" borderId="10" xfId="48" applyFont="1" applyFill="1" applyBorder="1"/>
    <xf numFmtId="172" fontId="69" fillId="0" borderId="10" xfId="0" applyFont="1" applyFill="1" applyBorder="1" applyAlignment="1">
      <alignment horizontal="center" vertical="center" wrapText="1"/>
    </xf>
    <xf numFmtId="0" fontId="69" fillId="0" borderId="10" xfId="42" applyFont="1" applyFill="1" applyBorder="1"/>
    <xf numFmtId="172" fontId="34" fillId="0" borderId="10" xfId="0" applyFont="1" applyBorder="1" applyAlignment="1">
      <alignment vertical="top" wrapText="1"/>
    </xf>
    <xf numFmtId="172" fontId="66" fillId="21" borderId="10" xfId="0" applyFont="1" applyFill="1" applyBorder="1" applyAlignment="1">
      <alignment vertical="top" wrapText="1"/>
    </xf>
    <xf numFmtId="173" fontId="66" fillId="0" borderId="10" xfId="0" applyNumberFormat="1" applyFont="1" applyBorder="1" applyAlignment="1">
      <alignment horizontal="right" vertical="top" wrapText="1"/>
    </xf>
    <xf numFmtId="172" fontId="33" fillId="0" borderId="10" xfId="0" applyFont="1" applyBorder="1" applyAlignment="1">
      <alignment vertical="top" wrapText="1"/>
    </xf>
    <xf numFmtId="173" fontId="66" fillId="0" borderId="10" xfId="0" applyNumberFormat="1" applyFont="1" applyBorder="1" applyAlignment="1">
      <alignment horizontal="center" vertical="center" wrapText="1"/>
    </xf>
    <xf numFmtId="172" fontId="66" fillId="0" borderId="10" xfId="0" applyFont="1" applyBorder="1" applyAlignment="1">
      <alignment horizontal="right" vertical="top"/>
    </xf>
    <xf numFmtId="2" fontId="34" fillId="0" borderId="10" xfId="0" applyNumberFormat="1" applyFont="1" applyBorder="1" applyAlignment="1">
      <alignment horizontal="right" vertical="top"/>
    </xf>
    <xf numFmtId="172" fontId="5" fillId="0" borderId="23" xfId="0" applyNumberFormat="1" applyFont="1" applyFill="1" applyBorder="1" applyAlignment="1">
      <alignment horizontal="right" vertical="top" wrapText="1"/>
    </xf>
    <xf numFmtId="172" fontId="5" fillId="0" borderId="10" xfId="0" applyNumberFormat="1" applyFont="1" applyFill="1" applyBorder="1" applyAlignment="1">
      <alignment horizontal="right" vertical="top" wrapText="1"/>
    </xf>
    <xf numFmtId="173" fontId="66" fillId="0" borderId="14" xfId="0" applyNumberFormat="1" applyFont="1" applyBorder="1" applyAlignment="1">
      <alignment horizontal="center" vertical="center" wrapText="1"/>
    </xf>
    <xf numFmtId="0" fontId="69" fillId="0" borderId="10" xfId="48" applyFont="1" applyFill="1" applyBorder="1" applyAlignment="1">
      <alignment wrapText="1"/>
    </xf>
    <xf numFmtId="0" fontId="69" fillId="0" borderId="10" xfId="42" applyFont="1" applyFill="1" applyBorder="1" applyAlignment="1">
      <alignment vertical="top" wrapText="1"/>
    </xf>
    <xf numFmtId="2" fontId="69" fillId="0" borderId="10" xfId="48" applyNumberFormat="1" applyFont="1" applyFill="1" applyBorder="1" applyAlignment="1">
      <alignment vertical="top"/>
    </xf>
    <xf numFmtId="172" fontId="66" fillId="21" borderId="10" xfId="0" quotePrefix="1" applyFont="1" applyFill="1" applyBorder="1" applyAlignment="1">
      <alignment horizontal="right" vertical="top" wrapText="1"/>
    </xf>
    <xf numFmtId="172" fontId="66" fillId="21" borderId="23" xfId="0" applyFont="1" applyFill="1" applyBorder="1" applyAlignment="1">
      <alignment horizontal="left" vertical="top" wrapText="1"/>
    </xf>
    <xf numFmtId="172" fontId="66" fillId="0" borderId="10" xfId="0" applyFont="1" applyBorder="1" applyAlignment="1">
      <alignment horizontal="left" vertical="top"/>
    </xf>
    <xf numFmtId="172" fontId="69" fillId="0" borderId="10" xfId="0" applyNumberFormat="1" applyFont="1" applyFill="1" applyBorder="1" applyAlignment="1">
      <alignment horizontal="right" vertical="top" wrapText="1"/>
    </xf>
    <xf numFmtId="172" fontId="68" fillId="0" borderId="22" xfId="0" applyFont="1" applyBorder="1" applyAlignment="1">
      <alignment horizontal="right" vertical="center" wrapText="1"/>
    </xf>
    <xf numFmtId="172" fontId="67" fillId="0" borderId="10" xfId="0" applyFont="1" applyBorder="1" applyAlignment="1">
      <alignment horizontal="right" vertical="center" wrapText="1"/>
    </xf>
    <xf numFmtId="171" fontId="76" fillId="0" borderId="10" xfId="28" applyFont="1" applyBorder="1" applyAlignment="1">
      <alignment horizontal="center" vertical="top" wrapText="1"/>
    </xf>
    <xf numFmtId="172" fontId="77" fillId="18" borderId="0" xfId="0" applyFont="1" applyFill="1" applyAlignment="1">
      <alignment vertical="center" wrapText="1"/>
    </xf>
    <xf numFmtId="172" fontId="77" fillId="18" borderId="0" xfId="0" applyFont="1" applyFill="1" applyAlignment="1">
      <alignment horizontal="center" vertical="center" wrapText="1"/>
    </xf>
    <xf numFmtId="172" fontId="76" fillId="0" borderId="10" xfId="0" applyFont="1" applyBorder="1" applyAlignment="1">
      <alignment horizontal="center" vertical="top" wrapText="1"/>
    </xf>
    <xf numFmtId="2" fontId="72" fillId="18" borderId="10" xfId="0" applyNumberFormat="1" applyFont="1" applyFill="1" applyBorder="1" applyAlignment="1">
      <alignment horizontal="center" vertical="top"/>
    </xf>
    <xf numFmtId="172" fontId="66" fillId="18" borderId="10" xfId="0" applyFont="1" applyFill="1" applyBorder="1" applyAlignment="1">
      <alignment horizontal="center" vertical="top" wrapText="1"/>
    </xf>
    <xf numFmtId="175" fontId="66" fillId="0" borderId="10" xfId="0" applyNumberFormat="1" applyFont="1" applyBorder="1" applyAlignment="1">
      <alignment vertical="top" wrapText="1"/>
    </xf>
    <xf numFmtId="2" fontId="66" fillId="18" borderId="10" xfId="0" applyNumberFormat="1" applyFont="1" applyFill="1" applyBorder="1" applyAlignment="1">
      <alignment horizontal="center" vertical="top" wrapText="1"/>
    </xf>
    <xf numFmtId="2" fontId="66" fillId="18" borderId="23" xfId="0" applyNumberFormat="1" applyFont="1" applyFill="1" applyBorder="1" applyAlignment="1">
      <alignment horizontal="center" vertical="top" wrapText="1"/>
    </xf>
    <xf numFmtId="172" fontId="72" fillId="0" borderId="10" xfId="0" applyFont="1" applyFill="1" applyBorder="1" applyAlignment="1">
      <alignment horizontal="center" vertical="top"/>
    </xf>
    <xf numFmtId="172" fontId="0" fillId="18" borderId="10" xfId="0" applyFill="1" applyBorder="1" applyAlignment="1">
      <alignment horizontal="center" vertical="top"/>
    </xf>
    <xf numFmtId="2" fontId="72" fillId="18" borderId="14" xfId="0" applyNumberFormat="1" applyFont="1" applyFill="1" applyBorder="1" applyAlignment="1">
      <alignment horizontal="center" vertical="top"/>
    </xf>
    <xf numFmtId="2" fontId="72" fillId="18" borderId="23" xfId="0" applyNumberFormat="1" applyFont="1" applyFill="1" applyBorder="1" applyAlignment="1">
      <alignment horizontal="center" vertical="top"/>
    </xf>
    <xf numFmtId="172" fontId="72" fillId="18" borderId="10" xfId="0" applyFont="1" applyFill="1" applyBorder="1" applyAlignment="1">
      <alignment horizontal="center" vertical="top"/>
    </xf>
    <xf numFmtId="2" fontId="66" fillId="0" borderId="10" xfId="0" applyNumberFormat="1" applyFont="1" applyFill="1" applyBorder="1" applyAlignment="1">
      <alignment vertical="center" wrapText="1"/>
    </xf>
    <xf numFmtId="1" fontId="5" fillId="23" borderId="10" xfId="41" applyNumberFormat="1" applyFont="1" applyFill="1" applyBorder="1" applyAlignment="1">
      <alignment horizontal="center" vertical="top" wrapText="1"/>
    </xf>
    <xf numFmtId="172" fontId="71" fillId="23" borderId="10" xfId="41" applyFont="1" applyFill="1" applyBorder="1" applyAlignment="1">
      <alignment horizontal="justify" vertical="center" wrapText="1"/>
    </xf>
    <xf numFmtId="172" fontId="71" fillId="22" borderId="10" xfId="41" applyFont="1" applyFill="1" applyBorder="1" applyAlignment="1">
      <alignment horizontal="justify" vertical="center" wrapText="1"/>
    </xf>
    <xf numFmtId="172" fontId="71" fillId="23" borderId="10" xfId="41" applyFont="1" applyFill="1" applyBorder="1" applyAlignment="1">
      <alignment horizontal="center" vertical="top" wrapText="1"/>
    </xf>
    <xf numFmtId="172" fontId="71" fillId="23" borderId="10" xfId="41" applyFont="1" applyFill="1" applyBorder="1" applyAlignment="1">
      <alignment horizontal="center" vertical="center" wrapText="1"/>
    </xf>
    <xf numFmtId="172" fontId="71" fillId="22" borderId="10" xfId="41" applyFont="1" applyFill="1" applyBorder="1" applyAlignment="1">
      <alignment horizontal="center" vertical="center" wrapText="1"/>
    </xf>
    <xf numFmtId="172" fontId="71" fillId="22" borderId="10" xfId="41" applyFont="1" applyFill="1" applyBorder="1" applyAlignment="1">
      <alignment horizontal="center" vertical="top" wrapText="1"/>
    </xf>
    <xf numFmtId="172" fontId="77" fillId="18" borderId="10" xfId="0" applyFont="1" applyFill="1" applyBorder="1" applyAlignment="1">
      <alignment vertical="top" wrapText="1"/>
    </xf>
    <xf numFmtId="172" fontId="5" fillId="0" borderId="0" xfId="0" applyFont="1" applyBorder="1" applyAlignment="1">
      <alignment vertical="center"/>
    </xf>
    <xf numFmtId="172" fontId="5" fillId="0" borderId="0" xfId="0" applyNumberFormat="1" applyFont="1" applyBorder="1" applyAlignment="1" applyProtection="1">
      <alignment vertical="center"/>
    </xf>
    <xf numFmtId="172" fontId="3" fillId="0" borderId="0" xfId="0" applyNumberFormat="1" applyFont="1" applyBorder="1" applyAlignment="1" applyProtection="1">
      <alignment vertical="center"/>
    </xf>
    <xf numFmtId="172" fontId="5" fillId="0" borderId="0" xfId="0" applyFont="1" applyFill="1" applyBorder="1" applyAlignment="1">
      <alignment vertical="center"/>
    </xf>
    <xf numFmtId="172" fontId="5" fillId="0" borderId="0" xfId="0" applyNumberFormat="1" applyFont="1" applyFill="1" applyBorder="1" applyAlignment="1" applyProtection="1">
      <alignment horizontal="center" vertical="center"/>
    </xf>
    <xf numFmtId="172" fontId="3" fillId="0" borderId="0" xfId="0" applyFont="1" applyBorder="1" applyAlignment="1">
      <alignment vertical="center"/>
    </xf>
    <xf numFmtId="172" fontId="3" fillId="18" borderId="0" xfId="0" applyNumberFormat="1" applyFont="1" applyFill="1" applyBorder="1" applyAlignment="1" applyProtection="1">
      <alignment vertical="center"/>
    </xf>
    <xf numFmtId="172" fontId="5" fillId="0" borderId="0" xfId="0" applyNumberFormat="1" applyFont="1" applyFill="1" applyBorder="1" applyAlignment="1" applyProtection="1">
      <alignment vertical="center"/>
    </xf>
    <xf numFmtId="172" fontId="5" fillId="0" borderId="0" xfId="0" applyFont="1" applyBorder="1" applyAlignment="1">
      <alignment vertical="top"/>
    </xf>
    <xf numFmtId="172" fontId="3" fillId="18" borderId="0" xfId="0" applyNumberFormat="1" applyFont="1" applyFill="1" applyBorder="1" applyAlignment="1" applyProtection="1">
      <alignment vertical="top"/>
    </xf>
    <xf numFmtId="172" fontId="3" fillId="0" borderId="0" xfId="0" applyNumberFormat="1" applyFont="1" applyBorder="1" applyAlignment="1" applyProtection="1">
      <alignment vertical="top"/>
    </xf>
    <xf numFmtId="172" fontId="47" fillId="0" borderId="0" xfId="0" applyNumberFormat="1" applyFont="1" applyBorder="1" applyAlignment="1" applyProtection="1">
      <alignment vertical="top"/>
      <protection locked="0"/>
    </xf>
    <xf numFmtId="172" fontId="5" fillId="0" borderId="0" xfId="0" applyNumberFormat="1" applyFont="1" applyAlignment="1" applyProtection="1">
      <alignment horizontal="right" vertical="top"/>
    </xf>
    <xf numFmtId="172" fontId="5" fillId="0" borderId="0" xfId="0" applyNumberFormat="1" applyFont="1" applyFill="1" applyAlignment="1" applyProtection="1">
      <alignment horizontal="center" vertical="top"/>
    </xf>
    <xf numFmtId="0" fontId="5" fillId="18" borderId="10" xfId="0" applyNumberFormat="1" applyFont="1" applyFill="1" applyBorder="1" applyAlignment="1">
      <alignment vertical="top" wrapText="1"/>
    </xf>
    <xf numFmtId="172" fontId="3" fillId="0" borderId="0" xfId="0" applyFont="1" applyBorder="1" applyAlignment="1">
      <alignment vertical="top"/>
    </xf>
    <xf numFmtId="172" fontId="5" fillId="18" borderId="0" xfId="0" applyFont="1" applyFill="1" applyBorder="1" applyAlignment="1">
      <alignment vertical="center"/>
    </xf>
    <xf numFmtId="172" fontId="5" fillId="0" borderId="0" xfId="0" applyNumberFormat="1" applyFont="1" applyAlignment="1" applyProtection="1">
      <alignment horizontal="fill"/>
    </xf>
    <xf numFmtId="172" fontId="6" fillId="18" borderId="0" xfId="0" applyFont="1" applyFill="1" applyBorder="1" applyAlignment="1">
      <alignment vertical="center"/>
    </xf>
    <xf numFmtId="172" fontId="47" fillId="0" borderId="0" xfId="0" applyNumberFormat="1" applyFont="1" applyBorder="1" applyAlignment="1" applyProtection="1">
      <alignment vertical="center"/>
      <protection locked="0"/>
    </xf>
    <xf numFmtId="172" fontId="5" fillId="0" borderId="0" xfId="0" applyNumberFormat="1" applyFont="1" applyProtection="1"/>
    <xf numFmtId="172" fontId="0" fillId="0" borderId="0" xfId="0" applyBorder="1" applyAlignment="1">
      <alignment vertical="center"/>
    </xf>
    <xf numFmtId="172" fontId="5" fillId="18" borderId="0" xfId="0" applyNumberFormat="1" applyFont="1" applyFill="1" applyBorder="1" applyAlignment="1" applyProtection="1">
      <alignment vertical="center"/>
    </xf>
    <xf numFmtId="172" fontId="5" fillId="0" borderId="10" xfId="0" applyNumberFormat="1" applyFont="1" applyBorder="1" applyAlignment="1" applyProtection="1">
      <alignment horizontal="right"/>
    </xf>
    <xf numFmtId="172" fontId="5" fillId="0" borderId="10" xfId="0" applyNumberFormat="1" applyFont="1" applyBorder="1" applyProtection="1"/>
    <xf numFmtId="178" fontId="5" fillId="0" borderId="0" xfId="0" applyNumberFormat="1" applyFont="1" applyBorder="1" applyAlignment="1">
      <alignment vertical="center"/>
    </xf>
    <xf numFmtId="177" fontId="5" fillId="0" borderId="0" xfId="0" applyNumberFormat="1" applyFont="1" applyBorder="1" applyAlignment="1" applyProtection="1">
      <alignment vertical="center"/>
    </xf>
    <xf numFmtId="172" fontId="5" fillId="0" borderId="10" xfId="0" applyFont="1" applyBorder="1"/>
    <xf numFmtId="172" fontId="5" fillId="0" borderId="27" xfId="0" applyFont="1" applyBorder="1" applyAlignment="1">
      <alignment vertical="center"/>
    </xf>
    <xf numFmtId="172" fontId="5" fillId="0" borderId="14" xfId="0" applyNumberFormat="1" applyFont="1" applyBorder="1" applyAlignment="1" applyProtection="1">
      <alignment vertical="center"/>
    </xf>
    <xf numFmtId="172" fontId="5" fillId="0" borderId="14" xfId="0" applyNumberFormat="1" applyFont="1" applyFill="1" applyBorder="1" applyAlignment="1" applyProtection="1">
      <alignment vertical="center"/>
    </xf>
    <xf numFmtId="172" fontId="0" fillId="0" borderId="14" xfId="0" applyBorder="1" applyAlignment="1">
      <alignment vertical="center"/>
    </xf>
    <xf numFmtId="172" fontId="5" fillId="0" borderId="14" xfId="0" applyFont="1" applyBorder="1" applyAlignment="1">
      <alignment vertical="center"/>
    </xf>
    <xf numFmtId="172" fontId="5" fillId="0" borderId="15" xfId="0" applyFont="1" applyBorder="1" applyAlignment="1">
      <alignment horizontal="center" vertical="center"/>
    </xf>
    <xf numFmtId="172" fontId="5" fillId="0" borderId="15" xfId="0" applyNumberFormat="1" applyFont="1" applyBorder="1" applyAlignment="1" applyProtection="1">
      <alignment horizontal="center" vertical="center"/>
    </xf>
    <xf numFmtId="172" fontId="5" fillId="0" borderId="0" xfId="0" applyNumberFormat="1" applyFont="1" applyBorder="1" applyAlignment="1" applyProtection="1">
      <alignment horizontal="center" vertical="center"/>
    </xf>
    <xf numFmtId="0" fontId="5" fillId="18" borderId="10" xfId="0" applyNumberFormat="1" applyFont="1" applyFill="1" applyBorder="1" applyAlignment="1">
      <alignment horizontal="left" vertical="center" wrapText="1"/>
    </xf>
    <xf numFmtId="172" fontId="5" fillId="18" borderId="13" xfId="0" applyFont="1" applyFill="1" applyBorder="1" applyAlignment="1">
      <alignment horizontal="center" vertical="center"/>
    </xf>
    <xf numFmtId="172" fontId="5" fillId="18" borderId="10" xfId="0" applyNumberFormat="1" applyFont="1" applyFill="1" applyBorder="1" applyAlignment="1" applyProtection="1">
      <alignment horizontal="center" vertical="center"/>
    </xf>
    <xf numFmtId="172" fontId="5" fillId="0" borderId="10" xfId="0" applyNumberFormat="1" applyFont="1" applyBorder="1" applyAlignment="1" applyProtection="1">
      <alignment horizontal="center" vertical="center"/>
    </xf>
    <xf numFmtId="172" fontId="5" fillId="0" borderId="10" xfId="0" applyNumberFormat="1" applyFont="1" applyFill="1" applyBorder="1" applyAlignment="1" applyProtection="1">
      <alignment horizontal="center" vertical="center"/>
    </xf>
    <xf numFmtId="9" fontId="5" fillId="18" borderId="10" xfId="64" applyFont="1" applyFill="1" applyBorder="1" applyAlignment="1" applyProtection="1">
      <alignment horizontal="center" vertical="center"/>
    </xf>
    <xf numFmtId="172" fontId="5" fillId="0" borderId="10" xfId="0" quotePrefix="1" applyNumberFormat="1" applyFont="1" applyFill="1" applyBorder="1" applyAlignment="1" applyProtection="1">
      <alignment horizontal="center" vertical="center"/>
    </xf>
    <xf numFmtId="172" fontId="0" fillId="0" borderId="10" xfId="0" applyBorder="1" applyAlignment="1">
      <alignment horizontal="center" vertical="center"/>
    </xf>
    <xf numFmtId="172" fontId="5" fillId="0" borderId="10" xfId="0" applyFont="1" applyBorder="1" applyAlignment="1">
      <alignment horizontal="center" vertical="center"/>
    </xf>
    <xf numFmtId="172" fontId="3" fillId="0" borderId="10" xfId="0" applyFont="1" applyBorder="1" applyAlignment="1">
      <alignment horizontal="center" vertical="center"/>
    </xf>
    <xf numFmtId="174" fontId="5" fillId="0" borderId="15" xfId="64" applyNumberFormat="1" applyFont="1" applyBorder="1" applyAlignment="1">
      <alignment horizontal="center" vertical="center"/>
    </xf>
    <xf numFmtId="10" fontId="5" fillId="0" borderId="15" xfId="64" applyNumberFormat="1" applyFont="1" applyBorder="1" applyAlignment="1">
      <alignment horizontal="center" vertical="center"/>
    </xf>
    <xf numFmtId="9" fontId="5" fillId="0" borderId="15" xfId="64" applyFont="1" applyBorder="1" applyAlignment="1">
      <alignment horizontal="center" vertical="center"/>
    </xf>
    <xf numFmtId="9" fontId="5" fillId="0" borderId="15" xfId="64" applyNumberFormat="1" applyFont="1" applyBorder="1" applyAlignment="1">
      <alignment horizontal="center" vertical="center"/>
    </xf>
    <xf numFmtId="10" fontId="5" fillId="0" borderId="15" xfId="0" applyNumberFormat="1" applyFont="1" applyBorder="1" applyAlignment="1">
      <alignment horizontal="center" vertical="center"/>
    </xf>
    <xf numFmtId="4" fontId="5" fillId="18" borderId="10" xfId="0" applyNumberFormat="1" applyFont="1" applyFill="1" applyBorder="1" applyAlignment="1">
      <alignment horizontal="left"/>
    </xf>
    <xf numFmtId="172" fontId="3" fillId="0" borderId="15" xfId="0" applyFont="1" applyBorder="1" applyAlignment="1">
      <alignment vertical="center"/>
    </xf>
    <xf numFmtId="172" fontId="5" fillId="0" borderId="15" xfId="0" applyNumberFormat="1" applyFont="1" applyBorder="1" applyAlignment="1" applyProtection="1">
      <alignment vertical="center"/>
    </xf>
    <xf numFmtId="180" fontId="3" fillId="0" borderId="15" xfId="0" applyNumberFormat="1" applyFont="1" applyBorder="1" applyAlignment="1">
      <alignment horizontal="right" vertical="center"/>
    </xf>
    <xf numFmtId="2" fontId="3" fillId="0" borderId="15" xfId="0" applyNumberFormat="1" applyFont="1" applyBorder="1" applyAlignment="1">
      <alignment horizontal="center" vertical="top" wrapText="1"/>
    </xf>
    <xf numFmtId="172" fontId="5" fillId="0" borderId="15" xfId="0" applyFont="1" applyBorder="1" applyAlignment="1">
      <alignment vertical="center"/>
    </xf>
    <xf numFmtId="178" fontId="5" fillId="0" borderId="15" xfId="0" applyNumberFormat="1" applyFont="1" applyBorder="1" applyAlignment="1">
      <alignment vertical="center"/>
    </xf>
    <xf numFmtId="9" fontId="5" fillId="0" borderId="15" xfId="64" applyNumberFormat="1" applyFont="1" applyBorder="1" applyAlignment="1">
      <alignment vertical="center"/>
    </xf>
    <xf numFmtId="174" fontId="5" fillId="0" borderId="15" xfId="0" applyNumberFormat="1" applyFont="1" applyBorder="1" applyAlignment="1">
      <alignment vertical="center"/>
    </xf>
    <xf numFmtId="9" fontId="5" fillId="0" borderId="15" xfId="0" applyNumberFormat="1" applyFont="1" applyBorder="1" applyAlignment="1">
      <alignment vertical="center"/>
    </xf>
    <xf numFmtId="4" fontId="5" fillId="0" borderId="10" xfId="0" applyNumberFormat="1" applyFont="1" applyBorder="1" applyAlignment="1">
      <alignment horizontal="left"/>
    </xf>
    <xf numFmtId="172" fontId="5" fillId="0" borderId="13" xfId="0" applyFont="1" applyBorder="1" applyAlignment="1">
      <alignment vertical="center"/>
    </xf>
    <xf numFmtId="172" fontId="5" fillId="0" borderId="10" xfId="0" applyNumberFormat="1" applyFont="1" applyBorder="1" applyAlignment="1" applyProtection="1">
      <alignment vertical="center"/>
    </xf>
    <xf numFmtId="172" fontId="5" fillId="18" borderId="10" xfId="0" applyNumberFormat="1" applyFont="1" applyFill="1" applyBorder="1" applyAlignment="1" applyProtection="1">
      <alignment vertical="center"/>
    </xf>
    <xf numFmtId="172" fontId="5" fillId="0" borderId="10" xfId="0" applyNumberFormat="1" applyFont="1" applyFill="1" applyBorder="1" applyAlignment="1" applyProtection="1">
      <alignment vertical="center"/>
    </xf>
    <xf numFmtId="172" fontId="0" fillId="0" borderId="10" xfId="0" applyBorder="1" applyAlignment="1">
      <alignment vertical="center"/>
    </xf>
    <xf numFmtId="172" fontId="5" fillId="0" borderId="10" xfId="0" applyFont="1" applyBorder="1" applyAlignment="1">
      <alignment vertical="center"/>
    </xf>
    <xf numFmtId="172" fontId="3" fillId="0" borderId="10" xfId="0" applyFont="1" applyBorder="1" applyAlignment="1">
      <alignment vertical="center"/>
    </xf>
    <xf numFmtId="172" fontId="3" fillId="0" borderId="15" xfId="0" quotePrefix="1" applyFont="1" applyBorder="1" applyAlignment="1">
      <alignment vertical="center"/>
    </xf>
    <xf numFmtId="185" fontId="3" fillId="0" borderId="15" xfId="0" applyNumberFormat="1" applyFont="1" applyBorder="1" applyAlignment="1">
      <alignment vertical="center"/>
    </xf>
    <xf numFmtId="175" fontId="5" fillId="0" borderId="10" xfId="0" applyNumberFormat="1" applyFont="1" applyBorder="1" applyAlignment="1">
      <alignment vertical="center"/>
    </xf>
    <xf numFmtId="172" fontId="3" fillId="0" borderId="12" xfId="0" applyFont="1" applyBorder="1" applyAlignment="1">
      <alignment vertical="center"/>
    </xf>
    <xf numFmtId="172" fontId="3" fillId="0" borderId="12" xfId="0" applyFont="1" applyBorder="1" applyAlignment="1">
      <alignment horizontal="center" vertical="center"/>
    </xf>
    <xf numFmtId="172" fontId="3" fillId="0" borderId="13" xfId="0" applyFont="1" applyBorder="1" applyAlignment="1">
      <alignment horizontal="center" vertical="center"/>
    </xf>
    <xf numFmtId="172" fontId="3" fillId="0" borderId="14" xfId="0" applyFont="1" applyBorder="1" applyAlignment="1">
      <alignment vertical="center"/>
    </xf>
    <xf numFmtId="172" fontId="5" fillId="0" borderId="28" xfId="0" applyNumberFormat="1" applyFont="1" applyBorder="1" applyAlignment="1" applyProtection="1">
      <alignment vertical="center"/>
    </xf>
    <xf numFmtId="172" fontId="3" fillId="0" borderId="0" xfId="0" applyFont="1" applyBorder="1" applyAlignment="1">
      <alignment horizontal="center" vertical="center"/>
    </xf>
    <xf numFmtId="172" fontId="48" fillId="0" borderId="0" xfId="0" applyFont="1" applyBorder="1" applyAlignment="1">
      <alignment vertical="center" wrapText="1"/>
    </xf>
    <xf numFmtId="172" fontId="3" fillId="0" borderId="0" xfId="0" applyFont="1" applyBorder="1" applyAlignment="1">
      <alignment vertical="center" wrapText="1"/>
    </xf>
    <xf numFmtId="172" fontId="3" fillId="0" borderId="29" xfId="0" applyFont="1" applyBorder="1" applyAlignment="1">
      <alignment vertical="center"/>
    </xf>
    <xf numFmtId="172" fontId="3" fillId="0" borderId="26" xfId="0" applyFont="1" applyBorder="1" applyAlignment="1">
      <alignment vertical="center"/>
    </xf>
    <xf numFmtId="172" fontId="5" fillId="0" borderId="11" xfId="0" applyNumberFormat="1" applyFont="1" applyBorder="1" applyAlignment="1" applyProtection="1">
      <alignment vertical="center"/>
    </xf>
    <xf numFmtId="9" fontId="5" fillId="0" borderId="10" xfId="0" applyNumberFormat="1" applyFont="1" applyBorder="1" applyAlignment="1" applyProtection="1">
      <alignment vertical="center"/>
    </xf>
    <xf numFmtId="172" fontId="3" fillId="0" borderId="12" xfId="0" applyFont="1" applyBorder="1" applyAlignment="1">
      <alignment vertical="top" wrapText="1"/>
    </xf>
    <xf numFmtId="172" fontId="3" fillId="0" borderId="11" xfId="0" applyFont="1" applyBorder="1" applyAlignment="1">
      <alignment vertical="center"/>
    </xf>
    <xf numFmtId="172" fontId="3" fillId="0" borderId="13" xfId="0" applyFont="1" applyBorder="1" applyAlignment="1">
      <alignment vertical="center"/>
    </xf>
    <xf numFmtId="4" fontId="5" fillId="0" borderId="10" xfId="0" applyNumberFormat="1" applyFont="1" applyFill="1" applyBorder="1" applyAlignment="1">
      <alignment horizontal="left"/>
    </xf>
    <xf numFmtId="172" fontId="5" fillId="0" borderId="12" xfId="0" quotePrefix="1" applyFont="1" applyBorder="1" applyAlignment="1">
      <alignment vertical="center"/>
    </xf>
    <xf numFmtId="173" fontId="4" fillId="0" borderId="0" xfId="0" applyNumberFormat="1" applyFont="1" applyFill="1" applyBorder="1" applyAlignment="1" applyProtection="1">
      <alignment vertical="center"/>
    </xf>
    <xf numFmtId="172" fontId="7" fillId="0" borderId="0" xfId="0" applyFont="1" applyFill="1" applyBorder="1" applyAlignment="1">
      <alignment vertical="center"/>
    </xf>
    <xf numFmtId="180" fontId="7" fillId="0" borderId="0" xfId="0" applyNumberFormat="1" applyFont="1" applyFill="1" applyBorder="1" applyAlignment="1">
      <alignment vertical="center"/>
    </xf>
    <xf numFmtId="172" fontId="49" fillId="0" borderId="0" xfId="0" applyNumberFormat="1" applyFont="1" applyFill="1" applyBorder="1" applyAlignment="1" applyProtection="1">
      <alignment vertical="center"/>
    </xf>
    <xf numFmtId="172" fontId="49" fillId="0" borderId="0" xfId="0" applyFont="1" applyFill="1" applyBorder="1" applyAlignment="1">
      <alignment vertical="center"/>
    </xf>
    <xf numFmtId="172" fontId="49" fillId="0" borderId="29" xfId="0" applyNumberFormat="1" applyFont="1" applyFill="1" applyBorder="1" applyAlignment="1" applyProtection="1">
      <alignment vertical="center"/>
    </xf>
    <xf numFmtId="172" fontId="49" fillId="0" borderId="26" xfId="0" applyNumberFormat="1" applyFont="1" applyFill="1" applyBorder="1" applyAlignment="1" applyProtection="1">
      <alignment vertical="center"/>
    </xf>
    <xf numFmtId="172" fontId="5" fillId="0" borderId="30" xfId="0" applyNumberFormat="1" applyFont="1" applyFill="1" applyBorder="1" applyAlignment="1" applyProtection="1">
      <alignment vertical="center"/>
    </xf>
    <xf numFmtId="172" fontId="5" fillId="0" borderId="23" xfId="0" applyFont="1" applyFill="1" applyBorder="1" applyAlignment="1">
      <alignment vertical="center"/>
    </xf>
    <xf numFmtId="172" fontId="5" fillId="0" borderId="23" xfId="0" applyNumberFormat="1" applyFont="1" applyFill="1" applyBorder="1" applyAlignment="1" applyProtection="1">
      <alignment vertical="center"/>
    </xf>
    <xf numFmtId="172" fontId="5" fillId="0" borderId="31" xfId="0" applyNumberFormat="1" applyFont="1" applyFill="1" applyBorder="1" applyAlignment="1" applyProtection="1">
      <alignment vertical="center"/>
    </xf>
    <xf numFmtId="172" fontId="5" fillId="0" borderId="30" xfId="0" applyFont="1" applyFill="1" applyBorder="1" applyAlignment="1">
      <alignment vertical="center"/>
    </xf>
    <xf numFmtId="173" fontId="5" fillId="0" borderId="12" xfId="0" applyNumberFormat="1" applyFont="1" applyFill="1" applyBorder="1" applyAlignment="1" applyProtection="1">
      <alignment vertical="top"/>
    </xf>
    <xf numFmtId="172" fontId="5" fillId="18" borderId="12" xfId="0" applyFont="1" applyFill="1" applyBorder="1" applyAlignment="1">
      <alignment vertical="top" wrapText="1"/>
    </xf>
    <xf numFmtId="180" fontId="7" fillId="0" borderId="12" xfId="0" applyNumberFormat="1" applyFont="1" applyFill="1" applyBorder="1" applyAlignment="1">
      <alignment vertical="top"/>
    </xf>
    <xf numFmtId="172" fontId="49" fillId="0" borderId="12" xfId="0" applyNumberFormat="1" applyFont="1" applyFill="1" applyBorder="1" applyAlignment="1" applyProtection="1">
      <alignment vertical="top"/>
    </xf>
    <xf numFmtId="172" fontId="49" fillId="0" borderId="12" xfId="0" applyFont="1" applyFill="1" applyBorder="1" applyAlignment="1">
      <alignment vertical="top"/>
    </xf>
    <xf numFmtId="175" fontId="49" fillId="0" borderId="12" xfId="0" applyNumberFormat="1" applyFont="1" applyFill="1" applyBorder="1" applyAlignment="1" applyProtection="1">
      <alignment vertical="top"/>
    </xf>
    <xf numFmtId="172" fontId="49" fillId="0" borderId="11" xfId="0" applyNumberFormat="1" applyFont="1" applyFill="1" applyBorder="1" applyAlignment="1" applyProtection="1">
      <alignment vertical="top"/>
    </xf>
    <xf numFmtId="172" fontId="49" fillId="0" borderId="13" xfId="0" applyNumberFormat="1" applyFont="1" applyFill="1" applyBorder="1" applyAlignment="1" applyProtection="1">
      <alignment vertical="top"/>
    </xf>
    <xf numFmtId="172" fontId="5" fillId="0" borderId="13" xfId="0" applyNumberFormat="1" applyFont="1" applyFill="1" applyBorder="1" applyAlignment="1" applyProtection="1">
      <alignment vertical="top"/>
    </xf>
    <xf numFmtId="172" fontId="5" fillId="0" borderId="10" xfId="0" applyFont="1" applyFill="1" applyBorder="1" applyAlignment="1">
      <alignment vertical="top"/>
    </xf>
    <xf numFmtId="172" fontId="5" fillId="0" borderId="10" xfId="0" applyNumberFormat="1" applyFont="1" applyFill="1" applyBorder="1" applyAlignment="1" applyProtection="1">
      <alignment vertical="top"/>
    </xf>
    <xf numFmtId="172" fontId="5" fillId="0" borderId="12" xfId="0" applyFont="1" applyFill="1" applyBorder="1" applyAlignment="1">
      <alignment vertical="top" wrapText="1"/>
    </xf>
    <xf numFmtId="172" fontId="5" fillId="0" borderId="14" xfId="0" applyNumberFormat="1" applyFont="1" applyFill="1" applyBorder="1" applyAlignment="1" applyProtection="1">
      <alignment vertical="top"/>
    </xf>
    <xf numFmtId="172" fontId="5" fillId="0" borderId="14" xfId="0" applyFont="1" applyFill="1" applyBorder="1" applyAlignment="1">
      <alignment vertical="top"/>
    </xf>
    <xf numFmtId="173" fontId="5" fillId="0" borderId="0" xfId="0" applyNumberFormat="1" applyFont="1" applyFill="1" applyBorder="1" applyAlignment="1" applyProtection="1">
      <alignment vertical="top"/>
    </xf>
    <xf numFmtId="172" fontId="5" fillId="18" borderId="0" xfId="0" applyFont="1" applyFill="1" applyBorder="1" applyAlignment="1">
      <alignment vertical="top" wrapText="1"/>
    </xf>
    <xf numFmtId="180" fontId="7" fillId="0" borderId="0" xfId="0" applyNumberFormat="1" applyFont="1" applyFill="1" applyBorder="1" applyAlignment="1">
      <alignment vertical="top"/>
    </xf>
    <xf numFmtId="172" fontId="49" fillId="0" borderId="0" xfId="0" applyNumberFormat="1" applyFont="1" applyFill="1" applyBorder="1" applyAlignment="1" applyProtection="1">
      <alignment vertical="top"/>
    </xf>
    <xf numFmtId="172" fontId="49" fillId="0" borderId="0" xfId="0" applyFont="1" applyFill="1" applyBorder="1" applyAlignment="1">
      <alignment vertical="top"/>
    </xf>
    <xf numFmtId="172" fontId="49" fillId="18" borderId="0" xfId="0" applyNumberFormat="1" applyFont="1" applyFill="1" applyBorder="1" applyAlignment="1" applyProtection="1">
      <alignment vertical="top"/>
    </xf>
    <xf numFmtId="173" fontId="5" fillId="0" borderId="12" xfId="0" applyNumberFormat="1" applyFont="1" applyFill="1" applyBorder="1" applyAlignment="1" applyProtection="1">
      <alignment horizontal="center" vertical="top"/>
    </xf>
    <xf numFmtId="172" fontId="3" fillId="0" borderId="12" xfId="0" applyFont="1" applyFill="1" applyBorder="1" applyAlignment="1">
      <alignment vertical="top" wrapText="1"/>
    </xf>
    <xf numFmtId="172" fontId="50" fillId="0" borderId="11" xfId="0" applyNumberFormat="1" applyFont="1" applyFill="1" applyBorder="1" applyAlignment="1" applyProtection="1">
      <alignment vertical="top"/>
    </xf>
    <xf numFmtId="172" fontId="50" fillId="0" borderId="12" xfId="0" applyNumberFormat="1" applyFont="1" applyFill="1" applyBorder="1" applyAlignment="1" applyProtection="1">
      <alignment vertical="top"/>
    </xf>
    <xf numFmtId="172" fontId="50" fillId="0" borderId="13" xfId="0" applyNumberFormat="1" applyFont="1" applyFill="1" applyBorder="1" applyAlignment="1" applyProtection="1">
      <alignment vertical="top"/>
    </xf>
    <xf numFmtId="172" fontId="5" fillId="0" borderId="27" xfId="0" applyNumberFormat="1" applyFont="1" applyFill="1" applyBorder="1" applyAlignment="1" applyProtection="1">
      <alignment vertical="top"/>
    </xf>
    <xf numFmtId="173" fontId="5" fillId="0" borderId="0" xfId="0" applyNumberFormat="1" applyFont="1" applyFill="1" applyBorder="1" applyAlignment="1" applyProtection="1">
      <alignment horizontal="center" vertical="center"/>
    </xf>
    <xf numFmtId="172" fontId="5" fillId="0" borderId="27" xfId="0" applyNumberFormat="1" applyFont="1" applyBorder="1" applyAlignment="1" applyProtection="1">
      <alignment vertical="center"/>
    </xf>
    <xf numFmtId="173" fontId="5" fillId="0" borderId="12" xfId="0" applyNumberFormat="1" applyFont="1" applyFill="1" applyBorder="1" applyAlignment="1" applyProtection="1">
      <alignment horizontal="center" vertical="center"/>
    </xf>
    <xf numFmtId="172" fontId="3" fillId="0" borderId="12" xfId="0" applyNumberFormat="1" applyFont="1" applyFill="1" applyBorder="1" applyAlignment="1" applyProtection="1">
      <alignment vertical="center"/>
    </xf>
    <xf numFmtId="172" fontId="50" fillId="0" borderId="12" xfId="0" applyNumberFormat="1" applyFont="1" applyFill="1" applyBorder="1" applyAlignment="1" applyProtection="1">
      <alignment vertical="center"/>
    </xf>
    <xf numFmtId="172" fontId="50" fillId="0" borderId="11" xfId="0" applyNumberFormat="1" applyFont="1" applyFill="1" applyBorder="1" applyAlignment="1" applyProtection="1">
      <alignment vertical="center"/>
    </xf>
    <xf numFmtId="172" fontId="50" fillId="0" borderId="13" xfId="0" applyNumberFormat="1" applyFont="1" applyFill="1" applyBorder="1" applyAlignment="1" applyProtection="1">
      <alignment vertical="center"/>
    </xf>
    <xf numFmtId="172" fontId="5" fillId="0" borderId="13" xfId="0" applyNumberFormat="1" applyFont="1" applyBorder="1" applyAlignment="1" applyProtection="1">
      <alignment vertical="center"/>
    </xf>
    <xf numFmtId="172" fontId="4" fillId="0" borderId="10" xfId="0" applyNumberFormat="1" applyFont="1" applyBorder="1" applyAlignment="1" applyProtection="1">
      <alignment vertical="center"/>
    </xf>
    <xf numFmtId="172" fontId="49" fillId="19" borderId="0" xfId="0" applyNumberFormat="1" applyFont="1" applyFill="1" applyBorder="1" applyAlignment="1" applyProtection="1">
      <alignment vertical="center"/>
    </xf>
    <xf numFmtId="172" fontId="51" fillId="19" borderId="0" xfId="0" applyNumberFormat="1" applyFont="1" applyFill="1" applyBorder="1" applyAlignment="1" applyProtection="1">
      <alignment vertical="center"/>
    </xf>
    <xf numFmtId="172" fontId="49" fillId="20" borderId="0" xfId="0" applyNumberFormat="1" applyFont="1" applyFill="1" applyBorder="1" applyAlignment="1" applyProtection="1">
      <alignment vertical="center"/>
    </xf>
    <xf numFmtId="172" fontId="49" fillId="20" borderId="0" xfId="0" applyNumberFormat="1" applyFont="1" applyFill="1" applyBorder="1" applyAlignment="1" applyProtection="1">
      <alignment vertical="top"/>
    </xf>
    <xf numFmtId="9" fontId="5" fillId="18" borderId="10" xfId="64" applyFont="1" applyFill="1" applyBorder="1" applyAlignment="1" applyProtection="1">
      <alignment vertical="center"/>
    </xf>
    <xf numFmtId="172" fontId="6" fillId="0" borderId="10" xfId="0" applyFont="1" applyBorder="1" applyAlignment="1">
      <alignment vertical="center"/>
    </xf>
    <xf numFmtId="172" fontId="49" fillId="0" borderId="12" xfId="0" applyNumberFormat="1" applyFont="1" applyFill="1" applyBorder="1" applyAlignment="1" applyProtection="1">
      <alignment vertical="center"/>
    </xf>
    <xf numFmtId="172" fontId="49" fillId="0" borderId="11" xfId="0" applyNumberFormat="1" applyFont="1" applyFill="1" applyBorder="1" applyAlignment="1" applyProtection="1">
      <alignment vertical="center"/>
    </xf>
    <xf numFmtId="172" fontId="5" fillId="0" borderId="30" xfId="0" applyNumberFormat="1" applyFont="1" applyBorder="1" applyAlignment="1" applyProtection="1">
      <alignment vertical="center"/>
    </xf>
    <xf numFmtId="172" fontId="5" fillId="0" borderId="23" xfId="0" applyNumberFormat="1" applyFont="1" applyBorder="1" applyAlignment="1" applyProtection="1">
      <alignment vertical="center"/>
    </xf>
    <xf numFmtId="172" fontId="5" fillId="0" borderId="23" xfId="0" applyFont="1" applyBorder="1" applyAlignment="1">
      <alignment vertical="center"/>
    </xf>
    <xf numFmtId="9" fontId="5" fillId="0" borderId="23" xfId="64" applyNumberFormat="1" applyFont="1" applyBorder="1" applyAlignment="1" applyProtection="1">
      <alignment vertical="center"/>
    </xf>
    <xf numFmtId="173" fontId="5" fillId="0" borderId="0" xfId="0" applyNumberFormat="1" applyFont="1" applyFill="1" applyBorder="1" applyAlignment="1" applyProtection="1">
      <alignment vertical="center"/>
    </xf>
    <xf numFmtId="9" fontId="5" fillId="0" borderId="0" xfId="64" applyNumberFormat="1" applyFont="1" applyBorder="1" applyAlignment="1" applyProtection="1">
      <alignment vertical="center"/>
    </xf>
    <xf numFmtId="172" fontId="5" fillId="0" borderId="0" xfId="0" quotePrefix="1" applyNumberFormat="1" applyFont="1" applyBorder="1" applyAlignment="1" applyProtection="1">
      <alignment vertical="center"/>
    </xf>
    <xf numFmtId="10" fontId="5" fillId="0" borderId="0" xfId="0" applyNumberFormat="1" applyFont="1" applyBorder="1" applyAlignment="1" applyProtection="1">
      <alignment vertical="center"/>
    </xf>
    <xf numFmtId="172" fontId="0" fillId="0" borderId="0" xfId="0" applyNumberFormat="1" applyBorder="1" applyAlignment="1" applyProtection="1">
      <alignment vertical="center"/>
    </xf>
    <xf numFmtId="9" fontId="5" fillId="18" borderId="0" xfId="64" applyNumberFormat="1" applyFont="1" applyFill="1" applyBorder="1" applyAlignment="1" applyProtection="1">
      <alignment vertical="center"/>
    </xf>
    <xf numFmtId="9" fontId="5" fillId="0" borderId="0" xfId="64" applyFont="1" applyBorder="1" applyAlignment="1" applyProtection="1">
      <alignment vertical="center"/>
    </xf>
    <xf numFmtId="174" fontId="5" fillId="18" borderId="0" xfId="64" applyNumberFormat="1" applyFont="1" applyFill="1" applyBorder="1" applyAlignment="1" applyProtection="1">
      <alignment vertical="center"/>
    </xf>
    <xf numFmtId="172" fontId="5" fillId="0" borderId="0" xfId="0" quotePrefix="1" applyFont="1" applyBorder="1" applyAlignment="1">
      <alignment vertical="center"/>
    </xf>
    <xf numFmtId="174" fontId="5" fillId="0" borderId="0" xfId="64" applyNumberFormat="1" applyFont="1" applyBorder="1" applyAlignment="1">
      <alignment vertical="center"/>
    </xf>
    <xf numFmtId="9" fontId="5" fillId="0" borderId="0" xfId="64" applyNumberFormat="1" applyFont="1" applyBorder="1" applyAlignment="1">
      <alignment vertical="center"/>
    </xf>
    <xf numFmtId="174" fontId="5" fillId="0" borderId="0" xfId="0" applyNumberFormat="1" applyFont="1" applyBorder="1" applyAlignment="1">
      <alignment vertical="center"/>
    </xf>
    <xf numFmtId="9" fontId="5" fillId="0" borderId="0" xfId="0" applyNumberFormat="1" applyFont="1" applyBorder="1" applyAlignment="1">
      <alignment vertical="center"/>
    </xf>
    <xf numFmtId="10" fontId="5" fillId="0" borderId="0" xfId="64" applyNumberFormat="1" applyFont="1" applyBorder="1" applyAlignment="1" applyProtection="1">
      <alignment vertical="center"/>
    </xf>
    <xf numFmtId="172" fontId="3" fillId="0" borderId="0" xfId="0" applyFont="1" applyFill="1" applyBorder="1" applyAlignment="1">
      <alignment vertical="center"/>
    </xf>
    <xf numFmtId="174" fontId="5" fillId="0" borderId="0" xfId="64" applyNumberFormat="1" applyFont="1" applyBorder="1" applyAlignment="1" applyProtection="1">
      <alignment vertical="center"/>
    </xf>
    <xf numFmtId="172" fontId="5" fillId="0" borderId="0" xfId="0" applyNumberFormat="1" applyFont="1" applyBorder="1" applyAlignment="1">
      <alignment vertical="center"/>
    </xf>
    <xf numFmtId="173" fontId="5" fillId="0" borderId="0" xfId="0" applyNumberFormat="1" applyFont="1" applyBorder="1" applyAlignment="1" applyProtection="1">
      <alignment vertical="center"/>
    </xf>
    <xf numFmtId="172" fontId="5" fillId="0" borderId="0" xfId="0" applyFont="1" applyBorder="1" applyAlignment="1">
      <alignment vertical="center" wrapText="1"/>
    </xf>
    <xf numFmtId="174" fontId="5" fillId="0" borderId="0" xfId="0" applyNumberFormat="1" applyFont="1" applyBorder="1" applyAlignment="1" applyProtection="1">
      <alignment vertical="center"/>
    </xf>
    <xf numFmtId="172" fontId="5" fillId="19" borderId="0" xfId="0" applyNumberFormat="1" applyFont="1" applyFill="1" applyBorder="1" applyAlignment="1" applyProtection="1">
      <alignment vertical="center"/>
    </xf>
    <xf numFmtId="10" fontId="5" fillId="19" borderId="0" xfId="64" applyNumberFormat="1" applyFont="1" applyFill="1" applyBorder="1" applyAlignment="1">
      <alignment vertical="center"/>
    </xf>
    <xf numFmtId="10" fontId="5" fillId="19" borderId="0" xfId="64" applyNumberFormat="1" applyFont="1" applyFill="1" applyBorder="1" applyAlignment="1" applyProtection="1">
      <alignment vertical="center"/>
    </xf>
    <xf numFmtId="173" fontId="5" fillId="0" borderId="0" xfId="0" applyNumberFormat="1" applyFont="1" applyBorder="1" applyAlignment="1">
      <alignment vertical="center"/>
    </xf>
    <xf numFmtId="172" fontId="5" fillId="0" borderId="0" xfId="0" applyFont="1" applyBorder="1" applyAlignment="1" applyProtection="1">
      <alignment vertical="center"/>
    </xf>
    <xf numFmtId="190" fontId="5" fillId="0" borderId="0" xfId="64" applyNumberFormat="1" applyFont="1" applyBorder="1" applyAlignment="1" applyProtection="1">
      <alignment vertical="center"/>
    </xf>
    <xf numFmtId="2" fontId="5" fillId="0" borderId="0" xfId="0" applyNumberFormat="1" applyFont="1" applyBorder="1" applyAlignment="1">
      <alignment vertical="center"/>
    </xf>
    <xf numFmtId="172" fontId="4" fillId="0" borderId="0" xfId="0" applyNumberFormat="1" applyFont="1" applyBorder="1" applyAlignment="1" applyProtection="1">
      <alignment vertical="center"/>
    </xf>
    <xf numFmtId="172" fontId="4" fillId="0" borderId="0" xfId="0" applyFont="1" applyBorder="1" applyAlignment="1">
      <alignment vertical="center"/>
    </xf>
    <xf numFmtId="180" fontId="3" fillId="0" borderId="0" xfId="0" applyNumberFormat="1" applyFont="1" applyBorder="1" applyAlignment="1">
      <alignment horizontal="right" vertical="top"/>
    </xf>
    <xf numFmtId="2" fontId="3" fillId="0" borderId="0" xfId="0" applyNumberFormat="1" applyFont="1" applyBorder="1" applyAlignment="1">
      <alignment horizontal="left" vertical="top" wrapText="1"/>
    </xf>
    <xf numFmtId="172" fontId="5" fillId="0" borderId="0" xfId="0" applyFont="1" applyBorder="1" applyAlignment="1">
      <alignment horizontal="center" vertical="top"/>
    </xf>
    <xf numFmtId="2" fontId="5" fillId="0" borderId="0" xfId="0" applyNumberFormat="1" applyFont="1" applyBorder="1" applyAlignment="1">
      <alignment vertical="top"/>
    </xf>
    <xf numFmtId="180" fontId="3" fillId="0" borderId="0" xfId="0" applyNumberFormat="1" applyFont="1" applyBorder="1" applyAlignment="1">
      <alignment horizontal="right" vertical="center"/>
    </xf>
    <xf numFmtId="186" fontId="3" fillId="0" borderId="0" xfId="0" applyNumberFormat="1" applyFont="1" applyBorder="1" applyAlignment="1">
      <alignment vertical="center"/>
    </xf>
    <xf numFmtId="185" fontId="3" fillId="0" borderId="0" xfId="0" applyNumberFormat="1" applyFont="1" applyBorder="1" applyAlignment="1">
      <alignment vertical="center"/>
    </xf>
    <xf numFmtId="174" fontId="5" fillId="0" borderId="0" xfId="64" applyNumberFormat="1" applyFont="1" applyBorder="1" applyAlignment="1">
      <alignment horizontal="center" vertical="center"/>
    </xf>
    <xf numFmtId="9" fontId="5" fillId="0" borderId="0" xfId="64" applyNumberFormat="1" applyFont="1" applyBorder="1" applyAlignment="1">
      <alignment horizontal="center" vertical="center"/>
    </xf>
    <xf numFmtId="10" fontId="5" fillId="0" borderId="0" xfId="64" applyNumberFormat="1" applyFont="1" applyBorder="1" applyAlignment="1">
      <alignment horizontal="center" vertical="center"/>
    </xf>
    <xf numFmtId="172" fontId="3" fillId="0" borderId="32" xfId="0" applyFont="1" applyBorder="1" applyAlignment="1">
      <alignment horizontal="center" vertical="center"/>
    </xf>
    <xf numFmtId="172" fontId="3" fillId="0" borderId="26" xfId="0" applyFont="1" applyBorder="1" applyAlignment="1">
      <alignment horizontal="center" vertical="center"/>
    </xf>
    <xf numFmtId="172" fontId="3" fillId="0" borderId="14" xfId="0" applyFont="1" applyBorder="1" applyAlignment="1">
      <alignment horizontal="center" vertical="center"/>
    </xf>
    <xf numFmtId="176" fontId="5" fillId="0" borderId="0" xfId="0" applyNumberFormat="1" applyFont="1" applyBorder="1" applyAlignment="1" applyProtection="1">
      <alignment vertical="center"/>
    </xf>
    <xf numFmtId="172" fontId="3" fillId="18" borderId="14" xfId="0" applyFont="1" applyFill="1" applyBorder="1" applyAlignment="1">
      <alignment horizontal="center" vertical="center"/>
    </xf>
    <xf numFmtId="172" fontId="51" fillId="0" borderId="0" xfId="0" applyFont="1" applyBorder="1" applyAlignment="1">
      <alignment horizontal="center" vertical="center"/>
    </xf>
    <xf numFmtId="172" fontId="52" fillId="0" borderId="0" xfId="0" applyFont="1" applyBorder="1" applyAlignment="1">
      <alignment horizontal="center" vertical="center"/>
    </xf>
    <xf numFmtId="172" fontId="51" fillId="0" borderId="27" xfId="0" applyFont="1" applyBorder="1" applyAlignment="1">
      <alignment horizontal="center" vertical="center"/>
    </xf>
    <xf numFmtId="172" fontId="4" fillId="0" borderId="10" xfId="0" applyFont="1" applyBorder="1" applyAlignment="1">
      <alignment vertical="top" wrapText="1"/>
    </xf>
    <xf numFmtId="172" fontId="51" fillId="0" borderId="11" xfId="0" applyNumberFormat="1" applyFont="1" applyBorder="1" applyAlignment="1">
      <alignment vertical="top"/>
    </xf>
    <xf numFmtId="172" fontId="51" fillId="0" borderId="12" xfId="0" applyNumberFormat="1" applyFont="1" applyBorder="1" applyAlignment="1">
      <alignment vertical="top"/>
    </xf>
    <xf numFmtId="172" fontId="51" fillId="0" borderId="12" xfId="0" applyNumberFormat="1" applyFont="1" applyFill="1" applyBorder="1" applyAlignment="1">
      <alignment vertical="top"/>
    </xf>
    <xf numFmtId="172" fontId="52" fillId="0" borderId="12" xfId="0" applyNumberFormat="1" applyFont="1" applyBorder="1" applyAlignment="1">
      <alignment vertical="top"/>
    </xf>
    <xf numFmtId="172" fontId="51" fillId="0" borderId="13" xfId="0" applyNumberFormat="1" applyFont="1" applyBorder="1" applyAlignment="1">
      <alignment vertical="top"/>
    </xf>
    <xf numFmtId="176" fontId="5" fillId="0" borderId="0" xfId="0" applyNumberFormat="1" applyFont="1" applyBorder="1" applyAlignment="1" applyProtection="1">
      <alignment vertical="top"/>
    </xf>
    <xf numFmtId="173" fontId="5" fillId="0" borderId="0" xfId="0" applyNumberFormat="1" applyFont="1" applyBorder="1" applyAlignment="1" applyProtection="1">
      <alignment vertical="top"/>
    </xf>
    <xf numFmtId="172" fontId="51" fillId="0" borderId="0" xfId="0" applyNumberFormat="1" applyFont="1" applyBorder="1" applyAlignment="1">
      <alignment vertical="top"/>
    </xf>
    <xf numFmtId="172" fontId="51" fillId="0" borderId="0" xfId="0" applyNumberFormat="1" applyFont="1" applyFill="1" applyBorder="1" applyAlignment="1">
      <alignment vertical="top"/>
    </xf>
    <xf numFmtId="172" fontId="52" fillId="0" borderId="0" xfId="0" applyNumberFormat="1" applyFont="1" applyBorder="1" applyAlignment="1">
      <alignment vertical="top"/>
    </xf>
    <xf numFmtId="172" fontId="51" fillId="0" borderId="26" xfId="0" applyNumberFormat="1" applyFont="1" applyBorder="1" applyAlignment="1">
      <alignment vertical="top"/>
    </xf>
    <xf numFmtId="173" fontId="4" fillId="0" borderId="10" xfId="0" applyNumberFormat="1" applyFont="1" applyBorder="1" applyAlignment="1" applyProtection="1">
      <alignment vertical="center"/>
    </xf>
    <xf numFmtId="172" fontId="7" fillId="0" borderId="10" xfId="0" applyFont="1" applyBorder="1" applyAlignment="1">
      <alignment vertical="top" wrapText="1"/>
    </xf>
    <xf numFmtId="172" fontId="27" fillId="0" borderId="12" xfId="0" applyNumberFormat="1" applyFont="1" applyBorder="1" applyAlignment="1">
      <alignment vertical="top"/>
    </xf>
    <xf numFmtId="172" fontId="4" fillId="0" borderId="10" xfId="0" applyFont="1" applyBorder="1" applyAlignment="1">
      <alignment vertical="center"/>
    </xf>
    <xf numFmtId="172" fontId="51" fillId="0" borderId="0" xfId="0" applyNumberFormat="1" applyFont="1" applyBorder="1" applyAlignment="1" applyProtection="1">
      <alignment vertical="center"/>
    </xf>
    <xf numFmtId="172" fontId="51" fillId="0" borderId="26" xfId="0" applyNumberFormat="1" applyFont="1" applyBorder="1" applyAlignment="1" applyProtection="1">
      <alignment vertical="center"/>
    </xf>
    <xf numFmtId="172" fontId="7" fillId="0" borderId="10" xfId="0" applyNumberFormat="1" applyFont="1" applyBorder="1" applyAlignment="1" applyProtection="1">
      <alignment vertical="center"/>
    </xf>
    <xf numFmtId="172" fontId="51" fillId="0" borderId="12" xfId="0" applyNumberFormat="1" applyFont="1" applyBorder="1" applyAlignment="1" applyProtection="1">
      <alignment vertical="center"/>
    </xf>
    <xf numFmtId="172" fontId="27" fillId="0" borderId="12" xfId="0" applyNumberFormat="1" applyFont="1" applyBorder="1" applyAlignment="1" applyProtection="1">
      <alignment vertical="center"/>
    </xf>
    <xf numFmtId="172" fontId="51" fillId="0" borderId="13" xfId="0" applyNumberFormat="1" applyFont="1" applyBorder="1" applyAlignment="1" applyProtection="1">
      <alignment vertical="center"/>
    </xf>
    <xf numFmtId="172" fontId="7" fillId="0" borderId="10" xfId="0" applyNumberFormat="1" applyFont="1" applyBorder="1" applyAlignment="1" applyProtection="1">
      <alignment vertical="center" wrapText="1"/>
    </xf>
    <xf numFmtId="173" fontId="3" fillId="0" borderId="0" xfId="0" applyNumberFormat="1" applyFont="1" applyBorder="1" applyAlignment="1" applyProtection="1">
      <alignment vertical="center"/>
    </xf>
    <xf numFmtId="172" fontId="3" fillId="0" borderId="0" xfId="0" applyFont="1" applyBorder="1" applyAlignment="1">
      <alignment horizontal="right" vertical="center"/>
    </xf>
    <xf numFmtId="0" fontId="3" fillId="0" borderId="0" xfId="0" applyNumberFormat="1" applyFont="1" applyBorder="1" applyAlignment="1">
      <alignment horizontal="left" vertical="top" wrapText="1"/>
    </xf>
    <xf numFmtId="172" fontId="3" fillId="0" borderId="33" xfId="0" applyFont="1" applyBorder="1" applyAlignment="1">
      <alignment vertical="center"/>
    </xf>
    <xf numFmtId="172" fontId="3" fillId="0" borderId="34" xfId="0" applyFont="1" applyBorder="1" applyAlignment="1">
      <alignment horizontal="center" vertical="center"/>
    </xf>
    <xf numFmtId="172" fontId="3" fillId="0" borderId="35" xfId="0" applyFont="1" applyBorder="1" applyAlignment="1">
      <alignment horizontal="center"/>
    </xf>
    <xf numFmtId="172" fontId="3" fillId="0" borderId="36" xfId="0" applyFont="1" applyBorder="1" applyAlignment="1">
      <alignment horizontal="center"/>
    </xf>
    <xf numFmtId="172" fontId="3" fillId="0" borderId="34" xfId="0" applyFont="1" applyBorder="1" applyAlignment="1">
      <alignment vertical="center"/>
    </xf>
    <xf numFmtId="172" fontId="3" fillId="0" borderId="37" xfId="0" applyFont="1" applyBorder="1" applyAlignment="1">
      <alignment vertical="center"/>
    </xf>
    <xf numFmtId="172" fontId="3" fillId="0" borderId="38" xfId="0" applyFont="1" applyBorder="1" applyAlignment="1">
      <alignment vertical="center"/>
    </xf>
    <xf numFmtId="172" fontId="5" fillId="0" borderId="39" xfId="0" applyFont="1" applyBorder="1" applyAlignment="1">
      <alignment vertical="center"/>
    </xf>
    <xf numFmtId="172" fontId="5" fillId="0" borderId="40" xfId="0" applyFont="1" applyBorder="1" applyAlignment="1">
      <alignment vertical="center"/>
    </xf>
    <xf numFmtId="172" fontId="5" fillId="0" borderId="38" xfId="0" applyFont="1" applyBorder="1" applyAlignment="1">
      <alignment vertical="center"/>
    </xf>
    <xf numFmtId="173" fontId="5" fillId="0" borderId="41" xfId="0" applyNumberFormat="1" applyFont="1" applyBorder="1" applyAlignment="1">
      <alignment vertical="center"/>
    </xf>
    <xf numFmtId="172" fontId="5" fillId="0" borderId="42" xfId="0" applyFont="1" applyBorder="1" applyAlignment="1">
      <alignment vertical="center"/>
    </xf>
    <xf numFmtId="173" fontId="5" fillId="0" borderId="43" xfId="0" applyNumberFormat="1" applyFont="1" applyBorder="1" applyAlignment="1">
      <alignment vertical="center"/>
    </xf>
    <xf numFmtId="172" fontId="5" fillId="0" borderId="44" xfId="0" applyFont="1" applyBorder="1" applyAlignment="1">
      <alignment vertical="center"/>
    </xf>
    <xf numFmtId="173" fontId="3" fillId="0" borderId="43" xfId="0" applyNumberFormat="1" applyFont="1" applyBorder="1" applyAlignment="1">
      <alignment vertical="center"/>
    </xf>
    <xf numFmtId="172" fontId="3" fillId="0" borderId="44" xfId="0" applyFont="1" applyBorder="1" applyAlignment="1">
      <alignment vertical="center"/>
    </xf>
    <xf numFmtId="173" fontId="5" fillId="0" borderId="37" xfId="0" applyNumberFormat="1" applyFont="1" applyBorder="1" applyAlignment="1">
      <alignment vertical="center"/>
    </xf>
    <xf numFmtId="172" fontId="5" fillId="0" borderId="30" xfId="0" applyFont="1" applyBorder="1" applyAlignment="1">
      <alignment vertical="center"/>
    </xf>
    <xf numFmtId="174" fontId="5" fillId="0" borderId="10" xfId="0" applyNumberFormat="1" applyFont="1" applyBorder="1" applyAlignment="1" applyProtection="1">
      <alignment vertical="center"/>
    </xf>
    <xf numFmtId="10" fontId="5" fillId="18" borderId="10" xfId="0" applyNumberFormat="1" applyFont="1" applyFill="1" applyBorder="1" applyAlignment="1" applyProtection="1">
      <alignment vertical="center"/>
    </xf>
    <xf numFmtId="172" fontId="66" fillId="18" borderId="26" xfId="0" applyFont="1" applyFill="1" applyBorder="1" applyAlignment="1">
      <alignment horizontal="center" vertical="top" wrapText="1"/>
    </xf>
    <xf numFmtId="172" fontId="66" fillId="18" borderId="24" xfId="0" applyFont="1" applyFill="1" applyBorder="1" applyAlignment="1">
      <alignment horizontal="center" vertical="top" wrapText="1"/>
    </xf>
    <xf numFmtId="2" fontId="78" fillId="18" borderId="10" xfId="0" applyNumberFormat="1" applyFont="1" applyFill="1" applyBorder="1" applyAlignment="1">
      <alignment horizontal="center" vertical="top" wrapText="1"/>
    </xf>
    <xf numFmtId="9" fontId="5" fillId="19" borderId="10" xfId="64" applyNumberFormat="1" applyFont="1" applyFill="1" applyBorder="1" applyAlignment="1" applyProtection="1">
      <alignment vertical="center"/>
    </xf>
    <xf numFmtId="1" fontId="4" fillId="0" borderId="10" xfId="0" applyNumberFormat="1" applyFont="1" applyBorder="1" applyAlignment="1">
      <alignment vertical="top" wrapText="1"/>
    </xf>
    <xf numFmtId="172" fontId="34" fillId="18" borderId="10" xfId="0" applyFont="1" applyFill="1" applyBorder="1" applyAlignment="1">
      <alignment vertical="center" wrapText="1"/>
    </xf>
    <xf numFmtId="172" fontId="77" fillId="18" borderId="10" xfId="0" applyFont="1" applyFill="1" applyBorder="1" applyAlignment="1">
      <alignment vertical="center" wrapText="1"/>
    </xf>
    <xf numFmtId="172" fontId="79" fillId="18" borderId="14" xfId="0" applyNumberFormat="1" applyFont="1" applyFill="1" applyBorder="1" applyAlignment="1" applyProtection="1">
      <alignment vertical="top"/>
    </xf>
    <xf numFmtId="1" fontId="5" fillId="26" borderId="10" xfId="41" applyNumberFormat="1" applyFont="1" applyFill="1" applyBorder="1" applyAlignment="1">
      <alignment horizontal="center" vertical="top" wrapText="1"/>
    </xf>
    <xf numFmtId="172" fontId="77" fillId="18" borderId="0" xfId="0" applyFont="1" applyFill="1" applyBorder="1" applyAlignment="1">
      <alignment vertical="center" wrapText="1"/>
    </xf>
    <xf numFmtId="172" fontId="6" fillId="0" borderId="0" xfId="0" applyFont="1"/>
    <xf numFmtId="172" fontId="0" fillId="0" borderId="10" xfId="0" applyBorder="1"/>
    <xf numFmtId="172" fontId="0" fillId="0" borderId="10" xfId="0" applyBorder="1" applyAlignment="1">
      <alignment vertical="top" wrapText="1"/>
    </xf>
    <xf numFmtId="172" fontId="0" fillId="0" borderId="0" xfId="0" applyBorder="1"/>
    <xf numFmtId="172" fontId="3" fillId="0" borderId="10" xfId="0" applyFont="1" applyBorder="1"/>
    <xf numFmtId="172" fontId="3" fillId="0" borderId="10" xfId="0" applyFont="1" applyBorder="1" applyAlignment="1">
      <alignment horizontal="center"/>
    </xf>
    <xf numFmtId="10" fontId="0" fillId="0" borderId="10" xfId="64" applyNumberFormat="1" applyFont="1" applyBorder="1" applyAlignment="1">
      <alignment horizontal="center" vertical="center"/>
    </xf>
    <xf numFmtId="1" fontId="0" fillId="0" borderId="10" xfId="0" applyNumberFormat="1" applyBorder="1" applyAlignment="1">
      <alignment horizontal="center" vertical="top"/>
    </xf>
    <xf numFmtId="1" fontId="0" fillId="0" borderId="10" xfId="0" applyNumberFormat="1" applyBorder="1" applyAlignment="1">
      <alignment horizontal="center"/>
    </xf>
    <xf numFmtId="172" fontId="66" fillId="0" borderId="25" xfId="0" applyFont="1" applyBorder="1" applyAlignment="1">
      <alignment horizontal="justify" vertical="top" wrapText="1"/>
    </xf>
    <xf numFmtId="172" fontId="66" fillId="0" borderId="25" xfId="0" applyFont="1" applyBorder="1" applyAlignment="1">
      <alignment horizontal="center" vertical="top" wrapText="1"/>
    </xf>
    <xf numFmtId="172" fontId="66" fillId="0" borderId="25" xfId="0" applyFont="1" applyBorder="1" applyAlignment="1">
      <alignment vertical="top" wrapText="1"/>
    </xf>
    <xf numFmtId="0" fontId="2" fillId="0" borderId="10" xfId="0" applyNumberFormat="1" applyFont="1" applyFill="1" applyBorder="1" applyAlignment="1">
      <alignment vertical="top" wrapText="1"/>
    </xf>
    <xf numFmtId="0" fontId="2" fillId="0" borderId="10" xfId="0" applyNumberFormat="1" applyFont="1" applyFill="1" applyBorder="1" applyAlignment="1">
      <alignment horizontal="left" vertical="top" wrapText="1"/>
    </xf>
    <xf numFmtId="0" fontId="2" fillId="0" borderId="10" xfId="0" applyNumberFormat="1" applyFont="1" applyFill="1" applyBorder="1" applyAlignment="1">
      <alignment horizontal="right" vertical="top" wrapText="1"/>
    </xf>
    <xf numFmtId="2" fontId="80" fillId="0" borderId="23" xfId="0" applyNumberFormat="1" applyFont="1" applyFill="1" applyBorder="1" applyAlignment="1">
      <alignment horizontal="right" vertical="top" wrapText="1"/>
    </xf>
    <xf numFmtId="0" fontId="80" fillId="0" borderId="10" xfId="0" applyNumberFormat="1" applyFont="1" applyFill="1" applyBorder="1" applyAlignment="1">
      <alignment horizontal="justify" vertical="top" wrapText="1"/>
    </xf>
    <xf numFmtId="0" fontId="80" fillId="0" borderId="10" xfId="0" applyNumberFormat="1" applyFont="1" applyFill="1" applyBorder="1" applyAlignment="1">
      <alignment horizontal="right" vertical="top" wrapText="1"/>
    </xf>
    <xf numFmtId="172" fontId="81" fillId="18" borderId="10" xfId="0" applyNumberFormat="1" applyFont="1" applyFill="1" applyBorder="1" applyAlignment="1">
      <alignment horizontal="right" vertical="top" wrapText="1"/>
    </xf>
    <xf numFmtId="0" fontId="81" fillId="18" borderId="10" xfId="48" applyFont="1" applyFill="1" applyBorder="1" applyAlignment="1">
      <alignment wrapText="1"/>
    </xf>
    <xf numFmtId="172" fontId="82" fillId="18" borderId="22" xfId="0" applyFont="1" applyFill="1" applyBorder="1" applyAlignment="1">
      <alignment vertical="center" wrapText="1"/>
    </xf>
    <xf numFmtId="172" fontId="82" fillId="18" borderId="22" xfId="0" applyFont="1" applyFill="1" applyBorder="1" applyAlignment="1">
      <alignment horizontal="center" vertical="center" wrapText="1"/>
    </xf>
    <xf numFmtId="172" fontId="82" fillId="18" borderId="22" xfId="0" applyFont="1" applyFill="1" applyBorder="1" applyAlignment="1">
      <alignment horizontal="right" vertical="center" wrapText="1"/>
    </xf>
    <xf numFmtId="172" fontId="35" fillId="0" borderId="22" xfId="0" applyFont="1" applyBorder="1" applyAlignment="1">
      <alignment vertical="center" wrapText="1"/>
    </xf>
    <xf numFmtId="172" fontId="83" fillId="18" borderId="10" xfId="41" applyFont="1" applyFill="1" applyBorder="1" applyAlignment="1">
      <alignment horizontal="justify" vertical="center" wrapText="1"/>
    </xf>
    <xf numFmtId="1" fontId="5" fillId="18" borderId="10" xfId="41" applyNumberFormat="1" applyFont="1" applyFill="1" applyBorder="1" applyAlignment="1">
      <alignment horizontal="center" vertical="top" wrapText="1"/>
    </xf>
    <xf numFmtId="1" fontId="5" fillId="19" borderId="10" xfId="41" applyNumberFormat="1" applyFont="1" applyFill="1" applyBorder="1" applyAlignment="1">
      <alignment horizontal="center" vertical="top" wrapText="1"/>
    </xf>
    <xf numFmtId="172" fontId="5" fillId="0" borderId="0" xfId="61" applyNumberFormat="1"/>
    <xf numFmtId="172" fontId="6" fillId="0" borderId="0" xfId="61" applyNumberFormat="1" applyFont="1" applyAlignment="1">
      <alignment horizontal="right"/>
    </xf>
    <xf numFmtId="172" fontId="5" fillId="0" borderId="0" xfId="61" applyNumberFormat="1" applyBorder="1"/>
    <xf numFmtId="172" fontId="5" fillId="0" borderId="0" xfId="61" applyNumberFormat="1" applyFill="1" applyBorder="1"/>
    <xf numFmtId="0" fontId="63" fillId="0" borderId="0" xfId="46"/>
    <xf numFmtId="172" fontId="6" fillId="0" borderId="0" xfId="61" applyNumberFormat="1" applyFont="1" applyBorder="1" applyAlignment="1">
      <alignment horizontal="right"/>
    </xf>
    <xf numFmtId="172" fontId="5" fillId="0" borderId="0" xfId="61" applyNumberFormat="1" applyBorder="1" applyAlignment="1">
      <alignment vertical="top"/>
    </xf>
    <xf numFmtId="172" fontId="5" fillId="18" borderId="0" xfId="61" applyNumberFormat="1" applyFont="1" applyFill="1" applyAlignment="1">
      <alignment horizontal="right"/>
    </xf>
    <xf numFmtId="172" fontId="5" fillId="0" borderId="0" xfId="61" applyNumberFormat="1" applyFont="1" applyAlignment="1">
      <alignment horizontal="right"/>
    </xf>
    <xf numFmtId="172" fontId="5" fillId="0" borderId="0" xfId="61" applyNumberFormat="1" applyFont="1" applyBorder="1" applyAlignment="1">
      <alignment horizontal="left" vertical="top"/>
    </xf>
    <xf numFmtId="0" fontId="63" fillId="0" borderId="0" xfId="46" applyBorder="1"/>
    <xf numFmtId="172" fontId="5" fillId="0" borderId="0" xfId="61" applyNumberFormat="1" applyFont="1" applyBorder="1" applyAlignment="1">
      <alignment horizontal="left"/>
    </xf>
    <xf numFmtId="172" fontId="4" fillId="0" borderId="0" xfId="61" applyNumberFormat="1" applyFont="1" applyAlignment="1">
      <alignment horizontal="center"/>
    </xf>
    <xf numFmtId="172" fontId="4" fillId="0" borderId="0" xfId="61" applyNumberFormat="1" applyFont="1" applyBorder="1" applyAlignment="1">
      <alignment horizontal="center"/>
    </xf>
    <xf numFmtId="9" fontId="5" fillId="0" borderId="0" xfId="64" applyFont="1" applyBorder="1"/>
    <xf numFmtId="172" fontId="3" fillId="0" borderId="0" xfId="61" applyNumberFormat="1" applyFont="1" applyFill="1" applyAlignment="1">
      <alignment horizontal="center"/>
    </xf>
    <xf numFmtId="172" fontId="5" fillId="0" borderId="0" xfId="61" applyNumberFormat="1" applyFont="1" applyAlignment="1">
      <alignment horizontal="center"/>
    </xf>
    <xf numFmtId="172" fontId="5" fillId="0" borderId="0" xfId="61" applyNumberFormat="1" applyFill="1"/>
    <xf numFmtId="172" fontId="5" fillId="0" borderId="0" xfId="61" applyNumberFormat="1" applyFont="1" applyFill="1" applyAlignment="1">
      <alignment horizontal="center"/>
    </xf>
    <xf numFmtId="0" fontId="63" fillId="0" borderId="0" xfId="46" applyFill="1"/>
    <xf numFmtId="3" fontId="3" fillId="0" borderId="45" xfId="46" applyNumberFormat="1" applyFont="1" applyBorder="1" applyProtection="1"/>
    <xf numFmtId="200" fontId="5" fillId="18" borderId="45" xfId="46" applyNumberFormat="1" applyFont="1" applyFill="1" applyBorder="1" applyAlignment="1">
      <alignment horizontal="right"/>
    </xf>
    <xf numFmtId="172" fontId="5" fillId="0" borderId="45" xfId="46" applyNumberFormat="1" applyFont="1" applyBorder="1" applyAlignment="1">
      <alignment horizontal="left"/>
    </xf>
    <xf numFmtId="172" fontId="5" fillId="0" borderId="45" xfId="61" applyNumberFormat="1" applyBorder="1"/>
    <xf numFmtId="172" fontId="3" fillId="0" borderId="45" xfId="46" applyNumberFormat="1" applyFont="1" applyBorder="1" applyAlignment="1">
      <alignment horizontal="left"/>
    </xf>
    <xf numFmtId="172" fontId="3" fillId="0" borderId="0" xfId="61" applyNumberFormat="1" applyFont="1" applyAlignment="1">
      <alignment horizontal="right"/>
    </xf>
    <xf numFmtId="172" fontId="3" fillId="0" borderId="0" xfId="61" applyNumberFormat="1" applyFont="1" applyBorder="1" applyAlignment="1">
      <alignment horizontal="right"/>
    </xf>
    <xf numFmtId="172" fontId="3" fillId="0" borderId="0" xfId="46" applyNumberFormat="1" applyFont="1" applyFill="1" applyBorder="1"/>
    <xf numFmtId="172" fontId="63" fillId="0" borderId="0" xfId="46" applyNumberFormat="1" applyBorder="1"/>
    <xf numFmtId="173" fontId="63" fillId="0" borderId="0" xfId="46" applyNumberFormat="1" applyBorder="1" applyProtection="1"/>
    <xf numFmtId="172" fontId="63" fillId="0" borderId="0" xfId="46" applyNumberFormat="1" applyBorder="1" applyProtection="1"/>
    <xf numFmtId="172" fontId="63" fillId="0" borderId="0" xfId="46" applyNumberFormat="1" applyProtection="1"/>
    <xf numFmtId="3" fontId="3" fillId="0" borderId="46" xfId="46" applyNumberFormat="1" applyFont="1" applyBorder="1" applyAlignment="1">
      <alignment horizontal="center" vertical="top"/>
    </xf>
    <xf numFmtId="200" fontId="3" fillId="0" borderId="47" xfId="46" applyNumberFormat="1" applyFont="1" applyFill="1" applyBorder="1" applyAlignment="1">
      <alignment horizontal="center" vertical="top"/>
    </xf>
    <xf numFmtId="172" fontId="3" fillId="0" borderId="47" xfId="61" applyNumberFormat="1" applyFont="1" applyBorder="1" applyAlignment="1">
      <alignment horizontal="center" vertical="top"/>
    </xf>
    <xf numFmtId="200" fontId="3" fillId="0" borderId="46" xfId="46" applyNumberFormat="1" applyFont="1" applyFill="1" applyBorder="1" applyAlignment="1">
      <alignment horizontal="center" vertical="top"/>
    </xf>
    <xf numFmtId="172" fontId="3" fillId="0" borderId="0" xfId="61" applyNumberFormat="1" applyFont="1" applyBorder="1" applyAlignment="1">
      <alignment horizontal="center"/>
    </xf>
    <xf numFmtId="172" fontId="3" fillId="0" borderId="0" xfId="61" applyNumberFormat="1" applyFont="1" applyFill="1" applyBorder="1" applyAlignment="1">
      <alignment vertical="top" wrapText="1"/>
    </xf>
    <xf numFmtId="172" fontId="3" fillId="0" borderId="0" xfId="61" applyNumberFormat="1" applyFont="1" applyBorder="1" applyAlignment="1">
      <alignment vertical="top" wrapText="1"/>
    </xf>
    <xf numFmtId="172" fontId="5" fillId="0" borderId="0" xfId="61" applyNumberFormat="1" applyBorder="1" applyAlignment="1">
      <alignment horizontal="center" vertical="center"/>
    </xf>
    <xf numFmtId="172" fontId="5" fillId="0" borderId="0" xfId="61" applyNumberFormat="1" applyFill="1" applyBorder="1" applyAlignment="1">
      <alignment horizontal="center" vertical="center"/>
    </xf>
    <xf numFmtId="172" fontId="5" fillId="0" borderId="0" xfId="61" applyNumberFormat="1" applyBorder="1" applyAlignment="1">
      <alignment horizontal="center"/>
    </xf>
    <xf numFmtId="172" fontId="3" fillId="0" borderId="0" xfId="46" applyNumberFormat="1" applyFont="1" applyBorder="1" applyAlignment="1">
      <alignment horizontal="left"/>
    </xf>
    <xf numFmtId="172" fontId="5" fillId="0" borderId="0" xfId="61" applyNumberFormat="1" applyFont="1" applyBorder="1" applyAlignment="1">
      <alignment horizontal="center"/>
    </xf>
    <xf numFmtId="172" fontId="5" fillId="0" borderId="0" xfId="61" applyNumberFormat="1" applyFill="1" applyBorder="1" applyAlignment="1">
      <alignment horizontal="center"/>
    </xf>
    <xf numFmtId="183" fontId="5" fillId="0" borderId="0" xfId="61" applyNumberFormat="1" applyBorder="1" applyAlignment="1">
      <alignment horizontal="center"/>
    </xf>
    <xf numFmtId="172" fontId="24" fillId="0" borderId="0" xfId="46" applyNumberFormat="1" applyFont="1" applyBorder="1" applyAlignment="1" applyProtection="1">
      <alignment horizontal="right"/>
    </xf>
    <xf numFmtId="3" fontId="5" fillId="0" borderId="32" xfId="46" applyNumberFormat="1" applyFont="1" applyBorder="1" applyAlignment="1">
      <alignment horizontal="center" vertical="top"/>
    </xf>
    <xf numFmtId="200" fontId="5" fillId="0" borderId="32" xfId="46" applyNumberFormat="1" applyFont="1" applyBorder="1" applyAlignment="1">
      <alignment horizontal="left" vertical="top" wrapText="1"/>
    </xf>
    <xf numFmtId="172" fontId="5" fillId="0" borderId="29" xfId="46" applyNumberFormat="1" applyFont="1" applyBorder="1" applyAlignment="1">
      <alignment vertical="top"/>
    </xf>
    <xf numFmtId="172" fontId="5" fillId="0" borderId="29" xfId="61" applyNumberFormat="1" applyFont="1" applyBorder="1" applyAlignment="1">
      <alignment vertical="top" wrapText="1"/>
    </xf>
    <xf numFmtId="172" fontId="5" fillId="0" borderId="32" xfId="61" applyNumberFormat="1" applyFont="1" applyBorder="1" applyAlignment="1">
      <alignment vertical="top" wrapText="1"/>
    </xf>
    <xf numFmtId="0" fontId="78" fillId="0" borderId="0" xfId="46" applyFont="1" applyBorder="1" applyAlignment="1">
      <alignment vertical="top"/>
    </xf>
    <xf numFmtId="172" fontId="3" fillId="0" borderId="0" xfId="61" applyNumberFormat="1" applyFont="1" applyFill="1" applyBorder="1" applyAlignment="1">
      <alignment horizontal="center" vertical="center"/>
    </xf>
    <xf numFmtId="172" fontId="5" fillId="0" borderId="0" xfId="61" applyNumberFormat="1" applyBorder="1" applyAlignment="1">
      <alignment horizontal="center" vertical="top"/>
    </xf>
    <xf numFmtId="172" fontId="5" fillId="0" borderId="0" xfId="61" applyNumberFormat="1" applyFont="1" applyBorder="1" applyAlignment="1">
      <alignment vertical="top" wrapText="1"/>
    </xf>
    <xf numFmtId="2" fontId="5" fillId="0" borderId="0" xfId="61" applyNumberFormat="1" applyBorder="1" applyAlignment="1">
      <alignment vertical="top"/>
    </xf>
    <xf numFmtId="172" fontId="6" fillId="0" borderId="0" xfId="46" applyNumberFormat="1" applyFont="1" applyBorder="1" applyProtection="1"/>
    <xf numFmtId="1" fontId="63" fillId="0" borderId="0" xfId="46" applyNumberFormat="1" applyBorder="1" applyAlignment="1">
      <alignment vertical="top"/>
    </xf>
    <xf numFmtId="172" fontId="63" fillId="0" borderId="0" xfId="46" applyNumberFormat="1" applyBorder="1" applyAlignment="1">
      <alignment vertical="top"/>
    </xf>
    <xf numFmtId="172" fontId="63" fillId="0" borderId="0" xfId="46" applyNumberFormat="1" applyBorder="1" applyAlignment="1"/>
    <xf numFmtId="181" fontId="5" fillId="0" borderId="32" xfId="49" applyNumberFormat="1" applyFont="1" applyBorder="1" applyAlignment="1">
      <alignment vertical="top" wrapText="1"/>
    </xf>
    <xf numFmtId="172" fontId="5" fillId="0" borderId="29" xfId="61" applyNumberFormat="1" applyFont="1" applyBorder="1" applyAlignment="1">
      <alignment vertical="top"/>
    </xf>
    <xf numFmtId="172" fontId="5" fillId="0" borderId="0" xfId="61" applyNumberFormat="1" applyFont="1" applyBorder="1"/>
    <xf numFmtId="172" fontId="5" fillId="0" borderId="0" xfId="61" applyNumberFormat="1" applyFill="1" applyBorder="1" applyAlignment="1">
      <alignment vertical="top" wrapText="1"/>
    </xf>
    <xf numFmtId="172" fontId="5" fillId="0" borderId="0" xfId="61" applyNumberFormat="1" applyFill="1" applyBorder="1" applyAlignment="1">
      <alignment vertical="top"/>
    </xf>
    <xf numFmtId="2" fontId="5" fillId="0" borderId="0" xfId="46" applyNumberFormat="1" applyFont="1" applyBorder="1" applyAlignment="1">
      <alignment vertical="top"/>
    </xf>
    <xf numFmtId="172" fontId="5" fillId="0" borderId="0" xfId="61" applyNumberFormat="1" applyBorder="1" applyAlignment="1">
      <alignment horizontal="right" vertical="top"/>
    </xf>
    <xf numFmtId="172" fontId="5" fillId="0" borderId="0" xfId="61" applyNumberFormat="1" applyFill="1" applyBorder="1" applyAlignment="1">
      <alignment horizontal="right" vertical="top"/>
    </xf>
    <xf numFmtId="1" fontId="63" fillId="0" borderId="0" xfId="46" applyNumberFormat="1" applyBorder="1" applyAlignment="1">
      <alignment horizontal="center" vertical="top"/>
    </xf>
    <xf numFmtId="172" fontId="3" fillId="0" borderId="0" xfId="46" applyNumberFormat="1" applyFont="1" applyBorder="1" applyAlignment="1">
      <alignment horizontal="center" vertical="top"/>
    </xf>
    <xf numFmtId="172" fontId="63" fillId="0" borderId="0" xfId="46" applyNumberFormat="1" applyBorder="1" applyAlignment="1">
      <alignment horizontal="center" vertical="top"/>
    </xf>
    <xf numFmtId="172" fontId="63" fillId="0" borderId="0" xfId="46" applyNumberFormat="1" applyBorder="1" applyAlignment="1">
      <alignment horizontal="right" vertical="top"/>
    </xf>
    <xf numFmtId="172" fontId="63" fillId="0" borderId="0" xfId="46" applyNumberFormat="1" applyBorder="1" applyAlignment="1">
      <alignment horizontal="left"/>
    </xf>
    <xf numFmtId="172" fontId="63" fillId="0" borderId="0" xfId="46" applyNumberFormat="1"/>
    <xf numFmtId="2" fontId="5" fillId="0" borderId="29" xfId="61" applyNumberFormat="1" applyFont="1" applyBorder="1" applyAlignment="1">
      <alignment vertical="top"/>
    </xf>
    <xf numFmtId="2" fontId="5" fillId="0" borderId="0" xfId="61" applyNumberFormat="1" applyFont="1" applyBorder="1"/>
    <xf numFmtId="2" fontId="5" fillId="0" borderId="0" xfId="61" applyNumberFormat="1" applyFont="1" applyBorder="1" applyAlignment="1">
      <alignment vertical="top" wrapText="1"/>
    </xf>
    <xf numFmtId="173" fontId="5" fillId="0" borderId="0" xfId="61" applyNumberFormat="1" applyFont="1" applyBorder="1" applyAlignment="1">
      <alignment horizontal="center" vertical="top" wrapText="1"/>
    </xf>
    <xf numFmtId="172" fontId="5" fillId="0" borderId="0" xfId="61" applyNumberFormat="1" applyBorder="1" applyAlignment="1">
      <alignment vertical="top" wrapText="1"/>
    </xf>
    <xf numFmtId="172" fontId="63" fillId="0" borderId="0" xfId="46" applyNumberFormat="1" applyBorder="1" applyAlignment="1">
      <alignment horizontal="left" vertical="top" wrapText="1"/>
    </xf>
    <xf numFmtId="172" fontId="63" fillId="0" borderId="0" xfId="46" applyNumberFormat="1" applyAlignment="1"/>
    <xf numFmtId="200" fontId="5" fillId="0" borderId="32" xfId="46" applyNumberFormat="1" applyFont="1" applyBorder="1" applyAlignment="1">
      <alignment vertical="top"/>
    </xf>
    <xf numFmtId="2" fontId="5" fillId="0" borderId="0" xfId="61" applyNumberFormat="1" applyFont="1" applyBorder="1" applyAlignment="1">
      <alignment vertical="top"/>
    </xf>
    <xf numFmtId="172" fontId="5" fillId="0" borderId="0" xfId="61" applyNumberFormat="1" applyFont="1" applyBorder="1" applyAlignment="1">
      <alignment horizontal="center" vertical="top"/>
    </xf>
    <xf numFmtId="172" fontId="5" fillId="0" borderId="0" xfId="46" applyNumberFormat="1" applyFont="1" applyBorder="1" applyAlignment="1">
      <alignment vertical="top"/>
    </xf>
    <xf numFmtId="172" fontId="24" fillId="0" borderId="0" xfId="46" applyNumberFormat="1" applyFont="1" applyBorder="1" applyAlignment="1">
      <alignment horizontal="center"/>
    </xf>
    <xf numFmtId="172" fontId="24" fillId="0" borderId="0" xfId="46" applyNumberFormat="1" applyFont="1" applyBorder="1"/>
    <xf numFmtId="172" fontId="2" fillId="0" borderId="0" xfId="46" applyNumberFormat="1" applyFont="1" applyFill="1" applyBorder="1" applyAlignment="1">
      <alignment horizontal="center"/>
    </xf>
    <xf numFmtId="172" fontId="58" fillId="0" borderId="0" xfId="46" applyNumberFormat="1" applyFont="1" applyBorder="1" applyAlignment="1">
      <alignment vertical="top"/>
    </xf>
    <xf numFmtId="0" fontId="63" fillId="0" borderId="0" xfId="46" applyAlignment="1">
      <alignment vertical="top"/>
    </xf>
    <xf numFmtId="0" fontId="63" fillId="0" borderId="0" xfId="46" applyFill="1" applyBorder="1"/>
    <xf numFmtId="3" fontId="5" fillId="0" borderId="32" xfId="46" applyNumberFormat="1" applyFont="1" applyFill="1" applyBorder="1" applyAlignment="1">
      <alignment horizontal="center" vertical="top"/>
    </xf>
    <xf numFmtId="181" fontId="5" fillId="0" borderId="32" xfId="49" applyNumberFormat="1" applyFont="1" applyFill="1" applyBorder="1" applyAlignment="1">
      <alignment vertical="top" wrapText="1"/>
    </xf>
    <xf numFmtId="0" fontId="63" fillId="0" borderId="0" xfId="46" applyFill="1" applyAlignment="1">
      <alignment vertical="top"/>
    </xf>
    <xf numFmtId="172" fontId="5" fillId="0" borderId="29" xfId="61" applyNumberFormat="1" applyFont="1" applyFill="1" applyBorder="1" applyAlignment="1">
      <alignment vertical="top"/>
    </xf>
    <xf numFmtId="172" fontId="5" fillId="0" borderId="32" xfId="61" applyNumberFormat="1" applyFont="1" applyFill="1" applyBorder="1" applyAlignment="1">
      <alignment vertical="top" wrapText="1"/>
    </xf>
    <xf numFmtId="2" fontId="5" fillId="0" borderId="0" xfId="61" applyNumberFormat="1" applyFont="1" applyFill="1" applyBorder="1" applyAlignment="1">
      <alignment vertical="top" wrapText="1"/>
    </xf>
    <xf numFmtId="173" fontId="5" fillId="0" borderId="0" xfId="61" applyNumberFormat="1" applyFont="1" applyFill="1" applyBorder="1" applyAlignment="1">
      <alignment horizontal="center" vertical="top" wrapText="1"/>
    </xf>
    <xf numFmtId="200" fontId="5" fillId="0" borderId="32" xfId="46" applyNumberFormat="1" applyFont="1" applyBorder="1" applyAlignment="1">
      <alignment vertical="top" wrapText="1"/>
    </xf>
    <xf numFmtId="172" fontId="5" fillId="0" borderId="29" xfId="46" applyNumberFormat="1" applyFont="1" applyBorder="1" applyAlignment="1">
      <alignment vertical="top" wrapText="1"/>
    </xf>
    <xf numFmtId="2" fontId="5" fillId="0" borderId="29" xfId="61" applyNumberFormat="1" applyFont="1" applyBorder="1" applyAlignment="1">
      <alignment vertical="top" wrapText="1"/>
    </xf>
    <xf numFmtId="176" fontId="5" fillId="0" borderId="0" xfId="61" applyNumberFormat="1" applyFont="1" applyBorder="1" applyAlignment="1">
      <alignment horizontal="center" vertical="top"/>
    </xf>
    <xf numFmtId="1" fontId="2" fillId="0" borderId="0" xfId="46" applyNumberFormat="1" applyFont="1" applyBorder="1" applyAlignment="1">
      <alignment horizontal="center" vertical="top"/>
    </xf>
    <xf numFmtId="172" fontId="34" fillId="0" borderId="0" xfId="46" applyNumberFormat="1" applyFont="1" applyBorder="1" applyAlignment="1">
      <alignment vertical="top" wrapText="1"/>
    </xf>
    <xf numFmtId="172" fontId="34" fillId="0" borderId="0" xfId="46" applyNumberFormat="1" applyFont="1" applyBorder="1" applyAlignment="1">
      <alignment horizontal="center" vertical="top" wrapText="1"/>
    </xf>
    <xf numFmtId="173" fontId="34" fillId="0" borderId="0" xfId="46" applyNumberFormat="1" applyFont="1" applyBorder="1" applyAlignment="1">
      <alignment horizontal="center" vertical="top" wrapText="1"/>
    </xf>
    <xf numFmtId="173" fontId="34" fillId="0" borderId="0" xfId="46" applyNumberFormat="1" applyFont="1" applyBorder="1" applyAlignment="1">
      <alignment vertical="top" wrapText="1"/>
    </xf>
    <xf numFmtId="173" fontId="63" fillId="0" borderId="0" xfId="46" applyNumberFormat="1" applyBorder="1" applyAlignment="1">
      <alignment horizontal="center"/>
    </xf>
    <xf numFmtId="0" fontId="63" fillId="0" borderId="0" xfId="46" applyBorder="1" applyAlignment="1">
      <alignment horizontal="center" vertical="top"/>
    </xf>
    <xf numFmtId="0" fontId="63" fillId="0" borderId="0" xfId="46" applyBorder="1" applyAlignment="1">
      <alignment vertical="top"/>
    </xf>
    <xf numFmtId="2" fontId="5" fillId="0" borderId="29" xfId="46" applyNumberFormat="1" applyFont="1" applyBorder="1" applyAlignment="1">
      <alignment vertical="top"/>
    </xf>
    <xf numFmtId="172" fontId="5" fillId="0" borderId="0" xfId="61" applyNumberFormat="1" applyBorder="1" applyAlignment="1">
      <alignment wrapText="1"/>
    </xf>
    <xf numFmtId="2" fontId="5" fillId="0" borderId="0" xfId="61" applyNumberFormat="1" applyBorder="1"/>
    <xf numFmtId="1" fontId="2" fillId="0" borderId="0" xfId="46" applyNumberFormat="1" applyFont="1" applyBorder="1" applyAlignment="1">
      <alignment horizontal="center"/>
    </xf>
    <xf numFmtId="0" fontId="63" fillId="0" borderId="0" xfId="46" applyBorder="1" applyAlignment="1">
      <alignment horizontal="center"/>
    </xf>
    <xf numFmtId="2" fontId="78" fillId="0" borderId="0" xfId="46" applyNumberFormat="1" applyFont="1" applyBorder="1" applyAlignment="1">
      <alignment horizontal="center" vertical="top"/>
    </xf>
    <xf numFmtId="172" fontId="2" fillId="0" borderId="0" xfId="46" applyNumberFormat="1" applyFont="1" applyBorder="1" applyAlignment="1">
      <alignment horizontal="right"/>
    </xf>
    <xf numFmtId="172" fontId="5" fillId="0" borderId="26" xfId="61" applyNumberFormat="1" applyFont="1" applyBorder="1" applyAlignment="1">
      <alignment vertical="top" wrapText="1"/>
    </xf>
    <xf numFmtId="3" fontId="5" fillId="0" borderId="27" xfId="46" applyNumberFormat="1" applyFont="1" applyBorder="1" applyAlignment="1">
      <alignment horizontal="center" vertical="top"/>
    </xf>
    <xf numFmtId="200" fontId="5" fillId="0" borderId="14" xfId="46" applyNumberFormat="1" applyFont="1" applyBorder="1" applyAlignment="1">
      <alignment vertical="top" wrapText="1"/>
    </xf>
    <xf numFmtId="2" fontId="5" fillId="0" borderId="27" xfId="61" applyNumberFormat="1" applyFont="1" applyBorder="1" applyAlignment="1">
      <alignment vertical="top"/>
    </xf>
    <xf numFmtId="2" fontId="5" fillId="0" borderId="14" xfId="61" applyNumberFormat="1" applyFont="1" applyBorder="1" applyAlignment="1">
      <alignment vertical="top"/>
    </xf>
    <xf numFmtId="172" fontId="3" fillId="0" borderId="0" xfId="61" applyNumberFormat="1" applyFont="1" applyBorder="1" applyAlignment="1">
      <alignment horizontal="center" vertical="top"/>
    </xf>
    <xf numFmtId="172" fontId="3" fillId="0" borderId="0" xfId="61" applyNumberFormat="1" applyFont="1" applyBorder="1" applyAlignment="1">
      <alignment vertical="top"/>
    </xf>
    <xf numFmtId="172" fontId="2" fillId="0" borderId="0" xfId="46" applyNumberFormat="1" applyFont="1" applyBorder="1" applyAlignment="1">
      <alignment horizontal="left" vertical="top" wrapText="1"/>
    </xf>
    <xf numFmtId="173" fontId="63" fillId="0" borderId="0" xfId="46" applyNumberFormat="1" applyBorder="1" applyAlignment="1">
      <alignment horizontal="center" vertical="top"/>
    </xf>
    <xf numFmtId="172" fontId="2" fillId="0" borderId="0" xfId="46" applyNumberFormat="1" applyFont="1" applyBorder="1" applyAlignment="1">
      <alignment horizontal="right" vertical="top"/>
    </xf>
    <xf numFmtId="3" fontId="5" fillId="0" borderId="14" xfId="46" applyNumberFormat="1" applyFont="1" applyBorder="1" applyAlignment="1">
      <alignment horizontal="center" vertical="top"/>
    </xf>
    <xf numFmtId="200" fontId="3" fillId="0" borderId="14" xfId="46" applyNumberFormat="1" applyFont="1" applyBorder="1" applyAlignment="1">
      <alignment horizontal="right" vertical="top" wrapText="1"/>
    </xf>
    <xf numFmtId="172" fontId="3" fillId="0" borderId="29" xfId="46" applyNumberFormat="1" applyFont="1" applyBorder="1" applyAlignment="1">
      <alignment vertical="top"/>
    </xf>
    <xf numFmtId="172" fontId="3" fillId="0" borderId="32" xfId="61" applyNumberFormat="1" applyFont="1" applyBorder="1" applyAlignment="1">
      <alignment vertical="top" wrapText="1"/>
    </xf>
    <xf numFmtId="2" fontId="5" fillId="0" borderId="0" xfId="61" applyNumberFormat="1" applyFont="1" applyBorder="1" applyAlignment="1">
      <alignment horizontal="right"/>
    </xf>
    <xf numFmtId="173" fontId="3" fillId="0" borderId="0" xfId="61" applyNumberFormat="1" applyFont="1" applyBorder="1" applyAlignment="1">
      <alignment horizontal="center"/>
    </xf>
    <xf numFmtId="172" fontId="3" fillId="0" borderId="0" xfId="61" applyNumberFormat="1" applyFont="1" applyBorder="1" applyAlignment="1">
      <alignment horizontal="left"/>
    </xf>
    <xf numFmtId="172" fontId="3" fillId="0" borderId="0" xfId="61" applyNumberFormat="1" applyFont="1" applyBorder="1"/>
    <xf numFmtId="200" fontId="3" fillId="0" borderId="29" xfId="46" applyNumberFormat="1" applyFont="1" applyBorder="1" applyAlignment="1">
      <alignment vertical="top"/>
    </xf>
    <xf numFmtId="172" fontId="3" fillId="0" borderId="31" xfId="46" applyNumberFormat="1" applyFont="1" applyBorder="1" applyAlignment="1">
      <alignment vertical="top"/>
    </xf>
    <xf numFmtId="2" fontId="3" fillId="0" borderId="31" xfId="61" applyNumberFormat="1" applyFont="1" applyBorder="1" applyAlignment="1">
      <alignment vertical="top"/>
    </xf>
    <xf numFmtId="172" fontId="5" fillId="0" borderId="29" xfId="61" applyNumberFormat="1" applyFont="1" applyBorder="1"/>
    <xf numFmtId="172" fontId="5" fillId="0" borderId="0" xfId="61" applyNumberFormat="1" applyFont="1"/>
    <xf numFmtId="1" fontId="2" fillId="0" borderId="0" xfId="46" applyNumberFormat="1" applyFont="1" applyBorder="1" applyAlignment="1">
      <alignment horizontal="right"/>
    </xf>
    <xf numFmtId="172" fontId="24" fillId="0" borderId="0" xfId="46" applyNumberFormat="1" applyFont="1" applyBorder="1" applyAlignment="1">
      <alignment horizontal="right" wrapText="1"/>
    </xf>
    <xf numFmtId="173" fontId="24" fillId="0" borderId="0" xfId="46" applyNumberFormat="1" applyFont="1" applyBorder="1" applyAlignment="1">
      <alignment horizontal="right"/>
    </xf>
    <xf numFmtId="172" fontId="24" fillId="0" borderId="0" xfId="46" applyNumberFormat="1" applyFont="1" applyBorder="1" applyAlignment="1"/>
    <xf numFmtId="3" fontId="5" fillId="0" borderId="32" xfId="46" applyNumberFormat="1" applyFont="1" applyBorder="1" applyAlignment="1">
      <alignment horizontal="right" vertical="top"/>
    </xf>
    <xf numFmtId="200" fontId="5" fillId="0" borderId="0" xfId="46" applyNumberFormat="1" applyFont="1" applyAlignment="1">
      <alignment vertical="top"/>
    </xf>
    <xf numFmtId="172" fontId="5" fillId="0" borderId="32" xfId="49" applyNumberFormat="1" applyFont="1" applyBorder="1" applyAlignment="1">
      <alignment vertical="top"/>
    </xf>
    <xf numFmtId="172" fontId="24" fillId="0" borderId="0" xfId="46" applyNumberFormat="1" applyFont="1" applyBorder="1" applyAlignment="1">
      <alignment horizontal="left"/>
    </xf>
    <xf numFmtId="172" fontId="2" fillId="0" borderId="0" xfId="46" applyNumberFormat="1" applyFont="1" applyBorder="1" applyAlignment="1">
      <alignment horizontal="center"/>
    </xf>
    <xf numFmtId="172" fontId="2" fillId="0" borderId="0" xfId="46" applyNumberFormat="1" applyFont="1" applyBorder="1" applyAlignment="1">
      <alignment horizontal="left"/>
    </xf>
    <xf numFmtId="3" fontId="63" fillId="0" borderId="32" xfId="46" applyNumberFormat="1" applyFont="1" applyBorder="1" applyAlignment="1">
      <alignment horizontal="right" vertical="top"/>
    </xf>
    <xf numFmtId="172" fontId="24" fillId="0" borderId="0" xfId="46" applyNumberFormat="1" applyFont="1" applyBorder="1" applyAlignment="1">
      <alignment horizontal="right"/>
    </xf>
    <xf numFmtId="172" fontId="64" fillId="0" borderId="0" xfId="46" applyNumberFormat="1" applyFont="1" applyBorder="1" applyAlignment="1"/>
    <xf numFmtId="200" fontId="5" fillId="0" borderId="32" xfId="46" applyNumberFormat="1" applyFont="1" applyFill="1" applyBorder="1" applyAlignment="1">
      <alignment vertical="top" wrapText="1"/>
    </xf>
    <xf numFmtId="172" fontId="5" fillId="0" borderId="28" xfId="46" applyNumberFormat="1" applyFont="1" applyBorder="1" applyAlignment="1">
      <alignment vertical="top"/>
    </xf>
    <xf numFmtId="172" fontId="5" fillId="0" borderId="14" xfId="49" applyNumberFormat="1" applyFont="1" applyBorder="1" applyAlignment="1">
      <alignment vertical="top"/>
    </xf>
    <xf numFmtId="172" fontId="5" fillId="0" borderId="14" xfId="61" applyNumberFormat="1" applyFont="1" applyBorder="1" applyAlignment="1">
      <alignment vertical="top" wrapText="1"/>
    </xf>
    <xf numFmtId="2" fontId="5" fillId="0" borderId="0" xfId="61" applyNumberFormat="1"/>
    <xf numFmtId="172" fontId="2" fillId="0" borderId="0" xfId="46" applyNumberFormat="1" applyFont="1" applyBorder="1" applyAlignment="1"/>
    <xf numFmtId="183" fontId="5" fillId="0" borderId="0" xfId="61" applyNumberFormat="1"/>
    <xf numFmtId="172" fontId="2" fillId="0" borderId="0" xfId="46" applyNumberFormat="1" applyFont="1" applyBorder="1" applyAlignment="1">
      <alignment wrapText="1"/>
    </xf>
    <xf numFmtId="3" fontId="5" fillId="0" borderId="10" xfId="46" applyNumberFormat="1" applyFont="1" applyBorder="1" applyAlignment="1">
      <alignment horizontal="center" vertical="top"/>
    </xf>
    <xf numFmtId="200" fontId="3" fillId="0" borderId="10" xfId="46" applyNumberFormat="1" applyFont="1" applyBorder="1" applyAlignment="1">
      <alignment vertical="top"/>
    </xf>
    <xf numFmtId="172" fontId="3" fillId="0" borderId="10" xfId="46" applyNumberFormat="1" applyFont="1" applyBorder="1" applyAlignment="1">
      <alignment vertical="top"/>
    </xf>
    <xf numFmtId="173" fontId="2" fillId="0" borderId="0" xfId="46" applyNumberFormat="1" applyFont="1" applyBorder="1" applyAlignment="1">
      <alignment horizontal="right"/>
    </xf>
    <xf numFmtId="3" fontId="5" fillId="0" borderId="23" xfId="46" applyNumberFormat="1" applyFont="1" applyBorder="1" applyAlignment="1">
      <alignment horizontal="center" vertical="top"/>
    </xf>
    <xf numFmtId="200" fontId="5" fillId="0" borderId="26" xfId="46" applyNumberFormat="1" applyFont="1" applyBorder="1" applyAlignment="1">
      <alignment vertical="top"/>
    </xf>
    <xf numFmtId="172" fontId="5" fillId="0" borderId="32" xfId="46" applyNumberFormat="1" applyFont="1" applyBorder="1" applyAlignment="1">
      <alignment vertical="top"/>
    </xf>
    <xf numFmtId="172" fontId="5" fillId="0" borderId="23" xfId="46" applyNumberFormat="1" applyFont="1" applyBorder="1" applyAlignment="1">
      <alignment vertical="top"/>
    </xf>
    <xf numFmtId="172" fontId="3" fillId="0" borderId="10" xfId="61" applyNumberFormat="1" applyFont="1" applyBorder="1" applyAlignment="1">
      <alignment vertical="top"/>
    </xf>
    <xf numFmtId="183" fontId="2" fillId="0" borderId="0" xfId="45" applyNumberFormat="1" applyFont="1" applyFill="1" applyBorder="1" applyAlignment="1">
      <alignment horizontal="right" vertical="top" wrapText="1"/>
    </xf>
    <xf numFmtId="2" fontId="24" fillId="0" borderId="0" xfId="61" applyNumberFormat="1" applyFont="1" applyBorder="1"/>
    <xf numFmtId="172" fontId="5" fillId="0" borderId="0" xfId="61" applyNumberFormat="1" applyAlignment="1">
      <alignment horizontal="left"/>
    </xf>
    <xf numFmtId="172" fontId="24" fillId="0" borderId="0" xfId="61" applyNumberFormat="1" applyFont="1" applyAlignment="1">
      <alignment wrapText="1"/>
    </xf>
    <xf numFmtId="172" fontId="5" fillId="0" borderId="0" xfId="61" applyNumberFormat="1" applyAlignment="1">
      <alignment horizontal="center"/>
    </xf>
    <xf numFmtId="172" fontId="59" fillId="0" borderId="0" xfId="61" applyNumberFormat="1" applyFont="1" applyBorder="1"/>
    <xf numFmtId="172" fontId="5" fillId="0" borderId="0" xfId="61" applyNumberFormat="1" applyAlignment="1"/>
    <xf numFmtId="2" fontId="24" fillId="0" borderId="0" xfId="61" applyNumberFormat="1" applyFont="1" applyFill="1" applyBorder="1"/>
    <xf numFmtId="172" fontId="5" fillId="18" borderId="0" xfId="46" applyNumberFormat="1" applyFont="1" applyFill="1" applyAlignment="1">
      <alignment horizontal="right"/>
    </xf>
    <xf numFmtId="2" fontId="24" fillId="0" borderId="0" xfId="61" applyNumberFormat="1" applyFont="1"/>
    <xf numFmtId="172" fontId="59" fillId="0" borderId="0" xfId="61" applyNumberFormat="1" applyFont="1"/>
    <xf numFmtId="172" fontId="5" fillId="0" borderId="0" xfId="46" applyNumberFormat="1" applyFont="1" applyAlignment="1">
      <alignment horizontal="right"/>
    </xf>
    <xf numFmtId="172" fontId="59" fillId="0" borderId="0" xfId="61" applyNumberFormat="1" applyFont="1" applyFill="1" applyBorder="1"/>
    <xf numFmtId="172" fontId="5" fillId="0" borderId="0" xfId="61" applyNumberFormat="1" applyFill="1" applyBorder="1" applyAlignment="1"/>
    <xf numFmtId="200" fontId="5" fillId="0" borderId="10" xfId="46" applyNumberFormat="1" applyFont="1" applyFill="1" applyBorder="1" applyAlignment="1">
      <alignment horizontal="right"/>
    </xf>
    <xf numFmtId="172" fontId="5" fillId="18" borderId="10" xfId="61" applyNumberFormat="1" applyFill="1" applyBorder="1" applyAlignment="1">
      <alignment horizontal="left" vertical="top"/>
    </xf>
    <xf numFmtId="172" fontId="5" fillId="18" borderId="10" xfId="46" applyNumberFormat="1" applyFont="1" applyFill="1" applyBorder="1" applyAlignment="1">
      <alignment horizontal="right" vertical="top"/>
    </xf>
    <xf numFmtId="0" fontId="84" fillId="21" borderId="0" xfId="49" applyNumberFormat="1" applyFont="1" applyFill="1" applyBorder="1" applyAlignment="1">
      <alignment horizontal="left" vertical="top" wrapText="1"/>
    </xf>
    <xf numFmtId="0" fontId="63" fillId="0" borderId="0" xfId="46" applyFill="1" applyBorder="1" applyAlignment="1">
      <alignment vertical="top"/>
    </xf>
    <xf numFmtId="0" fontId="64" fillId="0" borderId="0" xfId="46" applyFont="1" applyFill="1" applyBorder="1" applyAlignment="1">
      <alignment vertical="top"/>
    </xf>
    <xf numFmtId="172" fontId="5" fillId="18" borderId="10" xfId="46" quotePrefix="1" applyNumberFormat="1" applyFont="1" applyFill="1" applyBorder="1" applyAlignment="1">
      <alignment horizontal="right" vertical="top"/>
    </xf>
    <xf numFmtId="0" fontId="65" fillId="0" borderId="0" xfId="46" applyFont="1" applyFill="1" applyBorder="1" applyAlignment="1">
      <alignment vertical="top" wrapText="1"/>
    </xf>
    <xf numFmtId="0" fontId="65" fillId="0" borderId="0" xfId="46" applyFont="1" applyFill="1" applyBorder="1" applyAlignment="1">
      <alignment vertical="top"/>
    </xf>
    <xf numFmtId="1" fontId="65" fillId="0" borderId="0" xfId="46" applyNumberFormat="1" applyFont="1" applyFill="1" applyBorder="1" applyAlignment="1">
      <alignment vertical="top"/>
    </xf>
    <xf numFmtId="172" fontId="5" fillId="0" borderId="10" xfId="61" applyNumberFormat="1" applyFont="1" applyFill="1" applyBorder="1" applyAlignment="1">
      <alignment horizontal="right" vertical="top" wrapText="1"/>
    </xf>
    <xf numFmtId="174" fontId="5" fillId="18" borderId="10" xfId="64" applyNumberFormat="1" applyFont="1" applyFill="1" applyBorder="1" applyAlignment="1">
      <alignment horizontal="left" vertical="top" wrapText="1"/>
    </xf>
    <xf numFmtId="172" fontId="5" fillId="0" borderId="10" xfId="46" quotePrefix="1" applyNumberFormat="1" applyFont="1" applyFill="1" applyBorder="1" applyAlignment="1">
      <alignment horizontal="right"/>
    </xf>
    <xf numFmtId="172" fontId="5" fillId="0" borderId="0" xfId="61" applyNumberFormat="1" applyFill="1" applyAlignment="1">
      <alignment horizontal="left"/>
    </xf>
    <xf numFmtId="172" fontId="5" fillId="0" borderId="10" xfId="61" applyNumberFormat="1" applyFill="1" applyBorder="1"/>
    <xf numFmtId="172" fontId="5" fillId="0" borderId="0" xfId="46" quotePrefix="1" applyNumberFormat="1" applyFont="1" applyFill="1" applyAlignment="1">
      <alignment horizontal="right"/>
    </xf>
    <xf numFmtId="172" fontId="59" fillId="0" borderId="0" xfId="61" applyNumberFormat="1" applyFont="1" applyFill="1"/>
    <xf numFmtId="172" fontId="5" fillId="0" borderId="0" xfId="61" applyNumberFormat="1" applyFill="1" applyAlignment="1"/>
    <xf numFmtId="172" fontId="5" fillId="0" borderId="11" xfId="61" applyNumberFormat="1" applyFont="1" applyFill="1" applyBorder="1" applyAlignment="1">
      <alignment horizontal="right" vertical="top" wrapText="1"/>
    </xf>
    <xf numFmtId="3" fontId="5" fillId="0" borderId="23" xfId="46" applyNumberFormat="1" applyFont="1" applyBorder="1" applyAlignment="1">
      <alignment horizontal="center"/>
    </xf>
    <xf numFmtId="200" fontId="5" fillId="0" borderId="11" xfId="46" applyNumberFormat="1" applyFont="1" applyBorder="1"/>
    <xf numFmtId="172" fontId="2" fillId="0" borderId="10" xfId="46" applyNumberFormat="1" applyFont="1" applyBorder="1"/>
    <xf numFmtId="172" fontId="2" fillId="0" borderId="0" xfId="46" applyNumberFormat="1" applyFont="1" applyBorder="1"/>
    <xf numFmtId="0" fontId="60" fillId="0" borderId="0" xfId="49" applyNumberFormat="1" applyFont="1" applyFill="1" applyBorder="1" applyAlignment="1">
      <alignment vertical="top" wrapText="1"/>
    </xf>
    <xf numFmtId="3" fontId="5" fillId="0" borderId="14" xfId="46" applyNumberFormat="1" applyFont="1" applyBorder="1" applyAlignment="1">
      <alignment horizontal="center"/>
    </xf>
    <xf numFmtId="172" fontId="63" fillId="0" borderId="28" xfId="46" applyNumberFormat="1" applyBorder="1" applyAlignment="1">
      <alignment horizontal="center"/>
    </xf>
    <xf numFmtId="172" fontId="2" fillId="0" borderId="10" xfId="46" applyNumberFormat="1" applyFont="1" applyBorder="1" applyAlignment="1">
      <alignment horizontal="center" vertical="center" wrapText="1"/>
    </xf>
    <xf numFmtId="172" fontId="2" fillId="0" borderId="10" xfId="46" applyNumberFormat="1" applyFont="1" applyBorder="1" applyAlignment="1">
      <alignment vertical="center" wrapText="1"/>
    </xf>
    <xf numFmtId="172" fontId="5" fillId="0" borderId="10" xfId="0" applyFont="1" applyBorder="1" applyAlignment="1">
      <alignment horizontal="center" vertical="center" wrapText="1"/>
    </xf>
    <xf numFmtId="172" fontId="2" fillId="0" borderId="10" xfId="46" applyNumberFormat="1" applyFont="1" applyBorder="1" applyAlignment="1">
      <alignment horizontal="center" vertical="top" wrapText="1"/>
    </xf>
    <xf numFmtId="172" fontId="2" fillId="0" borderId="10" xfId="46" applyNumberFormat="1" applyFont="1" applyBorder="1" applyAlignment="1">
      <alignment horizontal="center" vertical="center"/>
    </xf>
    <xf numFmtId="0" fontId="63" fillId="0" borderId="0" xfId="46" applyFill="1" applyBorder="1" applyAlignment="1">
      <alignment vertical="top" wrapText="1"/>
    </xf>
    <xf numFmtId="174" fontId="63" fillId="18" borderId="28" xfId="64" applyNumberFormat="1" applyFont="1" applyFill="1" applyBorder="1" applyAlignment="1">
      <alignment horizontal="right"/>
    </xf>
    <xf numFmtId="174" fontId="2" fillId="18" borderId="10" xfId="64" applyNumberFormat="1" applyFont="1" applyFill="1" applyBorder="1" applyAlignment="1">
      <alignment horizontal="center" vertical="center" wrapText="1"/>
    </xf>
    <xf numFmtId="174" fontId="2" fillId="0" borderId="10" xfId="64" applyNumberFormat="1" applyFont="1" applyBorder="1" applyAlignment="1">
      <alignment horizontal="center" vertical="center" wrapText="1"/>
    </xf>
    <xf numFmtId="174" fontId="47" fillId="0" borderId="10" xfId="64" applyNumberFormat="1" applyFont="1" applyFill="1" applyBorder="1" applyAlignment="1" applyProtection="1">
      <alignment horizontal="center" vertical="center" wrapText="1"/>
    </xf>
    <xf numFmtId="9" fontId="2" fillId="18" borderId="10" xfId="64" applyFont="1" applyFill="1" applyBorder="1" applyAlignment="1">
      <alignment horizontal="center" vertical="center"/>
    </xf>
    <xf numFmtId="200" fontId="5" fillId="0" borderId="11" xfId="46" applyNumberFormat="1" applyFont="1" applyBorder="1" applyAlignment="1">
      <alignment vertical="top"/>
    </xf>
    <xf numFmtId="172" fontId="5" fillId="0" borderId="10" xfId="46" applyNumberFormat="1" applyFont="1" applyFill="1" applyBorder="1" applyAlignment="1">
      <alignment horizontal="right" vertical="top"/>
    </xf>
    <xf numFmtId="2" fontId="78" fillId="0" borderId="10" xfId="46" applyNumberFormat="1" applyFont="1" applyFill="1" applyBorder="1" applyAlignment="1">
      <alignment vertical="top"/>
    </xf>
    <xf numFmtId="172" fontId="3" fillId="0" borderId="10" xfId="46" applyNumberFormat="1" applyFont="1" applyBorder="1" applyAlignment="1">
      <alignment horizontal="center"/>
    </xf>
    <xf numFmtId="172" fontId="5" fillId="0" borderId="10" xfId="46" applyNumberFormat="1" applyFont="1" applyBorder="1" applyAlignment="1">
      <alignment horizontal="right" vertical="top"/>
    </xf>
    <xf numFmtId="2" fontId="5" fillId="0" borderId="10" xfId="46" applyNumberFormat="1" applyFont="1" applyBorder="1" applyAlignment="1">
      <alignment horizontal="right" vertical="top"/>
    </xf>
    <xf numFmtId="3" fontId="5" fillId="0" borderId="10" xfId="46" applyNumberFormat="1" applyFont="1" applyBorder="1" applyAlignment="1">
      <alignment horizontal="center"/>
    </xf>
    <xf numFmtId="200" fontId="5" fillId="0" borderId="11" xfId="46" applyNumberFormat="1" applyFont="1" applyBorder="1" applyAlignment="1">
      <alignment wrapText="1"/>
    </xf>
    <xf numFmtId="172" fontId="5" fillId="0" borderId="10" xfId="46" applyNumberFormat="1" applyFont="1" applyBorder="1" applyAlignment="1">
      <alignment horizontal="right"/>
    </xf>
    <xf numFmtId="2" fontId="5" fillId="0" borderId="10" xfId="46" applyNumberFormat="1" applyFont="1" applyFill="1" applyBorder="1" applyAlignment="1">
      <alignment horizontal="right"/>
    </xf>
    <xf numFmtId="2" fontId="5" fillId="0" borderId="10" xfId="46" applyNumberFormat="1" applyFont="1" applyBorder="1" applyAlignment="1">
      <alignment horizontal="right"/>
    </xf>
    <xf numFmtId="200" fontId="5" fillId="0" borderId="11" xfId="46" applyNumberFormat="1" applyFont="1" applyFill="1" applyBorder="1" applyAlignment="1">
      <alignment vertical="top"/>
    </xf>
    <xf numFmtId="172" fontId="5" fillId="0" borderId="0" xfId="61" applyNumberFormat="1" applyAlignment="1">
      <alignment vertical="top"/>
    </xf>
    <xf numFmtId="172" fontId="5" fillId="0" borderId="0" xfId="61" applyNumberFormat="1" applyFill="1" applyAlignment="1">
      <alignment vertical="top"/>
    </xf>
    <xf numFmtId="0" fontId="60" fillId="0" borderId="0" xfId="49" applyNumberFormat="1" applyFont="1" applyFill="1" applyBorder="1" applyAlignment="1">
      <alignment horizontal="left" vertical="top" wrapText="1"/>
    </xf>
    <xf numFmtId="0" fontId="5" fillId="0" borderId="0" xfId="49" applyNumberFormat="1" applyFont="1" applyFill="1" applyBorder="1" applyAlignment="1">
      <alignment vertical="top"/>
    </xf>
    <xf numFmtId="200" fontId="5" fillId="0" borderId="0" xfId="46" applyNumberFormat="1" applyFont="1" applyBorder="1" applyAlignment="1">
      <alignment vertical="top" wrapText="1"/>
    </xf>
    <xf numFmtId="2" fontId="5" fillId="0" borderId="10" xfId="46" applyNumberFormat="1" applyFont="1" applyFill="1" applyBorder="1" applyAlignment="1">
      <alignment horizontal="right" vertical="top"/>
    </xf>
    <xf numFmtId="200" fontId="5" fillId="0" borderId="10" xfId="46" applyNumberFormat="1" applyFont="1" applyBorder="1" applyAlignment="1">
      <alignment vertical="top" wrapText="1"/>
    </xf>
    <xf numFmtId="200" fontId="5" fillId="0" borderId="11" xfId="46" applyNumberFormat="1" applyFont="1" applyBorder="1" applyAlignment="1">
      <alignment vertical="top" wrapText="1"/>
    </xf>
    <xf numFmtId="2" fontId="5" fillId="0" borderId="10" xfId="46" applyNumberFormat="1" applyFont="1" applyFill="1" applyBorder="1" applyAlignment="1">
      <alignment vertical="top"/>
    </xf>
    <xf numFmtId="172" fontId="3" fillId="0" borderId="10" xfId="46" applyNumberFormat="1" applyFont="1" applyBorder="1" applyAlignment="1">
      <alignment horizontal="right" vertical="top"/>
    </xf>
    <xf numFmtId="0" fontId="84" fillId="0" borderId="0" xfId="49" applyNumberFormat="1" applyFont="1" applyFill="1" applyBorder="1" applyAlignment="1">
      <alignment horizontal="left" vertical="top" wrapText="1"/>
    </xf>
    <xf numFmtId="2" fontId="5" fillId="18" borderId="10" xfId="46" applyNumberFormat="1" applyFont="1" applyFill="1" applyBorder="1" applyAlignment="1">
      <alignment vertical="top"/>
    </xf>
    <xf numFmtId="172" fontId="3" fillId="0" borderId="10" xfId="46" applyNumberFormat="1" applyFont="1" applyBorder="1" applyAlignment="1">
      <alignment horizontal="center" vertical="top"/>
    </xf>
    <xf numFmtId="0" fontId="61" fillId="0" borderId="0" xfId="49" applyNumberFormat="1" applyFont="1" applyFill="1" applyBorder="1" applyAlignment="1">
      <alignment horizontal="left" vertical="top"/>
    </xf>
    <xf numFmtId="2" fontId="78" fillId="18" borderId="10" xfId="46" applyNumberFormat="1" applyFont="1" applyFill="1" applyBorder="1" applyAlignment="1">
      <alignment vertical="top"/>
    </xf>
    <xf numFmtId="200" fontId="5" fillId="0" borderId="32" xfId="46" applyNumberFormat="1" applyFont="1" applyBorder="1" applyAlignment="1">
      <alignment horizontal="left" vertical="center" wrapText="1"/>
    </xf>
    <xf numFmtId="2" fontId="78" fillId="0" borderId="10" xfId="46" applyNumberFormat="1" applyFont="1" applyFill="1" applyBorder="1"/>
    <xf numFmtId="172" fontId="3" fillId="0" borderId="13" xfId="46" applyNumberFormat="1" applyFont="1" applyBorder="1" applyAlignment="1">
      <alignment horizontal="center"/>
    </xf>
    <xf numFmtId="0" fontId="63" fillId="0" borderId="10" xfId="46" applyBorder="1"/>
    <xf numFmtId="200" fontId="5" fillId="0" borderId="10" xfId="46" applyNumberFormat="1" applyFont="1" applyBorder="1" applyAlignment="1">
      <alignment horizontal="left" vertical="top" wrapText="1"/>
    </xf>
    <xf numFmtId="2" fontId="78" fillId="0" borderId="10" xfId="46" applyNumberFormat="1" applyFont="1" applyBorder="1" applyAlignment="1">
      <alignment vertical="top"/>
    </xf>
    <xf numFmtId="172" fontId="3" fillId="0" borderId="13" xfId="46" applyNumberFormat="1" applyFont="1" applyBorder="1" applyAlignment="1">
      <alignment horizontal="center" vertical="top"/>
    </xf>
    <xf numFmtId="172" fontId="5" fillId="0" borderId="13" xfId="46" applyNumberFormat="1" applyFont="1" applyBorder="1" applyAlignment="1">
      <alignment horizontal="center"/>
    </xf>
    <xf numFmtId="172" fontId="5" fillId="0" borderId="13" xfId="46" applyNumberFormat="1" applyFont="1" applyBorder="1" applyAlignment="1">
      <alignment horizontal="right"/>
    </xf>
    <xf numFmtId="200" fontId="5" fillId="0" borderId="11" xfId="46" applyNumberFormat="1" applyFont="1" applyBorder="1" applyAlignment="1">
      <alignment horizontal="left" vertical="top" wrapText="1"/>
    </xf>
    <xf numFmtId="2" fontId="5" fillId="0" borderId="13" xfId="46" applyNumberFormat="1" applyFont="1" applyFill="1" applyBorder="1" applyAlignment="1">
      <alignment horizontal="right" vertical="top"/>
    </xf>
    <xf numFmtId="172" fontId="5" fillId="0" borderId="13" xfId="46" applyNumberFormat="1" applyFont="1" applyBorder="1" applyAlignment="1">
      <alignment horizontal="right" vertical="top"/>
    </xf>
    <xf numFmtId="200" fontId="3" fillId="0" borderId="11" xfId="46" applyNumberFormat="1" applyFont="1" applyFill="1" applyBorder="1"/>
    <xf numFmtId="2" fontId="3" fillId="0" borderId="10" xfId="46" applyNumberFormat="1" applyFont="1" applyBorder="1" applyAlignment="1">
      <alignment horizontal="right"/>
    </xf>
    <xf numFmtId="2" fontId="63" fillId="0" borderId="0" xfId="46" applyNumberFormat="1"/>
    <xf numFmtId="2" fontId="78" fillId="0" borderId="10" xfId="46" applyNumberFormat="1" applyFont="1" applyBorder="1"/>
    <xf numFmtId="3" fontId="63" fillId="0" borderId="0" xfId="46" applyNumberFormat="1"/>
    <xf numFmtId="172" fontId="64" fillId="0" borderId="0" xfId="46" applyNumberFormat="1" applyFont="1" applyBorder="1"/>
    <xf numFmtId="172" fontId="63" fillId="0" borderId="0" xfId="46" applyNumberFormat="1" applyAlignment="1">
      <alignment horizontal="right"/>
    </xf>
    <xf numFmtId="172" fontId="3" fillId="0" borderId="0" xfId="46" applyNumberFormat="1" applyFont="1" applyBorder="1" applyAlignment="1">
      <alignment horizontal="center" vertical="top" wrapText="1"/>
    </xf>
    <xf numFmtId="172" fontId="63" fillId="0" borderId="0" xfId="46" applyNumberFormat="1" applyFill="1" applyBorder="1"/>
    <xf numFmtId="173" fontId="63" fillId="0" borderId="0" xfId="46" applyNumberFormat="1" applyFill="1" applyBorder="1" applyProtection="1"/>
    <xf numFmtId="172" fontId="63" fillId="0" borderId="0" xfId="46" applyNumberFormat="1" applyFill="1" applyBorder="1" applyProtection="1"/>
    <xf numFmtId="172" fontId="3" fillId="0" borderId="0" xfId="46" applyNumberFormat="1" applyFont="1" applyFill="1" applyBorder="1" applyAlignment="1">
      <alignment horizontal="left"/>
    </xf>
    <xf numFmtId="172" fontId="24" fillId="0" borderId="0" xfId="46" applyNumberFormat="1" applyFont="1" applyFill="1" applyBorder="1" applyAlignment="1" applyProtection="1">
      <alignment horizontal="right"/>
    </xf>
    <xf numFmtId="172" fontId="63" fillId="0" borderId="0" xfId="46" applyNumberFormat="1" applyAlignment="1" applyProtection="1">
      <alignment horizontal="left"/>
    </xf>
    <xf numFmtId="172" fontId="6" fillId="0" borderId="0" xfId="46" applyNumberFormat="1" applyFont="1" applyFill="1" applyBorder="1" applyProtection="1"/>
    <xf numFmtId="1" fontId="63" fillId="0" borderId="0" xfId="46" applyNumberFormat="1" applyFill="1" applyBorder="1" applyAlignment="1">
      <alignment vertical="top"/>
    </xf>
    <xf numFmtId="172" fontId="63" fillId="0" borderId="0" xfId="46" applyNumberFormat="1" applyAlignment="1">
      <alignment horizontal="center" vertical="top"/>
    </xf>
    <xf numFmtId="172" fontId="58" fillId="0" borderId="0" xfId="46" applyNumberFormat="1" applyFont="1" applyAlignment="1">
      <alignment vertical="top"/>
    </xf>
    <xf numFmtId="1" fontId="58" fillId="0" borderId="0" xfId="46" applyNumberFormat="1" applyFont="1" applyBorder="1" applyAlignment="1">
      <alignment horizontal="center"/>
    </xf>
    <xf numFmtId="172" fontId="58" fillId="0" borderId="0" xfId="46" applyNumberFormat="1" applyFont="1" applyBorder="1" applyAlignment="1">
      <alignment horizontal="left" wrapText="1"/>
    </xf>
    <xf numFmtId="172" fontId="63" fillId="0" borderId="0" xfId="46" applyNumberFormat="1" applyBorder="1" applyAlignment="1">
      <alignment horizontal="center"/>
    </xf>
    <xf numFmtId="172" fontId="63" fillId="0" borderId="0" xfId="46" applyNumberFormat="1" applyBorder="1" applyAlignment="1">
      <alignment horizontal="right"/>
    </xf>
    <xf numFmtId="172" fontId="2" fillId="0" borderId="0" xfId="46" applyNumberFormat="1" applyFont="1" applyBorder="1" applyAlignment="1">
      <alignment horizontal="left" wrapText="1"/>
    </xf>
    <xf numFmtId="172" fontId="2" fillId="0" borderId="0" xfId="46" applyNumberFormat="1" applyFont="1" applyBorder="1" applyAlignment="1">
      <alignment vertical="top"/>
    </xf>
    <xf numFmtId="172" fontId="2" fillId="0" borderId="0" xfId="46" applyNumberFormat="1" applyFont="1" applyBorder="1" applyAlignment="1">
      <alignment horizontal="center" vertical="center"/>
    </xf>
    <xf numFmtId="172" fontId="2" fillId="0" borderId="0" xfId="46" quotePrefix="1" applyNumberFormat="1" applyFont="1" applyBorder="1" applyAlignment="1">
      <alignment horizontal="center" vertical="center"/>
    </xf>
    <xf numFmtId="172" fontId="24" fillId="0" borderId="0" xfId="46" applyNumberFormat="1" applyFont="1" applyBorder="1" applyAlignment="1">
      <alignment horizontal="center" vertical="center" wrapText="1"/>
    </xf>
    <xf numFmtId="172" fontId="2" fillId="0" borderId="0" xfId="46" quotePrefix="1" applyNumberFormat="1" applyFont="1" applyBorder="1" applyAlignment="1">
      <alignment horizontal="center"/>
    </xf>
    <xf numFmtId="172" fontId="64" fillId="0" borderId="0" xfId="46" applyNumberFormat="1" applyFont="1" applyAlignment="1"/>
    <xf numFmtId="1" fontId="2" fillId="0" borderId="0" xfId="46" applyNumberFormat="1" applyFont="1" applyFill="1" applyBorder="1" applyAlignment="1">
      <alignment horizontal="center" vertical="top"/>
    </xf>
    <xf numFmtId="172" fontId="2" fillId="0" borderId="0" xfId="46" applyNumberFormat="1" applyFont="1" applyFill="1" applyBorder="1" applyAlignment="1">
      <alignment horizontal="left" vertical="top" wrapText="1"/>
    </xf>
    <xf numFmtId="172" fontId="63" fillId="0" borderId="0" xfId="46" applyNumberFormat="1" applyFill="1" applyBorder="1" applyAlignment="1">
      <alignment horizontal="center" vertical="top"/>
    </xf>
    <xf numFmtId="173" fontId="63" fillId="0" borderId="0" xfId="46" applyNumberFormat="1" applyFill="1" applyBorder="1" applyAlignment="1">
      <alignment horizontal="center" vertical="top"/>
    </xf>
    <xf numFmtId="172" fontId="63" fillId="0" borderId="0" xfId="46" applyNumberFormat="1" applyFill="1" applyBorder="1" applyAlignment="1">
      <alignment horizontal="right" vertical="top"/>
    </xf>
    <xf numFmtId="172" fontId="2" fillId="0" borderId="0" xfId="46" applyNumberFormat="1" applyFont="1" applyFill="1" applyBorder="1" applyAlignment="1">
      <alignment horizontal="right" vertical="top"/>
    </xf>
    <xf numFmtId="0" fontId="63" fillId="0" borderId="0" xfId="46" applyAlignment="1">
      <alignment horizontal="center" vertical="top"/>
    </xf>
    <xf numFmtId="172" fontId="63" fillId="0" borderId="0" xfId="46" applyNumberFormat="1" applyFill="1" applyBorder="1" applyAlignment="1">
      <alignment vertical="top"/>
    </xf>
    <xf numFmtId="1" fontId="2" fillId="0" borderId="0" xfId="46" applyNumberFormat="1" applyFont="1" applyFill="1" applyBorder="1" applyAlignment="1">
      <alignment horizontal="right"/>
    </xf>
    <xf numFmtId="172" fontId="24" fillId="0" borderId="0" xfId="46" applyNumberFormat="1" applyFont="1" applyFill="1" applyBorder="1" applyAlignment="1">
      <alignment horizontal="right" wrapText="1"/>
    </xf>
    <xf numFmtId="172" fontId="24" fillId="0" borderId="0" xfId="46" applyNumberFormat="1" applyFont="1" applyFill="1" applyBorder="1" applyAlignment="1">
      <alignment horizontal="center"/>
    </xf>
    <xf numFmtId="173" fontId="24" fillId="0" borderId="0" xfId="46" applyNumberFormat="1" applyFont="1" applyFill="1" applyBorder="1" applyAlignment="1">
      <alignment horizontal="right"/>
    </xf>
    <xf numFmtId="172" fontId="24" fillId="0" borderId="0" xfId="46" applyNumberFormat="1" applyFont="1" applyFill="1" applyBorder="1" applyAlignment="1"/>
    <xf numFmtId="1" fontId="2" fillId="0" borderId="0" xfId="46" applyNumberFormat="1" applyFont="1" applyFill="1" applyBorder="1" applyAlignment="1">
      <alignment horizontal="center"/>
    </xf>
    <xf numFmtId="0" fontId="63" fillId="0" borderId="0" xfId="46" applyFill="1" applyBorder="1" applyAlignment="1">
      <alignment wrapText="1"/>
    </xf>
    <xf numFmtId="172" fontId="63" fillId="0" borderId="0" xfId="46" applyNumberFormat="1" applyFill="1" applyBorder="1" applyAlignment="1"/>
    <xf numFmtId="172" fontId="24" fillId="0" borderId="0" xfId="46" applyNumberFormat="1" applyFont="1" applyFill="1" applyBorder="1" applyAlignment="1">
      <alignment horizontal="left"/>
    </xf>
    <xf numFmtId="172" fontId="2" fillId="0" borderId="0" xfId="46" applyNumberFormat="1" applyFont="1" applyFill="1" applyBorder="1" applyAlignment="1">
      <alignment horizontal="right"/>
    </xf>
    <xf numFmtId="173" fontId="63" fillId="0" borderId="0" xfId="46" applyNumberFormat="1" applyFill="1" applyBorder="1" applyAlignment="1">
      <alignment horizontal="center"/>
    </xf>
    <xf numFmtId="172" fontId="2" fillId="0" borderId="0" xfId="46" applyNumberFormat="1" applyFont="1" applyFill="1" applyBorder="1" applyAlignment="1">
      <alignment horizontal="left"/>
    </xf>
    <xf numFmtId="172" fontId="24" fillId="0" borderId="0" xfId="46" applyNumberFormat="1" applyFont="1" applyFill="1" applyBorder="1" applyAlignment="1">
      <alignment horizontal="right"/>
    </xf>
    <xf numFmtId="172" fontId="64" fillId="0" borderId="0" xfId="46" applyNumberFormat="1" applyFont="1" applyFill="1" applyBorder="1" applyAlignment="1"/>
    <xf numFmtId="172" fontId="2" fillId="0" borderId="0" xfId="46" applyNumberFormat="1" applyFont="1" applyFill="1" applyBorder="1" applyAlignment="1"/>
    <xf numFmtId="172" fontId="2" fillId="0" borderId="0" xfId="46" applyNumberFormat="1" applyFont="1" applyFill="1" applyBorder="1" applyAlignment="1">
      <alignment wrapText="1"/>
    </xf>
    <xf numFmtId="172" fontId="2" fillId="0" borderId="0" xfId="46" applyNumberFormat="1" applyFont="1" applyFill="1" applyBorder="1" applyAlignment="1">
      <alignment horizontal="center" vertical="top"/>
    </xf>
    <xf numFmtId="172" fontId="2" fillId="0" borderId="0" xfId="46" applyNumberFormat="1" applyFont="1" applyFill="1" applyBorder="1" applyAlignment="1">
      <alignment vertical="center" wrapText="1"/>
    </xf>
    <xf numFmtId="172" fontId="2" fillId="0" borderId="0" xfId="46" applyNumberFormat="1" applyFont="1" applyFill="1" applyBorder="1" applyAlignment="1">
      <alignment horizontal="center" vertical="center"/>
    </xf>
    <xf numFmtId="173" fontId="2" fillId="0" borderId="0" xfId="46" applyNumberFormat="1" applyFont="1" applyFill="1" applyBorder="1" applyAlignment="1">
      <alignment horizontal="right" vertical="center"/>
    </xf>
    <xf numFmtId="172" fontId="2" fillId="0" borderId="0" xfId="46" applyNumberFormat="1" applyFont="1" applyFill="1" applyBorder="1" applyAlignment="1">
      <alignment horizontal="right" vertical="center"/>
    </xf>
    <xf numFmtId="173" fontId="2" fillId="0" borderId="0" xfId="46" applyNumberFormat="1" applyFont="1" applyFill="1" applyBorder="1" applyAlignment="1">
      <alignment horizontal="center" vertical="top"/>
    </xf>
    <xf numFmtId="173" fontId="2" fillId="0" borderId="0" xfId="46" applyNumberFormat="1" applyFont="1" applyFill="1" applyBorder="1" applyAlignment="1">
      <alignment horizontal="center" vertical="center"/>
    </xf>
    <xf numFmtId="172" fontId="63" fillId="0" borderId="0" xfId="46" applyNumberFormat="1" applyFill="1" applyBorder="1" applyAlignment="1">
      <alignment wrapText="1"/>
    </xf>
    <xf numFmtId="172" fontId="63" fillId="0" borderId="0" xfId="46" applyNumberFormat="1" applyFill="1" applyBorder="1" applyAlignment="1" applyProtection="1">
      <alignment horizontal="center" vertical="center"/>
    </xf>
    <xf numFmtId="0" fontId="63" fillId="0" borderId="0" xfId="46" applyFill="1" applyBorder="1" applyAlignment="1">
      <alignment horizontal="center" vertical="center"/>
    </xf>
    <xf numFmtId="0" fontId="63" fillId="0" borderId="0" xfId="46" applyFill="1" applyBorder="1" applyAlignment="1">
      <alignment horizontal="left" vertical="center"/>
    </xf>
    <xf numFmtId="172" fontId="63" fillId="0" borderId="0" xfId="46" applyNumberFormat="1" applyFill="1"/>
    <xf numFmtId="172" fontId="2" fillId="0" borderId="0" xfId="46" quotePrefix="1" applyNumberFormat="1" applyFont="1" applyBorder="1" applyAlignment="1">
      <alignment horizontal="left"/>
    </xf>
    <xf numFmtId="172" fontId="63" fillId="0" borderId="0" xfId="46" applyNumberFormat="1" applyBorder="1" applyAlignment="1" applyProtection="1">
      <alignment horizontal="center"/>
    </xf>
    <xf numFmtId="1" fontId="62" fillId="0" borderId="0" xfId="46" applyNumberFormat="1" applyFont="1" applyBorder="1" applyAlignment="1">
      <alignment horizontal="right"/>
    </xf>
    <xf numFmtId="172" fontId="24" fillId="0" borderId="0" xfId="46" applyNumberFormat="1" applyFont="1" applyBorder="1" applyAlignment="1">
      <alignment horizontal="left" wrapText="1"/>
    </xf>
    <xf numFmtId="2" fontId="63" fillId="0" borderId="0" xfId="46" applyNumberFormat="1" applyBorder="1"/>
    <xf numFmtId="172" fontId="2" fillId="0" borderId="0" xfId="46" applyNumberFormat="1" applyFont="1" applyBorder="1" applyAlignment="1" applyProtection="1"/>
    <xf numFmtId="173" fontId="63" fillId="0" borderId="0" xfId="46" applyNumberFormat="1" applyBorder="1" applyAlignment="1" applyProtection="1"/>
    <xf numFmtId="172" fontId="24" fillId="0" borderId="0" xfId="46" applyNumberFormat="1" applyFont="1" applyBorder="1" applyAlignment="1" applyProtection="1"/>
    <xf numFmtId="173" fontId="63" fillId="0" borderId="0" xfId="46" applyNumberFormat="1"/>
    <xf numFmtId="172" fontId="63" fillId="0" borderId="0" xfId="46" applyNumberFormat="1" applyBorder="1" applyAlignment="1" applyProtection="1"/>
    <xf numFmtId="172" fontId="5" fillId="0" borderId="0" xfId="61" applyNumberFormat="1" applyFont="1" applyFill="1" applyAlignment="1">
      <alignment horizontal="right"/>
    </xf>
    <xf numFmtId="182" fontId="0" fillId="0" borderId="0" xfId="0" applyNumberFormat="1"/>
    <xf numFmtId="172" fontId="5" fillId="0" borderId="0" xfId="61" applyNumberFormat="1" applyAlignment="1">
      <alignment horizontal="center" vertical="top"/>
    </xf>
    <xf numFmtId="172" fontId="6" fillId="0" borderId="0" xfId="61" applyNumberFormat="1" applyFont="1" applyAlignment="1">
      <alignment horizontal="center" vertical="top"/>
    </xf>
    <xf numFmtId="172" fontId="5" fillId="0" borderId="0" xfId="61" applyNumberFormat="1" applyFont="1" applyBorder="1" applyAlignment="1">
      <alignment horizontal="right"/>
    </xf>
    <xf numFmtId="172" fontId="5" fillId="0" borderId="0" xfId="61" applyNumberFormat="1" applyFill="1" applyAlignment="1">
      <alignment horizontal="center" vertical="top"/>
    </xf>
    <xf numFmtId="172" fontId="3" fillId="0" borderId="0" xfId="61" applyNumberFormat="1" applyFont="1" applyFill="1" applyAlignment="1">
      <alignment horizontal="center" vertical="top"/>
    </xf>
    <xf numFmtId="3" fontId="3" fillId="0" borderId="0" xfId="46" applyNumberFormat="1" applyFont="1" applyFill="1" applyBorder="1" applyProtection="1"/>
    <xf numFmtId="200" fontId="5" fillId="0" borderId="0" xfId="46" applyNumberFormat="1" applyFont="1" applyFill="1" applyBorder="1" applyAlignment="1">
      <alignment horizontal="right"/>
    </xf>
    <xf numFmtId="172" fontId="3" fillId="0" borderId="0" xfId="61" applyNumberFormat="1" applyFont="1" applyAlignment="1">
      <alignment horizontal="center" vertical="top"/>
    </xf>
    <xf numFmtId="172" fontId="6" fillId="0" borderId="0" xfId="46" applyNumberFormat="1" applyFont="1" applyFill="1" applyBorder="1" applyAlignment="1">
      <alignment horizontal="right"/>
    </xf>
    <xf numFmtId="172" fontId="6" fillId="0" borderId="0" xfId="46" applyNumberFormat="1" applyFont="1" applyFill="1" applyBorder="1" applyAlignment="1">
      <alignment horizontal="left"/>
    </xf>
    <xf numFmtId="172" fontId="3" fillId="0" borderId="0" xfId="61" applyNumberFormat="1" applyFont="1" applyAlignment="1">
      <alignment horizontal="right" vertical="top"/>
    </xf>
    <xf numFmtId="172" fontId="3" fillId="0" borderId="10" xfId="61" applyNumberFormat="1" applyFont="1" applyFill="1" applyBorder="1" applyAlignment="1">
      <alignment horizontal="center"/>
    </xf>
    <xf numFmtId="172" fontId="3" fillId="0" borderId="10" xfId="61" applyNumberFormat="1" applyFont="1" applyFill="1" applyBorder="1" applyAlignment="1">
      <alignment horizontal="center" vertical="top"/>
    </xf>
    <xf numFmtId="172" fontId="3" fillId="0" borderId="10" xfId="61" applyNumberFormat="1" applyFont="1" applyFill="1" applyBorder="1" applyAlignment="1">
      <alignment horizontal="center" vertical="top" wrapText="1"/>
    </xf>
    <xf numFmtId="3" fontId="3" fillId="0" borderId="48" xfId="46" applyNumberFormat="1" applyFont="1" applyBorder="1" applyAlignment="1">
      <alignment horizontal="center" vertical="top"/>
    </xf>
    <xf numFmtId="172" fontId="3" fillId="0" borderId="23" xfId="61" applyNumberFormat="1" applyFont="1" applyBorder="1" applyAlignment="1">
      <alignment horizontal="center" vertical="top"/>
    </xf>
    <xf numFmtId="172" fontId="5" fillId="0" borderId="29" xfId="61" applyNumberFormat="1" applyFont="1" applyBorder="1" applyAlignment="1">
      <alignment horizontal="center" vertical="top" wrapText="1"/>
    </xf>
    <xf numFmtId="182" fontId="5" fillId="0" borderId="32" xfId="61" applyNumberFormat="1" applyFont="1" applyBorder="1" applyAlignment="1">
      <alignment horizontal="center" vertical="top"/>
    </xf>
    <xf numFmtId="2" fontId="5" fillId="0" borderId="10" xfId="61" applyNumberFormat="1" applyFont="1" applyBorder="1" applyAlignment="1">
      <alignment horizontal="center" vertical="top"/>
    </xf>
    <xf numFmtId="182" fontId="3" fillId="0" borderId="10" xfId="61" applyNumberFormat="1" applyFont="1" applyBorder="1" applyAlignment="1">
      <alignment horizontal="center" vertical="top"/>
    </xf>
    <xf numFmtId="182" fontId="5" fillId="0" borderId="10" xfId="61" applyNumberFormat="1" applyBorder="1" applyAlignment="1">
      <alignment horizontal="center" vertical="top"/>
    </xf>
    <xf numFmtId="172" fontId="5" fillId="0" borderId="31" xfId="61" applyNumberFormat="1" applyBorder="1"/>
    <xf numFmtId="10" fontId="3" fillId="0" borderId="10" xfId="64" applyNumberFormat="1" applyFont="1" applyBorder="1" applyAlignment="1">
      <alignment horizontal="center" vertical="top"/>
    </xf>
    <xf numFmtId="172" fontId="5" fillId="0" borderId="11" xfId="61" applyNumberFormat="1" applyBorder="1"/>
    <xf numFmtId="172" fontId="3" fillId="0" borderId="10" xfId="61" applyNumberFormat="1" applyFont="1" applyBorder="1" applyAlignment="1">
      <alignment horizontal="center" vertical="top"/>
    </xf>
    <xf numFmtId="172" fontId="3" fillId="0" borderId="32" xfId="61" applyNumberFormat="1" applyFont="1" applyFill="1" applyBorder="1" applyAlignment="1">
      <alignment horizontal="center"/>
    </xf>
    <xf numFmtId="172" fontId="3" fillId="0" borderId="23" xfId="61" applyNumberFormat="1" applyFont="1" applyFill="1" applyBorder="1" applyAlignment="1">
      <alignment horizontal="center" vertical="top" wrapText="1"/>
    </xf>
    <xf numFmtId="182" fontId="5" fillId="0" borderId="29" xfId="61" applyNumberFormat="1" applyFont="1" applyBorder="1" applyAlignment="1">
      <alignment horizontal="center" vertical="top" wrapText="1"/>
    </xf>
    <xf numFmtId="182" fontId="3" fillId="0" borderId="11" xfId="46" applyNumberFormat="1" applyFont="1" applyBorder="1" applyAlignment="1">
      <alignment horizontal="center" vertical="top"/>
    </xf>
    <xf numFmtId="182" fontId="5" fillId="0" borderId="29" xfId="46" applyNumberFormat="1" applyFont="1" applyBorder="1" applyAlignment="1">
      <alignment horizontal="center" vertical="top"/>
    </xf>
    <xf numFmtId="182" fontId="3" fillId="0" borderId="11" xfId="61" applyNumberFormat="1" applyFont="1" applyBorder="1" applyAlignment="1">
      <alignment horizontal="center" vertical="top"/>
    </xf>
    <xf numFmtId="182" fontId="5" fillId="0" borderId="23" xfId="61" applyNumberFormat="1" applyFont="1" applyBorder="1" applyAlignment="1">
      <alignment horizontal="center" vertical="top" wrapText="1"/>
    </xf>
    <xf numFmtId="172" fontId="3" fillId="0" borderId="0" xfId="61" applyNumberFormat="1" applyFont="1" applyFill="1" applyBorder="1" applyAlignment="1">
      <alignment horizontal="center" vertical="top" wrapText="1"/>
    </xf>
    <xf numFmtId="182" fontId="5" fillId="0" borderId="0" xfId="61" applyNumberFormat="1" applyFont="1" applyBorder="1" applyAlignment="1">
      <alignment horizontal="center" vertical="top"/>
    </xf>
    <xf numFmtId="182" fontId="3" fillId="0" borderId="0" xfId="61" applyNumberFormat="1" applyFont="1" applyBorder="1" applyAlignment="1">
      <alignment horizontal="center" vertical="top"/>
    </xf>
    <xf numFmtId="182" fontId="5" fillId="0" borderId="0" xfId="61" applyNumberFormat="1" applyBorder="1" applyAlignment="1">
      <alignment horizontal="center" vertical="top"/>
    </xf>
    <xf numFmtId="10" fontId="3" fillId="0" borderId="0" xfId="64" applyNumberFormat="1" applyFont="1" applyBorder="1" applyAlignment="1">
      <alignment horizontal="center" vertical="top"/>
    </xf>
    <xf numFmtId="182" fontId="5" fillId="0" borderId="32" xfId="61" applyNumberFormat="1" applyFont="1" applyBorder="1" applyAlignment="1">
      <alignment horizontal="center" vertical="top" wrapText="1"/>
    </xf>
    <xf numFmtId="182" fontId="5" fillId="0" borderId="29" xfId="61" applyNumberFormat="1" applyFont="1" applyBorder="1" applyAlignment="1">
      <alignment horizontal="center" vertical="top"/>
    </xf>
    <xf numFmtId="172" fontId="3" fillId="0" borderId="13" xfId="61" applyNumberFormat="1" applyFont="1" applyBorder="1" applyAlignment="1">
      <alignment horizontal="center"/>
    </xf>
    <xf numFmtId="172" fontId="3" fillId="0" borderId="23" xfId="61" applyNumberFormat="1" applyFont="1" applyFill="1" applyBorder="1" applyAlignment="1">
      <alignment horizontal="center"/>
    </xf>
    <xf numFmtId="200" fontId="3" fillId="0" borderId="49" xfId="46" applyNumberFormat="1" applyFont="1" applyFill="1" applyBorder="1" applyAlignment="1">
      <alignment horizontal="center" vertical="top"/>
    </xf>
    <xf numFmtId="3" fontId="5" fillId="0" borderId="29" xfId="46" applyNumberFormat="1" applyFont="1" applyBorder="1" applyAlignment="1">
      <alignment horizontal="center" vertical="top"/>
    </xf>
    <xf numFmtId="2" fontId="5" fillId="0" borderId="12" xfId="61" applyNumberFormat="1" applyFont="1" applyBorder="1" applyAlignment="1">
      <alignment horizontal="center" vertical="top"/>
    </xf>
    <xf numFmtId="200" fontId="3" fillId="0" borderId="14" xfId="46" applyNumberFormat="1" applyFont="1" applyBorder="1" applyAlignment="1">
      <alignment vertical="top"/>
    </xf>
    <xf numFmtId="181" fontId="0" fillId="0" borderId="0" xfId="0" applyNumberFormat="1"/>
    <xf numFmtId="182" fontId="0" fillId="0" borderId="0" xfId="0" applyNumberFormat="1" applyAlignment="1">
      <alignment vertical="top"/>
    </xf>
    <xf numFmtId="204" fontId="5" fillId="0" borderId="32" xfId="61" applyNumberFormat="1" applyFont="1" applyBorder="1" applyAlignment="1">
      <alignment horizontal="center" vertical="top"/>
    </xf>
    <xf numFmtId="204" fontId="5" fillId="0" borderId="29" xfId="61" applyNumberFormat="1" applyFont="1" applyBorder="1" applyAlignment="1">
      <alignment horizontal="center" vertical="top"/>
    </xf>
    <xf numFmtId="204" fontId="5" fillId="0" borderId="29" xfId="61" applyNumberFormat="1" applyFont="1" applyBorder="1" applyAlignment="1">
      <alignment horizontal="center" vertical="top" wrapText="1"/>
    </xf>
    <xf numFmtId="182" fontId="5" fillId="0" borderId="0" xfId="61" applyNumberFormat="1" applyFont="1" applyFill="1" applyBorder="1" applyAlignment="1">
      <alignment vertical="top"/>
    </xf>
    <xf numFmtId="172" fontId="3" fillId="0" borderId="0" xfId="61" applyNumberFormat="1" applyFont="1" applyFill="1" applyBorder="1" applyAlignment="1">
      <alignment horizontal="center" vertical="top"/>
    </xf>
    <xf numFmtId="172" fontId="0" fillId="0" borderId="0" xfId="0" applyNumberFormat="1" applyAlignment="1">
      <alignment horizontal="center" vertical="top"/>
    </xf>
    <xf numFmtId="9" fontId="0" fillId="0" borderId="0" xfId="64" applyFont="1" applyAlignment="1">
      <alignment horizontal="center" vertical="top"/>
    </xf>
    <xf numFmtId="10" fontId="0" fillId="0" borderId="0" xfId="64" applyNumberFormat="1" applyFont="1" applyAlignment="1">
      <alignment horizontal="center" vertical="top"/>
    </xf>
    <xf numFmtId="204" fontId="5" fillId="0" borderId="23" xfId="61" applyNumberFormat="1" applyFont="1" applyBorder="1" applyAlignment="1">
      <alignment horizontal="center" vertical="center"/>
    </xf>
    <xf numFmtId="204" fontId="5" fillId="0" borderId="32" xfId="61" applyNumberFormat="1" applyFont="1" applyBorder="1" applyAlignment="1">
      <alignment horizontal="center" vertical="center"/>
    </xf>
    <xf numFmtId="10" fontId="0" fillId="0" borderId="0" xfId="64" applyNumberFormat="1" applyFont="1"/>
    <xf numFmtId="0" fontId="3" fillId="0" borderId="11" xfId="55" applyNumberFormat="1" applyFont="1" applyBorder="1" applyAlignment="1">
      <alignment horizontal="center" wrapText="1"/>
    </xf>
    <xf numFmtId="0" fontId="3" fillId="0" borderId="12" xfId="55" applyNumberFormat="1" applyFont="1" applyBorder="1" applyAlignment="1">
      <alignment horizontal="center" wrapText="1"/>
    </xf>
    <xf numFmtId="0" fontId="3" fillId="0" borderId="13" xfId="55" applyNumberFormat="1" applyFont="1" applyBorder="1" applyAlignment="1">
      <alignment horizontal="center" wrapText="1"/>
    </xf>
    <xf numFmtId="0" fontId="5" fillId="18" borderId="11" xfId="55" applyNumberFormat="1" applyFont="1" applyFill="1" applyBorder="1" applyAlignment="1">
      <alignment horizontal="left" vertical="top" wrapText="1"/>
    </xf>
    <xf numFmtId="0" fontId="5" fillId="18" borderId="12" xfId="55" applyNumberFormat="1" applyFont="1" applyFill="1" applyBorder="1" applyAlignment="1">
      <alignment horizontal="left" vertical="top" wrapText="1"/>
    </xf>
    <xf numFmtId="0" fontId="5" fillId="18" borderId="13" xfId="55" applyNumberFormat="1" applyFont="1" applyFill="1" applyBorder="1" applyAlignment="1">
      <alignment horizontal="left" vertical="top" wrapText="1"/>
    </xf>
    <xf numFmtId="0" fontId="3" fillId="0" borderId="11" xfId="55" applyNumberFormat="1" applyFont="1" applyBorder="1" applyAlignment="1">
      <alignment horizontal="left" vertical="top" wrapText="1"/>
    </xf>
    <xf numFmtId="0" fontId="3" fillId="0" borderId="12" xfId="55" applyNumberFormat="1" applyFont="1" applyBorder="1" applyAlignment="1">
      <alignment horizontal="left" vertical="top" wrapText="1"/>
    </xf>
    <xf numFmtId="0" fontId="3" fillId="0" borderId="13" xfId="55" applyNumberFormat="1" applyFont="1" applyBorder="1" applyAlignment="1">
      <alignment horizontal="left" vertical="top" wrapText="1"/>
    </xf>
    <xf numFmtId="0" fontId="5" fillId="18" borderId="11" xfId="55" applyNumberFormat="1" applyFont="1" applyFill="1" applyBorder="1" applyAlignment="1">
      <alignment horizontal="left" vertical="top"/>
    </xf>
    <xf numFmtId="0" fontId="5" fillId="18" borderId="12" xfId="55" applyNumberFormat="1" applyFont="1" applyFill="1" applyBorder="1" applyAlignment="1">
      <alignment horizontal="left" vertical="top"/>
    </xf>
    <xf numFmtId="0" fontId="5" fillId="18" borderId="13" xfId="55" applyNumberFormat="1" applyFont="1" applyFill="1" applyBorder="1" applyAlignment="1">
      <alignment horizontal="left" vertical="top"/>
    </xf>
    <xf numFmtId="0" fontId="5" fillId="18" borderId="10" xfId="55" applyNumberFormat="1" applyFont="1" applyFill="1" applyBorder="1" applyAlignment="1">
      <alignment horizontal="left" vertical="top" wrapText="1"/>
    </xf>
    <xf numFmtId="0" fontId="5" fillId="18" borderId="10" xfId="55" applyNumberFormat="1" applyFill="1" applyBorder="1" applyAlignment="1">
      <alignment horizontal="left" vertical="top" wrapText="1"/>
    </xf>
    <xf numFmtId="0" fontId="5" fillId="18" borderId="11" xfId="55" applyNumberFormat="1" applyFill="1" applyBorder="1" applyAlignment="1">
      <alignment horizontal="left" vertical="top"/>
    </xf>
    <xf numFmtId="0" fontId="5" fillId="18" borderId="12" xfId="55" applyNumberFormat="1" applyFill="1" applyBorder="1" applyAlignment="1">
      <alignment horizontal="left" vertical="top"/>
    </xf>
    <xf numFmtId="0" fontId="5" fillId="18" borderId="13" xfId="55" applyNumberFormat="1" applyFill="1" applyBorder="1" applyAlignment="1">
      <alignment horizontal="left" vertical="top"/>
    </xf>
    <xf numFmtId="0" fontId="7" fillId="0" borderId="0" xfId="55" applyNumberFormat="1" applyFont="1" applyAlignment="1">
      <alignment horizontal="center"/>
    </xf>
    <xf numFmtId="172" fontId="7" fillId="0" borderId="0" xfId="55" applyFont="1" applyAlignment="1">
      <alignment horizontal="center"/>
    </xf>
    <xf numFmtId="172" fontId="7" fillId="0" borderId="0" xfId="55" applyFont="1" applyAlignment="1">
      <alignment horizontal="center" vertical="center" wrapText="1"/>
    </xf>
    <xf numFmtId="0" fontId="3" fillId="0" borderId="0" xfId="55" applyNumberFormat="1" applyFont="1" applyAlignment="1">
      <alignment horizontal="center" vertical="center"/>
    </xf>
    <xf numFmtId="0" fontId="3" fillId="0" borderId="10" xfId="55" applyNumberFormat="1" applyFont="1" applyBorder="1" applyAlignment="1">
      <alignment horizontal="center" vertical="top"/>
    </xf>
    <xf numFmtId="0" fontId="5" fillId="18" borderId="11" xfId="55" applyNumberFormat="1" applyFill="1" applyBorder="1" applyAlignment="1">
      <alignment horizontal="center"/>
    </xf>
    <xf numFmtId="0" fontId="5" fillId="18" borderId="12" xfId="55" applyNumberFormat="1" applyFill="1" applyBorder="1" applyAlignment="1">
      <alignment horizontal="center"/>
    </xf>
    <xf numFmtId="0" fontId="5" fillId="18" borderId="13" xfId="55" applyNumberFormat="1" applyFill="1" applyBorder="1" applyAlignment="1">
      <alignment horizontal="center"/>
    </xf>
    <xf numFmtId="172" fontId="3" fillId="0" borderId="0" xfId="55" applyFont="1" applyBorder="1" applyAlignment="1">
      <alignment horizontal="center" vertical="top" wrapText="1"/>
    </xf>
    <xf numFmtId="172" fontId="7" fillId="0" borderId="0" xfId="55" applyFont="1" applyAlignment="1">
      <alignment horizontal="center" vertical="top"/>
    </xf>
    <xf numFmtId="172" fontId="7" fillId="0" borderId="0" xfId="55" applyNumberFormat="1" applyFont="1" applyAlignment="1" applyProtection="1">
      <alignment horizontal="center" vertical="top" wrapText="1"/>
    </xf>
    <xf numFmtId="172" fontId="27" fillId="0" borderId="0" xfId="55" applyFont="1" applyAlignment="1">
      <alignment horizontal="center" vertical="top"/>
    </xf>
    <xf numFmtId="173" fontId="5" fillId="18" borderId="31" xfId="55" applyNumberFormat="1" applyFont="1" applyFill="1" applyBorder="1" applyAlignment="1">
      <alignment horizontal="center" vertical="center" wrapText="1"/>
    </xf>
    <xf numFmtId="173" fontId="5" fillId="18" borderId="30" xfId="55" applyNumberFormat="1" applyFont="1" applyFill="1" applyBorder="1" applyAlignment="1">
      <alignment horizontal="center" vertical="center" wrapText="1"/>
    </xf>
    <xf numFmtId="173" fontId="5" fillId="18" borderId="29" xfId="55" applyNumberFormat="1" applyFont="1" applyFill="1" applyBorder="1" applyAlignment="1">
      <alignment horizontal="center" vertical="center" wrapText="1"/>
    </xf>
    <xf numFmtId="173" fontId="5" fillId="18" borderId="26" xfId="55" applyNumberFormat="1" applyFont="1" applyFill="1" applyBorder="1" applyAlignment="1">
      <alignment horizontal="center" vertical="center" wrapText="1"/>
    </xf>
    <xf numFmtId="173" fontId="5" fillId="18" borderId="28" xfId="55" applyNumberFormat="1" applyFont="1" applyFill="1" applyBorder="1" applyAlignment="1">
      <alignment horizontal="center" vertical="center" wrapText="1"/>
    </xf>
    <xf numFmtId="173" fontId="5" fillId="18" borderId="27" xfId="55" applyNumberFormat="1" applyFont="1" applyFill="1" applyBorder="1" applyAlignment="1">
      <alignment horizontal="center" vertical="center" wrapText="1"/>
    </xf>
    <xf numFmtId="172" fontId="7" fillId="0" borderId="0" xfId="0" applyNumberFormat="1" applyFont="1" applyAlignment="1" applyProtection="1">
      <alignment horizontal="center" vertical="top" wrapText="1"/>
    </xf>
    <xf numFmtId="172" fontId="27" fillId="0" borderId="0" xfId="0" applyFont="1" applyAlignment="1">
      <alignment horizontal="center" vertical="top"/>
    </xf>
    <xf numFmtId="172" fontId="3" fillId="0" borderId="0" xfId="0" applyFont="1" applyAlignment="1">
      <alignment horizontal="left" vertical="top"/>
    </xf>
    <xf numFmtId="172" fontId="5" fillId="0" borderId="0" xfId="50" applyNumberFormat="1" applyAlignment="1" applyProtection="1">
      <alignment horizontal="center"/>
    </xf>
    <xf numFmtId="172" fontId="5" fillId="0" borderId="0" xfId="50" applyNumberFormat="1" applyBorder="1" applyAlignment="1" applyProtection="1">
      <alignment horizontal="center"/>
    </xf>
    <xf numFmtId="201" fontId="5" fillId="0" borderId="32" xfId="61" applyNumberFormat="1" applyFont="1" applyBorder="1" applyAlignment="1">
      <alignment horizontal="center" vertical="top"/>
    </xf>
    <xf numFmtId="182" fontId="5" fillId="0" borderId="32" xfId="61" applyNumberFormat="1" applyFont="1" applyBorder="1" applyAlignment="1">
      <alignment horizontal="center" vertical="top" wrapText="1"/>
    </xf>
    <xf numFmtId="182" fontId="5" fillId="0" borderId="32" xfId="61" applyNumberFormat="1" applyFont="1" applyBorder="1" applyAlignment="1">
      <alignment horizontal="center" vertical="top"/>
    </xf>
    <xf numFmtId="204" fontId="5" fillId="0" borderId="32" xfId="61" applyNumberFormat="1" applyFont="1" applyBorder="1" applyAlignment="1">
      <alignment horizontal="center" vertical="top"/>
    </xf>
    <xf numFmtId="172" fontId="3" fillId="0" borderId="0" xfId="0" applyFont="1" applyAlignment="1">
      <alignment horizontal="center"/>
    </xf>
    <xf numFmtId="182" fontId="5" fillId="0" borderId="23" xfId="61" applyNumberFormat="1" applyFont="1" applyBorder="1" applyAlignment="1">
      <alignment horizontal="center" vertical="center" wrapText="1"/>
    </xf>
    <xf numFmtId="182" fontId="5" fillId="0" borderId="32" xfId="61" applyNumberFormat="1" applyFont="1" applyBorder="1" applyAlignment="1">
      <alignment horizontal="center" vertical="center" wrapText="1"/>
    </xf>
    <xf numFmtId="182" fontId="5" fillId="0" borderId="23" xfId="61" applyNumberFormat="1" applyFont="1" applyBorder="1" applyAlignment="1">
      <alignment horizontal="center" vertical="center"/>
    </xf>
    <xf numFmtId="182" fontId="5" fillId="0" borderId="32" xfId="61" applyNumberFormat="1" applyFont="1" applyBorder="1" applyAlignment="1">
      <alignment horizontal="center" vertical="center"/>
    </xf>
    <xf numFmtId="204" fontId="5" fillId="0" borderId="23" xfId="61" applyNumberFormat="1" applyFont="1" applyBorder="1" applyAlignment="1">
      <alignment horizontal="center" vertical="center"/>
    </xf>
    <xf numFmtId="204" fontId="5" fillId="0" borderId="32" xfId="61" applyNumberFormat="1" applyFont="1" applyBorder="1" applyAlignment="1">
      <alignment horizontal="center" vertical="center"/>
    </xf>
    <xf numFmtId="172" fontId="3" fillId="0" borderId="11" xfId="61" applyNumberFormat="1" applyFont="1" applyFill="1" applyBorder="1" applyAlignment="1">
      <alignment horizontal="center" vertical="top" wrapText="1"/>
    </xf>
    <xf numFmtId="172" fontId="3" fillId="0" borderId="12" xfId="61" applyNumberFormat="1" applyFont="1" applyFill="1" applyBorder="1" applyAlignment="1">
      <alignment horizontal="center" vertical="top" wrapText="1"/>
    </xf>
    <xf numFmtId="172" fontId="3" fillId="0" borderId="13" xfId="61" applyNumberFormat="1" applyFont="1" applyFill="1" applyBorder="1" applyAlignment="1">
      <alignment horizontal="center" vertical="top" wrapText="1"/>
    </xf>
    <xf numFmtId="172" fontId="7" fillId="0" borderId="0" xfId="61" applyNumberFormat="1" applyFont="1" applyFill="1" applyAlignment="1">
      <alignment horizontal="center"/>
    </xf>
    <xf numFmtId="172" fontId="7" fillId="0" borderId="0" xfId="61" applyNumberFormat="1" applyFont="1" applyFill="1" applyAlignment="1">
      <alignment horizontal="center" vertical="center" wrapText="1"/>
    </xf>
    <xf numFmtId="172" fontId="3" fillId="0" borderId="0" xfId="61" applyNumberFormat="1" applyFont="1" applyFill="1" applyAlignment="1">
      <alignment horizontal="center"/>
    </xf>
    <xf numFmtId="172" fontId="66" fillId="0" borderId="25" xfId="0" applyFont="1" applyBorder="1" applyAlignment="1">
      <alignment horizontal="justify" vertical="top" wrapText="1"/>
    </xf>
    <xf numFmtId="172" fontId="66" fillId="0" borderId="50" xfId="0" applyFont="1" applyBorder="1" applyAlignment="1">
      <alignment horizontal="justify" vertical="top" wrapText="1"/>
    </xf>
    <xf numFmtId="172" fontId="66" fillId="0" borderId="21" xfId="0" applyFont="1" applyBorder="1" applyAlignment="1">
      <alignment horizontal="justify" vertical="top" wrapText="1"/>
    </xf>
    <xf numFmtId="172" fontId="67" fillId="0" borderId="11" xfId="0" applyFont="1" applyBorder="1" applyAlignment="1">
      <alignment horizontal="center" vertical="center" wrapText="1"/>
    </xf>
    <xf numFmtId="172" fontId="67" fillId="0" borderId="12" xfId="0" applyFont="1" applyBorder="1" applyAlignment="1">
      <alignment horizontal="center" vertical="center" wrapText="1"/>
    </xf>
    <xf numFmtId="172" fontId="33" fillId="0" borderId="11" xfId="0" applyFont="1" applyBorder="1" applyAlignment="1">
      <alignment horizontal="center" vertical="center" wrapText="1"/>
    </xf>
    <xf numFmtId="172" fontId="33" fillId="0" borderId="12" xfId="0" applyFont="1" applyBorder="1" applyAlignment="1">
      <alignment horizontal="center" vertical="center" wrapText="1"/>
    </xf>
    <xf numFmtId="172" fontId="33" fillId="0" borderId="13" xfId="0" applyFont="1" applyBorder="1" applyAlignment="1">
      <alignment horizontal="center" vertical="center" wrapText="1"/>
    </xf>
    <xf numFmtId="172" fontId="34" fillId="0" borderId="11" xfId="0" applyFont="1" applyFill="1" applyBorder="1" applyAlignment="1">
      <alignment horizontal="center" vertical="center" wrapText="1"/>
    </xf>
    <xf numFmtId="172" fontId="34" fillId="0" borderId="12" xfId="0" applyFont="1" applyFill="1" applyBorder="1" applyAlignment="1">
      <alignment horizontal="center" vertical="center" wrapText="1"/>
    </xf>
    <xf numFmtId="172" fontId="34" fillId="0" borderId="13" xfId="0" applyFont="1" applyFill="1" applyBorder="1" applyAlignment="1">
      <alignment horizontal="center" vertical="center" wrapText="1"/>
    </xf>
    <xf numFmtId="172" fontId="66" fillId="0" borderId="25" xfId="0" applyFont="1" applyBorder="1" applyAlignment="1">
      <alignment horizontal="center" vertical="top" wrapText="1"/>
    </xf>
    <xf numFmtId="172" fontId="66" fillId="0" borderId="50" xfId="0" applyFont="1" applyBorder="1" applyAlignment="1">
      <alignment horizontal="center" vertical="top" wrapText="1"/>
    </xf>
    <xf numFmtId="172" fontId="66" fillId="0" borderId="21" xfId="0" applyFont="1" applyBorder="1" applyAlignment="1">
      <alignment horizontal="center" vertical="top" wrapText="1"/>
    </xf>
    <xf numFmtId="172" fontId="66" fillId="0" borderId="25" xfId="0" applyFont="1" applyBorder="1" applyAlignment="1">
      <alignment vertical="top" wrapText="1"/>
    </xf>
    <xf numFmtId="172" fontId="66" fillId="0" borderId="21" xfId="0" applyFont="1" applyBorder="1" applyAlignment="1">
      <alignment vertical="top" wrapText="1"/>
    </xf>
    <xf numFmtId="172" fontId="72" fillId="0" borderId="23" xfId="0" applyFont="1" applyFill="1" applyBorder="1" applyAlignment="1">
      <alignment horizontal="center" vertical="top"/>
    </xf>
    <xf numFmtId="172" fontId="72" fillId="0" borderId="14" xfId="0" applyFont="1" applyFill="1" applyBorder="1" applyAlignment="1">
      <alignment horizontal="center" vertical="top"/>
    </xf>
    <xf numFmtId="172" fontId="67" fillId="20" borderId="11" xfId="0" applyFont="1" applyFill="1" applyBorder="1" applyAlignment="1">
      <alignment horizontal="center" vertical="center" wrapText="1"/>
    </xf>
    <xf numFmtId="172" fontId="67" fillId="20" borderId="12" xfId="0" applyFont="1" applyFill="1" applyBorder="1" applyAlignment="1">
      <alignment horizontal="center" vertical="center" wrapText="1"/>
    </xf>
    <xf numFmtId="172" fontId="67" fillId="20" borderId="13" xfId="0" applyFont="1" applyFill="1" applyBorder="1" applyAlignment="1">
      <alignment horizontal="center" vertical="center" wrapText="1"/>
    </xf>
    <xf numFmtId="172" fontId="34" fillId="0" borderId="51" xfId="0" applyFont="1" applyFill="1" applyBorder="1" applyAlignment="1">
      <alignment horizontal="center" vertical="center" wrapText="1"/>
    </xf>
    <xf numFmtId="172" fontId="34" fillId="0" borderId="52" xfId="0" applyFont="1" applyFill="1" applyBorder="1" applyAlignment="1">
      <alignment horizontal="center" vertical="center" wrapText="1"/>
    </xf>
    <xf numFmtId="172" fontId="34" fillId="0" borderId="35" xfId="0" applyFont="1" applyFill="1" applyBorder="1" applyAlignment="1">
      <alignment horizontal="center" vertical="center" wrapText="1"/>
    </xf>
    <xf numFmtId="172" fontId="33" fillId="0" borderId="11" xfId="0" applyFont="1" applyFill="1" applyBorder="1" applyAlignment="1">
      <alignment horizontal="center" vertical="center" wrapText="1"/>
    </xf>
    <xf numFmtId="172" fontId="33" fillId="0" borderId="12" xfId="0" applyFont="1" applyFill="1" applyBorder="1" applyAlignment="1">
      <alignment horizontal="center" vertical="center" wrapText="1"/>
    </xf>
    <xf numFmtId="172" fontId="33" fillId="0" borderId="13" xfId="0" applyFont="1" applyFill="1" applyBorder="1" applyAlignment="1">
      <alignment horizontal="center" vertical="center" wrapText="1"/>
    </xf>
    <xf numFmtId="172" fontId="3" fillId="0" borderId="0" xfId="0" applyNumberFormat="1" applyFont="1" applyBorder="1" applyAlignment="1" applyProtection="1">
      <alignment vertical="center"/>
    </xf>
    <xf numFmtId="172" fontId="5" fillId="0" borderId="0" xfId="0" applyNumberFormat="1" applyFont="1" applyBorder="1" applyAlignment="1" applyProtection="1">
      <alignment horizontal="center" vertical="top" wrapText="1"/>
    </xf>
    <xf numFmtId="172" fontId="3" fillId="0" borderId="12" xfId="0" applyFont="1" applyBorder="1" applyAlignment="1">
      <alignment horizontal="center" vertical="center"/>
    </xf>
    <xf numFmtId="172" fontId="3" fillId="0" borderId="12" xfId="0" applyFont="1" applyBorder="1" applyAlignment="1">
      <alignment vertical="center"/>
    </xf>
    <xf numFmtId="172" fontId="3" fillId="0" borderId="11" xfId="0" applyFont="1" applyBorder="1" applyAlignment="1">
      <alignment horizontal="center" vertical="center"/>
    </xf>
    <xf numFmtId="172" fontId="3" fillId="0" borderId="13" xfId="0" applyFont="1" applyBorder="1" applyAlignment="1">
      <alignment horizontal="center" vertical="center"/>
    </xf>
    <xf numFmtId="172" fontId="3" fillId="0" borderId="27" xfId="0" applyFont="1" applyBorder="1" applyAlignment="1">
      <alignment vertical="center"/>
    </xf>
    <xf numFmtId="172" fontId="3" fillId="0" borderId="14" xfId="0" applyFont="1" applyBorder="1" applyAlignment="1">
      <alignment vertical="center"/>
    </xf>
    <xf numFmtId="172" fontId="3" fillId="0" borderId="13" xfId="0" quotePrefix="1" applyFont="1" applyBorder="1" applyAlignment="1">
      <alignment vertical="center"/>
    </xf>
    <xf numFmtId="172" fontId="3" fillId="0" borderId="10" xfId="0" quotePrefix="1" applyFont="1" applyBorder="1" applyAlignment="1">
      <alignment vertical="center"/>
    </xf>
    <xf numFmtId="172" fontId="3" fillId="0" borderId="10" xfId="0" applyFont="1" applyBorder="1" applyAlignment="1">
      <alignment horizontal="center" vertical="center"/>
    </xf>
    <xf numFmtId="172" fontId="3" fillId="0" borderId="0" xfId="0" applyFont="1" applyBorder="1" applyAlignment="1">
      <alignment vertical="center"/>
    </xf>
    <xf numFmtId="172" fontId="5" fillId="0" borderId="0" xfId="0" applyFont="1" applyBorder="1" applyAlignment="1">
      <alignment vertical="center"/>
    </xf>
    <xf numFmtId="172" fontId="7" fillId="0" borderId="0" xfId="0" applyNumberFormat="1" applyFont="1" applyBorder="1" applyAlignment="1" applyProtection="1">
      <alignment horizontal="center" vertical="center"/>
    </xf>
    <xf numFmtId="172" fontId="3" fillId="0" borderId="0" xfId="0" applyFont="1" applyBorder="1" applyAlignment="1">
      <alignment horizontal="center" vertical="center"/>
    </xf>
    <xf numFmtId="172" fontId="3" fillId="0" borderId="0" xfId="0" applyNumberFormat="1" applyFont="1" applyBorder="1" applyAlignment="1" applyProtection="1">
      <alignment horizontal="center" vertical="center"/>
    </xf>
    <xf numFmtId="172" fontId="5" fillId="0" borderId="0" xfId="0" applyFont="1" applyBorder="1" applyAlignment="1">
      <alignment horizontal="center" vertical="top" wrapText="1"/>
    </xf>
    <xf numFmtId="174" fontId="5" fillId="0" borderId="16" xfId="64" applyNumberFormat="1" applyFont="1" applyBorder="1" applyAlignment="1">
      <alignment horizontal="center" vertical="center"/>
    </xf>
    <xf numFmtId="172" fontId="3" fillId="0" borderId="11" xfId="0" applyFont="1" applyBorder="1" applyAlignment="1">
      <alignment horizontal="center" vertical="center" wrapText="1"/>
    </xf>
    <xf numFmtId="172" fontId="3" fillId="0" borderId="12" xfId="0" applyFont="1" applyBorder="1" applyAlignment="1">
      <alignment horizontal="center" vertical="center" wrapText="1"/>
    </xf>
    <xf numFmtId="172" fontId="3" fillId="20" borderId="0" xfId="0" applyNumberFormat="1" applyFont="1" applyFill="1" applyBorder="1" applyAlignment="1" applyProtection="1">
      <alignment horizontal="center" vertical="center"/>
    </xf>
    <xf numFmtId="172" fontId="3" fillId="0" borderId="45" xfId="0" applyFont="1" applyBorder="1" applyAlignment="1">
      <alignment horizontal="center" vertical="top"/>
    </xf>
    <xf numFmtId="172" fontId="3" fillId="0" borderId="0" xfId="0" applyFont="1" applyBorder="1" applyAlignment="1">
      <alignment horizontal="center" vertical="center" wrapText="1"/>
    </xf>
    <xf numFmtId="172" fontId="7" fillId="0" borderId="0" xfId="61" applyNumberFormat="1" applyFont="1" applyAlignment="1">
      <alignment horizontal="center"/>
    </xf>
    <xf numFmtId="172" fontId="7" fillId="18" borderId="0" xfId="61" applyNumberFormat="1" applyFont="1" applyFill="1" applyAlignment="1">
      <alignment horizontal="center"/>
    </xf>
    <xf numFmtId="172" fontId="7" fillId="18" borderId="0" xfId="61" applyNumberFormat="1" applyFont="1" applyFill="1" applyAlignment="1">
      <alignment horizontal="center" vertical="center" wrapText="1"/>
    </xf>
    <xf numFmtId="172" fontId="3" fillId="18" borderId="0" xfId="61" applyNumberFormat="1" applyFont="1" applyFill="1" applyAlignment="1">
      <alignment horizontal="center"/>
    </xf>
    <xf numFmtId="172" fontId="63" fillId="0" borderId="10" xfId="46" applyNumberFormat="1" applyBorder="1" applyAlignment="1">
      <alignment horizontal="center"/>
    </xf>
    <xf numFmtId="172" fontId="2" fillId="0" borderId="10" xfId="46" applyNumberFormat="1" applyFont="1" applyBorder="1" applyAlignment="1">
      <alignment horizontal="center"/>
    </xf>
  </cellXfs>
  <cellStyles count="69">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28" builtinId="3"/>
    <cellStyle name="Comma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xfId="0" builtinId="0"/>
    <cellStyle name="Normal 10" xfId="39"/>
    <cellStyle name="Normal 15" xfId="40"/>
    <cellStyle name="Normal 16" xfId="41"/>
    <cellStyle name="Normal 2" xfId="42"/>
    <cellStyle name="Normal 2 15" xfId="43"/>
    <cellStyle name="Normal 2 15 2" xfId="44"/>
    <cellStyle name="Normal 2 2" xfId="45"/>
    <cellStyle name="Normal 2 2 2" xfId="46"/>
    <cellStyle name="Normal 2 2 2 2" xfId="47"/>
    <cellStyle name="Normal 2 3" xfId="48"/>
    <cellStyle name="Normal 3" xfId="49"/>
    <cellStyle name="Normal 3 2" xfId="50"/>
    <cellStyle name="Normal 3 2 2" xfId="51"/>
    <cellStyle name="Normal 3 2 3" xfId="52"/>
    <cellStyle name="Normal 4" xfId="53"/>
    <cellStyle name="Normal 5" xfId="54"/>
    <cellStyle name="Normal 6" xfId="55"/>
    <cellStyle name="Normal 6 2" xfId="56"/>
    <cellStyle name="Normal 6 4" xfId="57"/>
    <cellStyle name="Normal 7" xfId="58"/>
    <cellStyle name="Normal 8" xfId="59"/>
    <cellStyle name="Normal 9 2" xfId="60"/>
    <cellStyle name="Normal_Sheet2" xfId="61"/>
    <cellStyle name="Note 2" xfId="62"/>
    <cellStyle name="Output 2" xfId="63"/>
    <cellStyle name="Percent" xfId="64" builtinId="5"/>
    <cellStyle name="Percent 10" xfId="65"/>
    <cellStyle name="Title 2" xfId="66"/>
    <cellStyle name="Total 2" xfId="67"/>
    <cellStyle name="Warning Text 2" xfId="6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IN"/>
              <a:t>Name of assignment</a:t>
            </a:r>
          </a:p>
        </c:rich>
      </c:tx>
      <c:overlay val="0"/>
    </c:title>
    <c:autoTitleDeleted val="0"/>
    <c:plotArea>
      <c:layout>
        <c:manualLayout>
          <c:layoutTarget val="inner"/>
          <c:xMode val="edge"/>
          <c:yMode val="edge"/>
          <c:x val="0.11558969624546851"/>
          <c:y val="0.12422705874902366"/>
          <c:w val="0.86488079028406006"/>
          <c:h val="0.58177900684666428"/>
        </c:manualLayout>
      </c:layout>
      <c:barChart>
        <c:barDir val="col"/>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0-B96B-404D-B602-F1E490919A5C}"/>
            </c:ext>
          </c:extLst>
        </c:ser>
        <c:dLbls>
          <c:showLegendKey val="0"/>
          <c:showVal val="0"/>
          <c:showCatName val="0"/>
          <c:showSerName val="0"/>
          <c:showPercent val="0"/>
          <c:showBubbleSize val="0"/>
        </c:dLbls>
        <c:gapWidth val="150"/>
        <c:axId val="670875488"/>
        <c:axId val="1"/>
      </c:barChart>
      <c:catAx>
        <c:axId val="670875488"/>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IN"/>
                  <a:t>Cost Element</a:t>
                </a:r>
              </a:p>
            </c:rich>
          </c:tx>
          <c:overlay val="0"/>
        </c:title>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IN"/>
                  <a:t>Capital cost in Rs. Cr.</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708754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1</xdr:row>
      <xdr:rowOff>0</xdr:rowOff>
    </xdr:from>
    <xdr:to>
      <xdr:col>6</xdr:col>
      <xdr:colOff>693420</xdr:colOff>
      <xdr:row>3</xdr:row>
      <xdr:rowOff>114300</xdr:rowOff>
    </xdr:to>
    <xdr:pic>
      <xdr:nvPicPr>
        <xdr:cNvPr id="429572" name="Picture 3" descr="logo_dashboard">
          <a:extLst>
            <a:ext uri="{FF2B5EF4-FFF2-40B4-BE49-F238E27FC236}">
              <a16:creationId xmlns:a16="http://schemas.microsoft.com/office/drawing/2014/main" id="{7D37980E-23F9-4323-86E2-36B0C0E8A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640" y="19050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365760</xdr:colOff>
      <xdr:row>3</xdr:row>
      <xdr:rowOff>38100</xdr:rowOff>
    </xdr:from>
    <xdr:to>
      <xdr:col>25</xdr:col>
      <xdr:colOff>365760</xdr:colOff>
      <xdr:row>4</xdr:row>
      <xdr:rowOff>7620</xdr:rowOff>
    </xdr:to>
    <xdr:cxnSp macro="">
      <xdr:nvCxnSpPr>
        <xdr:cNvPr id="459247" name="Straight Arrow Connector 2">
          <a:extLst>
            <a:ext uri="{FF2B5EF4-FFF2-40B4-BE49-F238E27FC236}">
              <a16:creationId xmlns:a16="http://schemas.microsoft.com/office/drawing/2014/main" id="{019CB105-B29C-44E2-94EA-646246776333}"/>
            </a:ext>
          </a:extLst>
        </xdr:cNvPr>
        <xdr:cNvCxnSpPr>
          <a:cxnSpLocks noChangeShapeType="1"/>
        </xdr:cNvCxnSpPr>
      </xdr:nvCxnSpPr>
      <xdr:spPr bwMode="auto">
        <a:xfrm rot="5400000">
          <a:off x="24890730" y="902970"/>
          <a:ext cx="220980" cy="0"/>
        </a:xfrm>
        <a:prstGeom prst="straightConnector1">
          <a:avLst/>
        </a:prstGeom>
        <a:noFill/>
        <a:ln w="9525"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464820</xdr:colOff>
      <xdr:row>94</xdr:row>
      <xdr:rowOff>114300</xdr:rowOff>
    </xdr:from>
    <xdr:to>
      <xdr:col>14</xdr:col>
      <xdr:colOff>289560</xdr:colOff>
      <xdr:row>111</xdr:row>
      <xdr:rowOff>15240</xdr:rowOff>
    </xdr:to>
    <xdr:graphicFrame macro="">
      <xdr:nvGraphicFramePr>
        <xdr:cNvPr id="803960" name="Chart 2">
          <a:extLst>
            <a:ext uri="{FF2B5EF4-FFF2-40B4-BE49-F238E27FC236}">
              <a16:creationId xmlns:a16="http://schemas.microsoft.com/office/drawing/2014/main" id="{E1A18B33-A0FF-4DC5-91F0-1B5AC1943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51.0.231\cetshare\1Formats\Capital%20cost\GST-Capital%20cost%20&amp;%20Pkg%20Cost\GST%20Format%20for%20Capital%20Cost%20&amp;%20TE%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20DRIVE/Assignment%20File/BSL/4880-Replacement%20of%20Balance%204%20nos.%20battery%20cyclones%20by%20ESPs%20for%20SP%20I,%20BSL/After%20DR%20Capital%20cost/Capital%20Cost%20R=0%20%20after%20D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cost"/>
      <sheetName val="capcost"/>
      <sheetName val="GM"/>
      <sheetName val="GM (2)"/>
      <sheetName val="GM(3)"/>
      <sheetName val="cash flow"/>
      <sheetName val="Finan.summary"/>
    </sheetNames>
    <sheetDataSet>
      <sheetData sheetId="0" refreshError="1">
        <row r="3">
          <cell r="E3" t="str">
            <v>1EURO=Rs.(with forward premium rate)</v>
          </cell>
          <cell r="F3">
            <v>74.878282187500005</v>
          </cell>
          <cell r="G3" t="str">
            <v>1USD=Rs.(with forward premium rate)</v>
          </cell>
          <cell r="H3">
            <v>68.096249999999998</v>
          </cell>
        </row>
      </sheetData>
      <sheetData sheetId="1" refreshError="1"/>
      <sheetData sheetId="2" refreshError="1"/>
      <sheetData sheetId="3" refreshError="1"/>
      <sheetData sheetId="4" refreshError="1"/>
      <sheetData sheetId="5" refreshError="1"/>
      <sheetData sheetId="6" refreshError="1">
        <row r="21">
          <cell r="G21">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_R0"/>
      <sheetName val="GM"/>
      <sheetName val="GM (2)"/>
      <sheetName val="GM(3)"/>
      <sheetName val="cash flow"/>
      <sheetName val="CC_R0"/>
      <sheetName val="Escalation"/>
      <sheetName val="Sheet1"/>
      <sheetName val="Sheet2"/>
      <sheetName val="MOM"/>
      <sheetName val="Sheet3"/>
      <sheetName val="Sheet4"/>
    </sheetNames>
    <sheetDataSet>
      <sheetData sheetId="0">
        <row r="2">
          <cell r="B2" t="str">
            <v>BOKARO STEEL PLANT</v>
          </cell>
        </row>
        <row r="3">
          <cell r="B3" t="str">
            <v>Replacement of Balance 4 nos. battery cyclones by ESPs for SP I, BSL</v>
          </cell>
        </row>
        <row r="43">
          <cell r="G43">
            <v>7665.308544397627</v>
          </cell>
        </row>
        <row r="46">
          <cell r="G46">
            <v>320</v>
          </cell>
        </row>
        <row r="50">
          <cell r="G50">
            <v>54</v>
          </cell>
        </row>
        <row r="57">
          <cell r="G57">
            <v>128.56</v>
          </cell>
        </row>
        <row r="133">
          <cell r="G133">
            <v>145.54055875652176</v>
          </cell>
        </row>
        <row r="148">
          <cell r="G148">
            <v>785.81224040000018</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AN28"/>
  <sheetViews>
    <sheetView workbookViewId="0">
      <selection activeCell="L13" sqref="L13"/>
    </sheetView>
  </sheetViews>
  <sheetFormatPr defaultColWidth="10.1796875" defaultRowHeight="15" x14ac:dyDescent="0.25"/>
  <cols>
    <col min="1" max="6" width="10.1796875" style="4"/>
    <col min="7" max="7" width="11.6328125" style="4" customWidth="1"/>
    <col min="8" max="9" width="10.1796875" style="4"/>
    <col min="10" max="10" width="13.453125" style="4" customWidth="1"/>
    <col min="11" max="16384" width="10.1796875" style="4"/>
  </cols>
  <sheetData>
    <row r="5" spans="1:40" ht="15.6" x14ac:dyDescent="0.3">
      <c r="G5" s="5" t="s">
        <v>20</v>
      </c>
      <c r="H5" s="5"/>
      <c r="J5" s="6"/>
    </row>
    <row r="6" spans="1:40" ht="15.6" x14ac:dyDescent="0.3">
      <c r="G6" s="5"/>
      <c r="H6" s="5"/>
      <c r="J6" s="6"/>
    </row>
    <row r="7" spans="1:40" ht="17.399999999999999" x14ac:dyDescent="0.3">
      <c r="A7" s="1081" t="s">
        <v>186</v>
      </c>
      <c r="B7" s="1081"/>
      <c r="C7" s="1081"/>
      <c r="D7" s="1081"/>
      <c r="E7" s="1081"/>
      <c r="F7" s="1081"/>
      <c r="G7" s="1081"/>
      <c r="H7" s="5"/>
      <c r="J7" s="6"/>
    </row>
    <row r="8" spans="1:40" ht="17.399999999999999" x14ac:dyDescent="0.3">
      <c r="A8" s="1082" t="e">
        <f>#REF!</f>
        <v>#REF!</v>
      </c>
      <c r="B8" s="1082"/>
      <c r="C8" s="1082"/>
      <c r="D8" s="1082"/>
      <c r="E8" s="1082"/>
      <c r="F8" s="1082"/>
      <c r="G8" s="1082"/>
      <c r="H8" s="5"/>
      <c r="J8" s="7"/>
    </row>
    <row r="9" spans="1:40" ht="24" customHeight="1" x14ac:dyDescent="0.3">
      <c r="A9" s="1083" t="e">
        <f>#REF!</f>
        <v>#REF!</v>
      </c>
      <c r="B9" s="1083"/>
      <c r="C9" s="1083"/>
      <c r="D9" s="1083"/>
      <c r="E9" s="1083"/>
      <c r="F9" s="1083"/>
      <c r="G9" s="1083"/>
      <c r="H9" s="5"/>
      <c r="J9" s="6"/>
    </row>
    <row r="10" spans="1:40" ht="27" customHeight="1" x14ac:dyDescent="0.25">
      <c r="A10" s="1084" t="s">
        <v>21</v>
      </c>
      <c r="B10" s="1084"/>
      <c r="C10" s="1084"/>
      <c r="D10" s="1084"/>
      <c r="E10" s="1084"/>
      <c r="F10" s="1084"/>
      <c r="G10" s="1084"/>
      <c r="H10" s="8"/>
    </row>
    <row r="11" spans="1:40" ht="19.5" customHeight="1" x14ac:dyDescent="0.25">
      <c r="B11" s="8"/>
      <c r="C11" s="8"/>
      <c r="D11" s="8"/>
      <c r="E11" s="8"/>
      <c r="F11" s="8"/>
      <c r="G11" s="9" t="e">
        <f>#REF!</f>
        <v>#REF!</v>
      </c>
      <c r="H11" s="8"/>
    </row>
    <row r="12" spans="1:40" s="14" customFormat="1" ht="20.25" customHeight="1" x14ac:dyDescent="0.25">
      <c r="A12" s="10" t="s">
        <v>22</v>
      </c>
      <c r="B12" s="11" t="s">
        <v>48</v>
      </c>
      <c r="C12" s="12"/>
      <c r="D12" s="12"/>
      <c r="E12" s="13"/>
      <c r="F12" s="10" t="s">
        <v>15</v>
      </c>
      <c r="G12" s="10" t="s">
        <v>19</v>
      </c>
      <c r="H12" s="1085" t="s">
        <v>23</v>
      </c>
      <c r="I12" s="1085"/>
      <c r="J12" s="1085"/>
      <c r="X12" s="15"/>
      <c r="Y12" s="16"/>
      <c r="AB12" s="16"/>
      <c r="AD12" s="15"/>
      <c r="AE12" s="16"/>
      <c r="AH12" s="16"/>
      <c r="AK12" s="14" t="s">
        <v>24</v>
      </c>
      <c r="AM12" s="14" t="s">
        <v>25</v>
      </c>
      <c r="AN12" s="16" t="e">
        <f>#REF!</f>
        <v>#REF!</v>
      </c>
    </row>
    <row r="13" spans="1:40" ht="31.5" customHeight="1" x14ac:dyDescent="0.25">
      <c r="A13" s="17">
        <v>1</v>
      </c>
      <c r="B13" s="1067" t="s">
        <v>47</v>
      </c>
      <c r="C13" s="1068"/>
      <c r="D13" s="1068"/>
      <c r="E13" s="1069"/>
      <c r="F13" s="30" t="s">
        <v>9</v>
      </c>
      <c r="G13" s="21">
        <v>454354.92000000004</v>
      </c>
      <c r="H13" s="1086"/>
      <c r="I13" s="1087"/>
      <c r="J13" s="1088"/>
      <c r="L13" s="8"/>
      <c r="R13" s="7"/>
      <c r="X13" s="7"/>
      <c r="Y13" s="19"/>
      <c r="AB13" s="19"/>
      <c r="AD13" s="7"/>
      <c r="AE13" s="19"/>
      <c r="AH13" s="19"/>
      <c r="AK13" s="4" t="s">
        <v>26</v>
      </c>
      <c r="AM13" s="4" t="s">
        <v>25</v>
      </c>
      <c r="AN13" s="19">
        <v>8.7878353006035521</v>
      </c>
    </row>
    <row r="14" spans="1:40" ht="19.5" customHeight="1" x14ac:dyDescent="0.25">
      <c r="A14" s="17">
        <v>2</v>
      </c>
      <c r="B14" s="1073" t="s">
        <v>27</v>
      </c>
      <c r="C14" s="1074"/>
      <c r="D14" s="1074"/>
      <c r="E14" s="1075"/>
      <c r="F14" s="30" t="s">
        <v>9</v>
      </c>
      <c r="G14" s="21">
        <v>19376.901000000002</v>
      </c>
      <c r="H14" s="1078" t="s">
        <v>28</v>
      </c>
      <c r="I14" s="1079"/>
      <c r="J14" s="1080"/>
      <c r="M14" s="8"/>
      <c r="N14" s="8"/>
      <c r="O14" s="8"/>
      <c r="R14" s="7"/>
      <c r="S14" s="20"/>
      <c r="X14" s="7"/>
      <c r="Y14" s="19"/>
      <c r="AA14" s="19"/>
      <c r="AB14" s="19"/>
      <c r="AD14" s="7"/>
      <c r="AE14" s="19"/>
      <c r="AF14" s="19"/>
      <c r="AG14" s="19"/>
      <c r="AH14" s="19"/>
      <c r="AK14" s="4" t="s">
        <v>29</v>
      </c>
      <c r="AM14" s="4" t="s">
        <v>30</v>
      </c>
      <c r="AN14" s="19">
        <v>9.279954077437349</v>
      </c>
    </row>
    <row r="15" spans="1:40" ht="19.5" customHeight="1" x14ac:dyDescent="0.25">
      <c r="A15" s="17">
        <v>3</v>
      </c>
      <c r="B15" s="1073" t="s">
        <v>31</v>
      </c>
      <c r="C15" s="1074"/>
      <c r="D15" s="1074"/>
      <c r="E15" s="1075"/>
      <c r="F15" s="30" t="s">
        <v>32</v>
      </c>
      <c r="G15" s="21">
        <v>213814080</v>
      </c>
      <c r="H15" s="1078" t="s">
        <v>28</v>
      </c>
      <c r="I15" s="1079"/>
      <c r="J15" s="1080"/>
      <c r="L15" s="8"/>
      <c r="R15" s="7"/>
      <c r="S15" s="20"/>
      <c r="X15" s="7"/>
      <c r="AA15" s="19"/>
      <c r="AB15" s="19"/>
      <c r="AD15" s="7"/>
      <c r="AF15" s="19"/>
      <c r="AG15" s="19"/>
      <c r="AH15" s="19"/>
      <c r="AK15" s="4" t="s">
        <v>33</v>
      </c>
      <c r="AM15" s="4" t="s">
        <v>30</v>
      </c>
      <c r="AN15" s="19" t="e">
        <f>AN12-AN13-AN14</f>
        <v>#REF!</v>
      </c>
    </row>
    <row r="16" spans="1:40" ht="38.25" customHeight="1" x14ac:dyDescent="0.25">
      <c r="A16" s="17">
        <v>4</v>
      </c>
      <c r="B16" s="1073" t="s">
        <v>34</v>
      </c>
      <c r="C16" s="1074"/>
      <c r="D16" s="1074"/>
      <c r="E16" s="1075"/>
      <c r="F16" s="30" t="s">
        <v>35</v>
      </c>
      <c r="G16" s="21">
        <v>18947.68</v>
      </c>
      <c r="H16" s="1076" t="s">
        <v>36</v>
      </c>
      <c r="I16" s="1076"/>
      <c r="J16" s="1076"/>
      <c r="L16" s="8"/>
      <c r="R16" s="7"/>
      <c r="S16" s="20"/>
      <c r="X16" s="7"/>
      <c r="AA16" s="19"/>
      <c r="AB16" s="19"/>
      <c r="AD16" s="7"/>
      <c r="AF16" s="19"/>
      <c r="AG16" s="19"/>
      <c r="AH16" s="19"/>
    </row>
    <row r="17" spans="1:40" ht="108" customHeight="1" x14ac:dyDescent="0.25">
      <c r="A17" s="17">
        <v>5</v>
      </c>
      <c r="B17" s="1067" t="s">
        <v>37</v>
      </c>
      <c r="C17" s="1068"/>
      <c r="D17" s="1068"/>
      <c r="E17" s="1069"/>
      <c r="F17" s="30" t="s">
        <v>35</v>
      </c>
      <c r="G17" s="21">
        <f>16469+1117.77+213.62</f>
        <v>17800.39</v>
      </c>
      <c r="H17" s="1076" t="s">
        <v>38</v>
      </c>
      <c r="I17" s="1077"/>
      <c r="J17" s="1077"/>
      <c r="L17" s="8"/>
      <c r="R17" s="7"/>
      <c r="X17" s="7"/>
      <c r="AA17" s="19"/>
      <c r="AB17" s="19"/>
      <c r="AD17" s="7"/>
      <c r="AF17" s="19"/>
      <c r="AG17" s="19"/>
      <c r="AH17" s="19"/>
      <c r="AK17" s="4" t="s">
        <v>39</v>
      </c>
      <c r="AM17" s="4" t="s">
        <v>30</v>
      </c>
      <c r="AN17" s="19" t="e">
        <f>0.33*1.02*AN15</f>
        <v>#REF!</v>
      </c>
    </row>
    <row r="18" spans="1:40" ht="33.75" customHeight="1" x14ac:dyDescent="0.25">
      <c r="A18" s="17">
        <v>6</v>
      </c>
      <c r="B18" s="1073" t="s">
        <v>40</v>
      </c>
      <c r="C18" s="1074"/>
      <c r="D18" s="1074"/>
      <c r="E18" s="1075"/>
      <c r="F18" s="30" t="s">
        <v>35</v>
      </c>
      <c r="G18" s="21">
        <v>5778.25</v>
      </c>
      <c r="H18" s="1076" t="s">
        <v>36</v>
      </c>
      <c r="I18" s="1076"/>
      <c r="J18" s="1076"/>
      <c r="L18" s="8"/>
      <c r="R18" s="7"/>
      <c r="X18" s="7"/>
      <c r="AA18" s="19"/>
      <c r="AB18" s="19"/>
      <c r="AD18" s="7"/>
      <c r="AF18" s="19"/>
      <c r="AG18" s="19"/>
      <c r="AH18" s="19"/>
    </row>
    <row r="19" spans="1:40" ht="35.25" customHeight="1" x14ac:dyDescent="0.25">
      <c r="A19" s="17">
        <v>7</v>
      </c>
      <c r="B19" s="1073" t="s">
        <v>41</v>
      </c>
      <c r="C19" s="1074"/>
      <c r="D19" s="1074"/>
      <c r="E19" s="1075"/>
      <c r="F19" s="30" t="s">
        <v>42</v>
      </c>
      <c r="G19" s="21">
        <v>656.62</v>
      </c>
      <c r="H19" s="1076" t="s">
        <v>36</v>
      </c>
      <c r="I19" s="1076"/>
      <c r="J19" s="1076"/>
      <c r="L19" s="8"/>
      <c r="R19" s="7"/>
      <c r="S19" s="20"/>
      <c r="X19" s="7"/>
      <c r="AA19" s="19"/>
      <c r="AB19" s="19"/>
      <c r="AD19" s="7"/>
      <c r="AF19" s="19"/>
      <c r="AG19" s="19"/>
      <c r="AH19" s="19"/>
    </row>
    <row r="20" spans="1:40" s="14" customFormat="1" ht="20.25" customHeight="1" x14ac:dyDescent="0.25">
      <c r="A20" s="10" t="s">
        <v>13</v>
      </c>
      <c r="B20" s="11" t="s">
        <v>49</v>
      </c>
      <c r="C20" s="35"/>
      <c r="D20" s="35"/>
      <c r="E20" s="36"/>
      <c r="F20" s="33"/>
      <c r="G20" s="33"/>
      <c r="H20" s="34"/>
      <c r="X20" s="15"/>
      <c r="AA20" s="16"/>
      <c r="AB20" s="16"/>
      <c r="AD20" s="15"/>
      <c r="AF20" s="16"/>
      <c r="AG20" s="16"/>
      <c r="AH20" s="16"/>
    </row>
    <row r="21" spans="1:40" ht="37.5" customHeight="1" x14ac:dyDescent="0.25">
      <c r="A21" s="18">
        <v>1</v>
      </c>
      <c r="B21" s="1067" t="s">
        <v>46</v>
      </c>
      <c r="C21" s="1068"/>
      <c r="D21" s="1068"/>
      <c r="E21" s="1069"/>
      <c r="F21" s="30" t="s">
        <v>25</v>
      </c>
      <c r="G21" s="37">
        <f>G13*G17/10^7</f>
        <v>808.76947744187999</v>
      </c>
      <c r="H21" s="22"/>
      <c r="X21" s="7"/>
      <c r="AA21" s="19"/>
      <c r="AB21" s="19"/>
      <c r="AD21" s="7"/>
      <c r="AF21" s="19"/>
      <c r="AG21" s="19"/>
      <c r="AH21" s="19"/>
    </row>
    <row r="22" spans="1:40" ht="30.75" customHeight="1" x14ac:dyDescent="0.25">
      <c r="A22" s="18">
        <v>2</v>
      </c>
      <c r="B22" s="1073" t="s">
        <v>41</v>
      </c>
      <c r="C22" s="1074"/>
      <c r="D22" s="1074"/>
      <c r="E22" s="1075"/>
      <c r="F22" s="30" t="s">
        <v>25</v>
      </c>
      <c r="G22" s="21">
        <f>-(4200*G15/10^6*G19)/10^7</f>
        <v>-58.965732508031998</v>
      </c>
      <c r="H22" s="23"/>
      <c r="X22" s="7"/>
      <c r="AA22" s="19"/>
      <c r="AB22" s="19"/>
      <c r="AD22" s="7"/>
      <c r="AF22" s="19"/>
      <c r="AG22" s="19"/>
      <c r="AH22" s="19"/>
    </row>
    <row r="23" spans="1:40" ht="30.75" customHeight="1" x14ac:dyDescent="0.25">
      <c r="A23" s="18">
        <v>3</v>
      </c>
      <c r="B23" s="1073" t="s">
        <v>44</v>
      </c>
      <c r="C23" s="1074"/>
      <c r="D23" s="1074"/>
      <c r="E23" s="1075"/>
      <c r="F23" s="30" t="s">
        <v>25</v>
      </c>
      <c r="G23" s="21">
        <f>-G14*G18/10^7</f>
        <v>-11.196457820325001</v>
      </c>
      <c r="H23" s="23"/>
      <c r="X23" s="7"/>
      <c r="AA23" s="19"/>
      <c r="AB23" s="19"/>
      <c r="AD23" s="7"/>
      <c r="AF23" s="19"/>
      <c r="AG23" s="19"/>
      <c r="AH23" s="19"/>
    </row>
    <row r="24" spans="1:40" ht="34.5" customHeight="1" x14ac:dyDescent="0.25">
      <c r="A24" s="18"/>
      <c r="B24" s="1070" t="s">
        <v>50</v>
      </c>
      <c r="C24" s="1071"/>
      <c r="D24" s="1071"/>
      <c r="E24" s="1072"/>
      <c r="F24" s="10" t="s">
        <v>25</v>
      </c>
      <c r="G24" s="24">
        <f>SUM(G21:G23)</f>
        <v>738.60728711352294</v>
      </c>
      <c r="H24" s="23"/>
      <c r="X24" s="7"/>
      <c r="AA24" s="19"/>
      <c r="AB24" s="19"/>
      <c r="AD24" s="7"/>
      <c r="AF24" s="19"/>
      <c r="AG24" s="19"/>
      <c r="AH24" s="19"/>
    </row>
    <row r="25" spans="1:40" s="14" customFormat="1" ht="21" customHeight="1" x14ac:dyDescent="0.25">
      <c r="A25" s="10" t="s">
        <v>45</v>
      </c>
      <c r="B25" s="11" t="s">
        <v>51</v>
      </c>
      <c r="C25" s="35"/>
      <c r="D25" s="35"/>
      <c r="E25" s="36"/>
      <c r="F25" s="18"/>
      <c r="G25" s="25"/>
      <c r="H25" s="31"/>
      <c r="X25" s="15"/>
      <c r="AA25" s="16"/>
      <c r="AB25" s="16"/>
      <c r="AD25" s="15"/>
      <c r="AF25" s="16"/>
      <c r="AG25" s="16"/>
      <c r="AH25" s="16"/>
    </row>
    <row r="26" spans="1:40" ht="33.75" customHeight="1" x14ac:dyDescent="0.25">
      <c r="A26" s="18">
        <v>1</v>
      </c>
      <c r="B26" s="1067" t="s">
        <v>52</v>
      </c>
      <c r="C26" s="1068"/>
      <c r="D26" s="1068"/>
      <c r="E26" s="1069"/>
      <c r="F26" s="30" t="s">
        <v>43</v>
      </c>
      <c r="G26" s="38">
        <f>G13*G16/10^7</f>
        <v>860.89716305856018</v>
      </c>
      <c r="H26" s="23"/>
      <c r="X26" s="7"/>
      <c r="AA26" s="19"/>
      <c r="AB26" s="19"/>
      <c r="AD26" s="7"/>
      <c r="AF26" s="19"/>
      <c r="AG26" s="19"/>
      <c r="AH26" s="19"/>
    </row>
    <row r="27" spans="1:40" ht="29.25" customHeight="1" x14ac:dyDescent="0.3">
      <c r="A27" s="1064" t="s">
        <v>53</v>
      </c>
      <c r="B27" s="1065"/>
      <c r="C27" s="1065"/>
      <c r="D27" s="1065"/>
      <c r="E27" s="1066"/>
      <c r="F27" s="26" t="s">
        <v>25</v>
      </c>
      <c r="G27" s="27">
        <f>G26-G24</f>
        <v>122.28987594503724</v>
      </c>
      <c r="H27" s="28"/>
      <c r="J27" s="19"/>
      <c r="X27" s="7"/>
      <c r="AA27" s="19"/>
      <c r="AB27" s="19"/>
      <c r="AD27" s="7"/>
      <c r="AF27" s="19"/>
      <c r="AG27" s="19"/>
      <c r="AH27" s="19"/>
    </row>
    <row r="28" spans="1:40" x14ac:dyDescent="0.25">
      <c r="B28" s="29"/>
      <c r="C28" s="29"/>
      <c r="D28" s="29"/>
      <c r="E28" s="29"/>
      <c r="I28" s="19"/>
      <c r="J28" s="19"/>
      <c r="X28" s="7"/>
      <c r="AA28" s="19"/>
      <c r="AB28" s="19"/>
      <c r="AD28" s="7"/>
      <c r="AF28" s="19"/>
      <c r="AG28" s="19"/>
      <c r="AH28" s="19"/>
    </row>
  </sheetData>
  <mergeCells count="25">
    <mergeCell ref="A7:G7"/>
    <mergeCell ref="A8:G8"/>
    <mergeCell ref="A9:G9"/>
    <mergeCell ref="A10:G10"/>
    <mergeCell ref="H12:J12"/>
    <mergeCell ref="B13:E13"/>
    <mergeCell ref="H13:J13"/>
    <mergeCell ref="B14:E14"/>
    <mergeCell ref="H14:J14"/>
    <mergeCell ref="B15:E15"/>
    <mergeCell ref="H15:J15"/>
    <mergeCell ref="B16:E16"/>
    <mergeCell ref="H16:J16"/>
    <mergeCell ref="B17:E17"/>
    <mergeCell ref="H17:J17"/>
    <mergeCell ref="B18:E18"/>
    <mergeCell ref="H18:J18"/>
    <mergeCell ref="B19:E19"/>
    <mergeCell ref="H19:J19"/>
    <mergeCell ref="A27:E27"/>
    <mergeCell ref="B26:E26"/>
    <mergeCell ref="B24:E24"/>
    <mergeCell ref="B21:E21"/>
    <mergeCell ref="B22:E22"/>
    <mergeCell ref="B23:E23"/>
  </mergeCells>
  <pageMargins left="0.51181102362204722" right="0.31496062992125984" top="0.74803149606299213" bottom="0.74803149606299213"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773"/>
  <sheetViews>
    <sheetView topLeftCell="A13" workbookViewId="0">
      <selection activeCell="L13" sqref="L13"/>
    </sheetView>
  </sheetViews>
  <sheetFormatPr defaultColWidth="8.90625" defaultRowHeight="15" x14ac:dyDescent="0.25"/>
  <cols>
    <col min="1" max="1" width="5.453125" style="41" customWidth="1"/>
    <col min="2" max="2" width="6.6328125" style="41" customWidth="1"/>
    <col min="3" max="3" width="37.36328125" style="41" customWidth="1"/>
    <col min="4" max="4" width="12.54296875" style="41" customWidth="1"/>
    <col min="5" max="5" width="13.453125" style="41" customWidth="1"/>
    <col min="6" max="6" width="13.90625" style="41" customWidth="1"/>
    <col min="7" max="7" width="22.81640625" style="41" customWidth="1"/>
    <col min="8" max="16384" width="8.90625" style="41"/>
  </cols>
  <sheetData>
    <row r="2" spans="2:7" ht="19.5" customHeight="1" x14ac:dyDescent="0.25">
      <c r="B2" s="39"/>
      <c r="C2" s="39"/>
      <c r="D2" s="1089" t="s">
        <v>20</v>
      </c>
      <c r="E2" s="1089"/>
      <c r="F2" s="40"/>
      <c r="G2" s="40"/>
    </row>
    <row r="3" spans="2:7" ht="21" customHeight="1" x14ac:dyDescent="0.25">
      <c r="B3" s="1090" t="s">
        <v>17</v>
      </c>
      <c r="C3" s="1090"/>
      <c r="D3" s="1090"/>
      <c r="E3" s="1090"/>
      <c r="F3" s="42"/>
      <c r="G3" s="42"/>
    </row>
    <row r="4" spans="2:7" ht="21.75" customHeight="1" x14ac:dyDescent="0.25">
      <c r="B4" s="1091" t="e">
        <f>#REF!</f>
        <v>#REF!</v>
      </c>
      <c r="C4" s="1091"/>
      <c r="D4" s="1091"/>
      <c r="E4" s="1091"/>
    </row>
    <row r="5" spans="2:7" ht="39" customHeight="1" x14ac:dyDescent="0.25">
      <c r="B5" s="1091" t="e">
        <f>#REF!</f>
        <v>#REF!</v>
      </c>
      <c r="C5" s="1091"/>
      <c r="D5" s="1091"/>
      <c r="E5" s="1091"/>
      <c r="F5" s="43"/>
      <c r="G5" s="44"/>
    </row>
    <row r="6" spans="2:7" ht="21.75" customHeight="1" x14ac:dyDescent="0.25">
      <c r="B6" s="1092" t="s">
        <v>54</v>
      </c>
      <c r="C6" s="1092"/>
      <c r="D6" s="1092"/>
      <c r="E6" s="1092"/>
      <c r="F6" s="43"/>
      <c r="G6" s="45"/>
    </row>
    <row r="7" spans="2:7" ht="14.25" customHeight="1" x14ac:dyDescent="0.25">
      <c r="F7" s="43"/>
      <c r="G7" s="45"/>
    </row>
    <row r="8" spans="2:7" ht="21" customHeight="1" x14ac:dyDescent="0.25">
      <c r="B8" s="4"/>
      <c r="C8" s="46" t="e">
        <f>#REF!</f>
        <v>#REF!</v>
      </c>
      <c r="D8" s="8"/>
      <c r="E8" s="8"/>
      <c r="F8" s="43"/>
      <c r="G8" s="45"/>
    </row>
    <row r="9" spans="2:7" ht="21.75" customHeight="1" x14ac:dyDescent="0.25">
      <c r="B9" s="47" t="s">
        <v>55</v>
      </c>
      <c r="C9" s="32" t="s">
        <v>48</v>
      </c>
      <c r="D9" s="10" t="s">
        <v>15</v>
      </c>
      <c r="E9" s="10" t="s">
        <v>19</v>
      </c>
      <c r="F9" s="48"/>
      <c r="G9" s="48"/>
    </row>
    <row r="10" spans="2:7" ht="39.75" customHeight="1" x14ac:dyDescent="0.25">
      <c r="B10" s="18">
        <v>1</v>
      </c>
      <c r="C10" s="55" t="s">
        <v>56</v>
      </c>
      <c r="D10" s="30" t="s">
        <v>9</v>
      </c>
      <c r="E10" s="21">
        <v>819936</v>
      </c>
      <c r="F10" s="56"/>
      <c r="G10" s="56"/>
    </row>
    <row r="11" spans="2:7" ht="39.75" customHeight="1" x14ac:dyDescent="0.25">
      <c r="B11" s="18">
        <v>2</v>
      </c>
      <c r="C11" s="55" t="s">
        <v>57</v>
      </c>
      <c r="D11" s="30" t="s">
        <v>9</v>
      </c>
      <c r="E11" s="21">
        <v>536937</v>
      </c>
      <c r="F11" s="56"/>
      <c r="G11" s="56"/>
    </row>
    <row r="12" spans="2:7" ht="36" customHeight="1" x14ac:dyDescent="0.25">
      <c r="B12" s="18">
        <v>3</v>
      </c>
      <c r="C12" s="55" t="s">
        <v>58</v>
      </c>
      <c r="D12" s="30" t="s">
        <v>9</v>
      </c>
      <c r="E12" s="21">
        <v>200000</v>
      </c>
      <c r="F12" s="56"/>
      <c r="G12" s="56"/>
    </row>
    <row r="13" spans="2:7" ht="39.75" customHeight="1" x14ac:dyDescent="0.25">
      <c r="B13" s="18">
        <v>4</v>
      </c>
      <c r="C13" s="55" t="s">
        <v>59</v>
      </c>
      <c r="D13" s="30" t="s">
        <v>9</v>
      </c>
      <c r="E13" s="21">
        <v>1196489</v>
      </c>
      <c r="F13" s="56"/>
      <c r="G13" s="56"/>
    </row>
    <row r="14" spans="2:7" ht="33.75" customHeight="1" x14ac:dyDescent="0.25">
      <c r="B14" s="18">
        <v>5</v>
      </c>
      <c r="C14" s="55" t="s">
        <v>60</v>
      </c>
      <c r="D14" s="30" t="s">
        <v>35</v>
      </c>
      <c r="E14" s="21">
        <v>28920</v>
      </c>
      <c r="F14" s="1093" t="s">
        <v>61</v>
      </c>
      <c r="G14" s="1094"/>
    </row>
    <row r="15" spans="2:7" ht="26.25" customHeight="1" x14ac:dyDescent="0.25">
      <c r="B15" s="18">
        <v>6</v>
      </c>
      <c r="C15" s="55" t="s">
        <v>62</v>
      </c>
      <c r="D15" s="30" t="s">
        <v>35</v>
      </c>
      <c r="E15" s="21">
        <v>15292</v>
      </c>
      <c r="F15" s="1095"/>
      <c r="G15" s="1096"/>
    </row>
    <row r="16" spans="2:7" ht="29.25" customHeight="1" x14ac:dyDescent="0.25">
      <c r="B16" s="18">
        <v>7</v>
      </c>
      <c r="C16" s="55" t="s">
        <v>63</v>
      </c>
      <c r="D16" s="30" t="s">
        <v>35</v>
      </c>
      <c r="E16" s="21">
        <v>4965</v>
      </c>
      <c r="F16" s="1097"/>
      <c r="G16" s="1098"/>
    </row>
    <row r="17" spans="2:12" ht="18.75" customHeight="1" x14ac:dyDescent="0.25">
      <c r="B17" s="10" t="s">
        <v>22</v>
      </c>
      <c r="C17" s="47" t="s">
        <v>71</v>
      </c>
      <c r="D17" s="33"/>
      <c r="E17" s="50"/>
    </row>
    <row r="18" spans="2:12" ht="25.5" customHeight="1" x14ac:dyDescent="0.25">
      <c r="B18" s="18">
        <v>1</v>
      </c>
      <c r="C18" s="55" t="s">
        <v>64</v>
      </c>
      <c r="D18" s="30" t="s">
        <v>25</v>
      </c>
      <c r="E18" s="37">
        <f>E10*E14/10^7</f>
        <v>2371.2549119999999</v>
      </c>
    </row>
    <row r="19" spans="2:12" ht="25.5" customHeight="1" x14ac:dyDescent="0.25">
      <c r="B19" s="18">
        <v>2</v>
      </c>
      <c r="C19" s="55" t="s">
        <v>65</v>
      </c>
      <c r="D19" s="30" t="s">
        <v>25</v>
      </c>
      <c r="E19" s="37">
        <f>E11*E16/10^7</f>
        <v>266.58922050000001</v>
      </c>
    </row>
    <row r="20" spans="2:12" ht="25.5" customHeight="1" x14ac:dyDescent="0.25">
      <c r="B20" s="18">
        <v>3</v>
      </c>
      <c r="C20" s="55" t="s">
        <v>66</v>
      </c>
      <c r="D20" s="30" t="s">
        <v>25</v>
      </c>
      <c r="E20" s="38">
        <f>E18+E19</f>
        <v>2637.8441324999999</v>
      </c>
    </row>
    <row r="21" spans="2:12" ht="19.5" customHeight="1" x14ac:dyDescent="0.25">
      <c r="B21" s="10" t="s">
        <v>13</v>
      </c>
      <c r="C21" s="47" t="s">
        <v>72</v>
      </c>
      <c r="D21" s="10"/>
      <c r="E21" s="24"/>
      <c r="F21" s="52"/>
      <c r="G21" s="52"/>
      <c r="H21" s="52"/>
      <c r="I21" s="52"/>
      <c r="J21" s="52"/>
      <c r="K21" s="52"/>
      <c r="L21" s="52"/>
    </row>
    <row r="22" spans="2:12" ht="33" customHeight="1" x14ac:dyDescent="0.25">
      <c r="B22" s="18">
        <v>1</v>
      </c>
      <c r="C22" s="55" t="s">
        <v>67</v>
      </c>
      <c r="D22" s="30" t="s">
        <v>25</v>
      </c>
      <c r="E22" s="37">
        <f>E12*E15/10^7</f>
        <v>305.83999999999997</v>
      </c>
      <c r="F22" s="52"/>
      <c r="G22" s="52"/>
      <c r="H22" s="52"/>
      <c r="I22" s="52"/>
      <c r="J22" s="52"/>
      <c r="K22" s="52"/>
      <c r="L22" s="52"/>
    </row>
    <row r="23" spans="2:12" ht="33" customHeight="1" x14ac:dyDescent="0.25">
      <c r="B23" s="18">
        <v>2</v>
      </c>
      <c r="C23" s="55" t="s">
        <v>68</v>
      </c>
      <c r="D23" s="30" t="s">
        <v>25</v>
      </c>
      <c r="E23" s="37">
        <f>E13*E16/10^7</f>
        <v>594.05678850000004</v>
      </c>
      <c r="F23" s="52"/>
      <c r="G23" s="52"/>
      <c r="H23" s="52"/>
      <c r="I23" s="52"/>
      <c r="J23" s="52"/>
      <c r="K23" s="52"/>
      <c r="L23" s="52"/>
    </row>
    <row r="24" spans="2:12" ht="20.25" customHeight="1" x14ac:dyDescent="0.25">
      <c r="B24" s="18"/>
      <c r="C24" s="49" t="s">
        <v>69</v>
      </c>
      <c r="D24" s="18" t="s">
        <v>25</v>
      </c>
      <c r="E24" s="51">
        <f>E22+E23</f>
        <v>899.89678849999996</v>
      </c>
      <c r="F24" s="52"/>
      <c r="G24" s="52"/>
      <c r="H24" s="52"/>
      <c r="I24" s="52"/>
      <c r="J24" s="52"/>
      <c r="K24" s="52"/>
      <c r="L24" s="52"/>
    </row>
    <row r="25" spans="2:12" ht="24.75" customHeight="1" x14ac:dyDescent="0.25">
      <c r="B25" s="10" t="s">
        <v>45</v>
      </c>
      <c r="C25" s="47" t="s">
        <v>70</v>
      </c>
      <c r="D25" s="10" t="s">
        <v>25</v>
      </c>
      <c r="E25" s="24">
        <f>E20-E24</f>
        <v>1737.9473439999999</v>
      </c>
      <c r="F25" s="52"/>
      <c r="G25" s="52"/>
      <c r="H25" s="52"/>
      <c r="I25" s="53"/>
      <c r="J25" s="52"/>
      <c r="K25" s="52"/>
      <c r="L25" s="52"/>
    </row>
    <row r="26" spans="2:12" x14ac:dyDescent="0.25">
      <c r="B26" s="52"/>
      <c r="C26" s="54"/>
      <c r="D26" s="52"/>
      <c r="E26" s="52"/>
      <c r="F26" s="52"/>
      <c r="G26" s="52"/>
      <c r="H26" s="52"/>
      <c r="I26" s="53"/>
      <c r="J26" s="52"/>
      <c r="K26" s="52"/>
      <c r="L26" s="52"/>
    </row>
    <row r="27" spans="2:12" x14ac:dyDescent="0.25">
      <c r="B27" s="52"/>
      <c r="C27" s="52"/>
      <c r="D27" s="52"/>
      <c r="E27" s="52"/>
      <c r="F27" s="52"/>
      <c r="G27" s="52"/>
      <c r="H27" s="52"/>
      <c r="I27" s="53"/>
      <c r="J27" s="52"/>
      <c r="K27" s="52"/>
      <c r="L27" s="52"/>
    </row>
    <row r="28" spans="2:12" x14ac:dyDescent="0.25">
      <c r="H28" s="52"/>
      <c r="I28" s="52"/>
      <c r="J28" s="52"/>
      <c r="K28" s="52"/>
      <c r="L28" s="52"/>
    </row>
    <row r="36" spans="2:3" x14ac:dyDescent="0.25">
      <c r="B36" s="52"/>
      <c r="C36" s="52"/>
    </row>
    <row r="37" spans="2:3" x14ac:dyDescent="0.25">
      <c r="B37" s="52"/>
      <c r="C37" s="52"/>
    </row>
    <row r="38" spans="2:3" x14ac:dyDescent="0.25">
      <c r="B38" s="52"/>
      <c r="C38" s="52"/>
    </row>
    <row r="39" spans="2:3" x14ac:dyDescent="0.25">
      <c r="B39" s="52"/>
      <c r="C39" s="52"/>
    </row>
    <row r="40" spans="2:3" x14ac:dyDescent="0.25">
      <c r="B40" s="52"/>
      <c r="C40" s="52"/>
    </row>
    <row r="41" spans="2:3" x14ac:dyDescent="0.25">
      <c r="B41" s="52"/>
      <c r="C41" s="52"/>
    </row>
    <row r="42" spans="2:3" x14ac:dyDescent="0.25">
      <c r="B42" s="52"/>
      <c r="C42" s="52"/>
    </row>
    <row r="43" spans="2:3" x14ac:dyDescent="0.25">
      <c r="B43" s="52"/>
      <c r="C43" s="52"/>
    </row>
    <row r="44" spans="2:3" x14ac:dyDescent="0.25">
      <c r="B44" s="52"/>
      <c r="C44" s="52"/>
    </row>
    <row r="45" spans="2:3" x14ac:dyDescent="0.25">
      <c r="B45" s="52"/>
      <c r="C45" s="52"/>
    </row>
    <row r="46" spans="2:3" x14ac:dyDescent="0.25">
      <c r="B46" s="52"/>
      <c r="C46" s="52"/>
    </row>
    <row r="47" spans="2:3" x14ac:dyDescent="0.25">
      <c r="B47" s="52"/>
      <c r="C47" s="52"/>
    </row>
    <row r="48" spans="2:3"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sheetData>
  <mergeCells count="6">
    <mergeCell ref="D2:E2"/>
    <mergeCell ref="B3:E3"/>
    <mergeCell ref="B4:E4"/>
    <mergeCell ref="B5:E5"/>
    <mergeCell ref="B6:E6"/>
    <mergeCell ref="F14:G16"/>
  </mergeCells>
  <pageMargins left="0.35433070866141736" right="0.11811023622047245" top="0.55118110236220474" bottom="0.55118110236220474" header="0.31496062992125984" footer="0.31496062992125984"/>
  <pageSetup scale="8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4"/>
  <sheetViews>
    <sheetView topLeftCell="A10" workbookViewId="0">
      <selection activeCell="L13" sqref="L13"/>
    </sheetView>
  </sheetViews>
  <sheetFormatPr defaultColWidth="8.90625" defaultRowHeight="15" x14ac:dyDescent="0.25"/>
  <cols>
    <col min="1" max="1" width="6.08984375" style="58" customWidth="1"/>
    <col min="2" max="2" width="28.54296875" style="58" customWidth="1"/>
    <col min="3" max="3" width="13.453125" style="58" customWidth="1"/>
    <col min="4" max="4" width="14.81640625" style="58" customWidth="1"/>
    <col min="5" max="5" width="14.36328125" style="58" customWidth="1"/>
    <col min="6" max="6" width="14.81640625" style="58" customWidth="1"/>
    <col min="7" max="7" width="18.81640625" style="58" customWidth="1"/>
    <col min="8" max="8" width="11.36328125" style="58" customWidth="1"/>
    <col min="9" max="9" width="8.90625" style="58"/>
    <col min="10" max="10" width="10.54296875" style="58" customWidth="1"/>
    <col min="11" max="16384" width="8.90625" style="58"/>
  </cols>
  <sheetData>
    <row r="1" spans="1:8" ht="19.5" customHeight="1" x14ac:dyDescent="0.25">
      <c r="A1" s="68"/>
      <c r="B1" s="68"/>
      <c r="C1" s="68"/>
      <c r="D1" s="68"/>
      <c r="E1" s="68"/>
      <c r="F1" s="69" t="s">
        <v>73</v>
      </c>
      <c r="G1" s="57"/>
    </row>
    <row r="2" spans="1:8" ht="19.5" customHeight="1" x14ac:dyDescent="0.25">
      <c r="A2" s="1099" t="e">
        <f>#REF!</f>
        <v>#REF!</v>
      </c>
      <c r="B2" s="1099"/>
      <c r="C2" s="1099"/>
      <c r="D2" s="1099"/>
      <c r="E2" s="1099"/>
      <c r="F2" s="1099"/>
      <c r="G2" s="57"/>
    </row>
    <row r="3" spans="1:8" ht="21" customHeight="1" x14ac:dyDescent="0.25">
      <c r="A3" s="1099" t="e">
        <f>#REF!</f>
        <v>#REF!</v>
      </c>
      <c r="B3" s="1099"/>
      <c r="C3" s="1099"/>
      <c r="D3" s="1099"/>
      <c r="E3" s="1099"/>
      <c r="F3" s="1099"/>
      <c r="G3" s="71"/>
    </row>
    <row r="4" spans="1:8" ht="21" customHeight="1" x14ac:dyDescent="0.25">
      <c r="A4" s="1099" t="e">
        <f>#REF!</f>
        <v>#REF!</v>
      </c>
      <c r="B4" s="1099"/>
      <c r="C4" s="1099"/>
      <c r="D4" s="1099"/>
      <c r="E4" s="1099"/>
      <c r="F4" s="1099"/>
      <c r="G4" s="71"/>
    </row>
    <row r="5" spans="1:8" ht="23.25" customHeight="1" x14ac:dyDescent="0.25">
      <c r="A5" s="1100" t="s">
        <v>54</v>
      </c>
      <c r="B5" s="1100"/>
      <c r="C5" s="1100"/>
      <c r="D5" s="1100"/>
      <c r="E5" s="1100"/>
      <c r="F5" s="1100"/>
      <c r="G5" s="72"/>
    </row>
    <row r="6" spans="1:8" ht="18" customHeight="1" x14ac:dyDescent="0.25">
      <c r="A6" s="73"/>
      <c r="B6" s="73"/>
      <c r="G6" s="72"/>
    </row>
    <row r="7" spans="1:8" ht="39" customHeight="1" x14ac:dyDescent="0.25">
      <c r="A7" s="74" t="s">
        <v>55</v>
      </c>
      <c r="B7" s="75" t="s">
        <v>0</v>
      </c>
      <c r="C7" s="60" t="s">
        <v>15</v>
      </c>
      <c r="D7" s="60" t="s">
        <v>74</v>
      </c>
      <c r="E7" s="76" t="s">
        <v>75</v>
      </c>
      <c r="F7" s="76" t="s">
        <v>76</v>
      </c>
      <c r="G7" s="77"/>
      <c r="H7" s="57"/>
    </row>
    <row r="8" spans="1:8" ht="22.5" customHeight="1" x14ac:dyDescent="0.25">
      <c r="A8" s="74"/>
      <c r="B8" s="62" t="s">
        <v>79</v>
      </c>
      <c r="C8" s="74"/>
      <c r="D8" s="60"/>
      <c r="E8" s="78"/>
      <c r="F8" s="76"/>
      <c r="G8" s="77"/>
      <c r="H8" s="57"/>
    </row>
    <row r="9" spans="1:8" ht="24.75" customHeight="1" x14ac:dyDescent="0.25">
      <c r="A9" s="79">
        <v>1</v>
      </c>
      <c r="B9" s="104" t="s">
        <v>81</v>
      </c>
      <c r="C9" s="105" t="s">
        <v>9</v>
      </c>
      <c r="D9" s="106">
        <v>1800000</v>
      </c>
      <c r="E9" s="107">
        <v>3183</v>
      </c>
      <c r="F9" s="80">
        <f>D9*E9/10^7</f>
        <v>572.94000000000005</v>
      </c>
      <c r="G9" s="81"/>
      <c r="H9" s="82"/>
    </row>
    <row r="10" spans="1:8" ht="30" customHeight="1" x14ac:dyDescent="0.25">
      <c r="A10" s="83">
        <v>2</v>
      </c>
      <c r="B10" s="108" t="s">
        <v>82</v>
      </c>
      <c r="C10" s="105" t="s">
        <v>9</v>
      </c>
      <c r="D10" s="109">
        <f>D9</f>
        <v>1800000</v>
      </c>
      <c r="E10" s="107">
        <v>229.87754934181763</v>
      </c>
      <c r="F10" s="80">
        <f>D10*E10/10^7</f>
        <v>41.377958881527171</v>
      </c>
      <c r="G10" s="84"/>
      <c r="H10" s="85"/>
    </row>
    <row r="11" spans="1:8" ht="38.25" customHeight="1" x14ac:dyDescent="0.25">
      <c r="A11" s="79">
        <v>3</v>
      </c>
      <c r="B11" s="112" t="s">
        <v>80</v>
      </c>
      <c r="C11" s="113"/>
      <c r="D11" s="114"/>
      <c r="E11" s="113"/>
      <c r="F11" s="87">
        <f>SUM(F9:F10)</f>
        <v>614.31795888152726</v>
      </c>
      <c r="G11" s="84"/>
      <c r="H11" s="85"/>
    </row>
    <row r="12" spans="1:8" ht="21.75" customHeight="1" x14ac:dyDescent="0.25">
      <c r="A12" s="79"/>
      <c r="B12" s="62" t="s">
        <v>83</v>
      </c>
      <c r="C12" s="59"/>
      <c r="D12" s="86"/>
      <c r="E12" s="59"/>
      <c r="F12" s="87"/>
      <c r="G12" s="84"/>
      <c r="H12" s="85"/>
    </row>
    <row r="13" spans="1:8" ht="35.25" customHeight="1" x14ac:dyDescent="0.25">
      <c r="A13" s="88">
        <v>4</v>
      </c>
      <c r="B13" s="67" t="s">
        <v>84</v>
      </c>
      <c r="C13" s="110" t="s">
        <v>9</v>
      </c>
      <c r="D13" s="111">
        <f>0.67*10^6</f>
        <v>670000</v>
      </c>
      <c r="E13" s="67">
        <v>6665</v>
      </c>
      <c r="F13" s="80">
        <f>D13*E13/10^7</f>
        <v>446.55500000000001</v>
      </c>
      <c r="G13" s="81"/>
      <c r="H13" s="85"/>
    </row>
    <row r="14" spans="1:8" ht="38.25" customHeight="1" x14ac:dyDescent="0.25">
      <c r="A14" s="88">
        <v>5</v>
      </c>
      <c r="B14" s="67" t="s">
        <v>85</v>
      </c>
      <c r="C14" s="110" t="s">
        <v>9</v>
      </c>
      <c r="D14" s="111">
        <f>0.57*10^6</f>
        <v>570000</v>
      </c>
      <c r="E14" s="67">
        <v>3500</v>
      </c>
      <c r="F14" s="80">
        <f>D14*E14/10^7</f>
        <v>199.5</v>
      </c>
      <c r="G14" s="81"/>
      <c r="H14" s="85"/>
    </row>
    <row r="15" spans="1:8" ht="38.25" customHeight="1" x14ac:dyDescent="0.25">
      <c r="A15" s="88">
        <v>6</v>
      </c>
      <c r="B15" s="67" t="s">
        <v>86</v>
      </c>
      <c r="C15" s="110" t="s">
        <v>9</v>
      </c>
      <c r="D15" s="111">
        <f>0.06*10^6</f>
        <v>60000</v>
      </c>
      <c r="E15" s="67">
        <v>3600</v>
      </c>
      <c r="F15" s="80">
        <f>D15*E15/10^7</f>
        <v>21.6</v>
      </c>
      <c r="G15" s="81"/>
      <c r="H15" s="85"/>
    </row>
    <row r="16" spans="1:8" ht="38.25" customHeight="1" x14ac:dyDescent="0.25">
      <c r="A16" s="88">
        <v>7</v>
      </c>
      <c r="B16" s="67" t="s">
        <v>87</v>
      </c>
      <c r="C16" s="110" t="s">
        <v>9</v>
      </c>
      <c r="D16" s="111">
        <f>0.5*10^6</f>
        <v>500000</v>
      </c>
      <c r="E16" s="67">
        <v>850</v>
      </c>
      <c r="F16" s="80">
        <f>D16*E16/10^7</f>
        <v>42.5</v>
      </c>
      <c r="G16" s="81"/>
      <c r="H16" s="85"/>
    </row>
    <row r="17" spans="1:17" ht="27" customHeight="1" x14ac:dyDescent="0.25">
      <c r="A17" s="88">
        <v>8</v>
      </c>
      <c r="B17" s="61" t="s">
        <v>77</v>
      </c>
      <c r="C17" s="76"/>
      <c r="D17" s="89">
        <f>SUM(D13:D16)</f>
        <v>1800000</v>
      </c>
      <c r="E17" s="66"/>
      <c r="F17" s="90">
        <f>SUM(F13:F16)</f>
        <v>710.15500000000009</v>
      </c>
      <c r="G17" s="84"/>
      <c r="H17" s="85"/>
    </row>
    <row r="18" spans="1:17" ht="26.25" customHeight="1" x14ac:dyDescent="0.25">
      <c r="A18" s="91">
        <v>9</v>
      </c>
      <c r="B18" s="92" t="s">
        <v>78</v>
      </c>
      <c r="C18" s="93"/>
      <c r="D18" s="59"/>
      <c r="E18" s="59"/>
      <c r="F18" s="87">
        <f>F17-F11</f>
        <v>95.837041118472825</v>
      </c>
      <c r="G18" s="57"/>
      <c r="H18" s="85"/>
    </row>
    <row r="19" spans="1:17" ht="19.5" customHeight="1" x14ac:dyDescent="0.25">
      <c r="G19" s="57"/>
      <c r="H19" s="85"/>
    </row>
    <row r="20" spans="1:17" ht="22.5" customHeight="1" x14ac:dyDescent="0.25">
      <c r="G20" s="57"/>
      <c r="H20" s="57"/>
    </row>
    <row r="21" spans="1:17" ht="22.5" customHeight="1" x14ac:dyDescent="0.25">
      <c r="G21" s="57"/>
      <c r="H21" s="57"/>
      <c r="J21" s="1101"/>
      <c r="K21" s="1101"/>
      <c r="L21" s="63"/>
    </row>
    <row r="22" spans="1:17" ht="33" customHeight="1" x14ac:dyDescent="0.25">
      <c r="G22" s="57"/>
      <c r="J22" s="94"/>
      <c r="K22" s="94"/>
      <c r="L22" s="63"/>
    </row>
    <row r="23" spans="1:17" ht="33" customHeight="1" x14ac:dyDescent="0.25">
      <c r="G23" s="57"/>
    </row>
    <row r="24" spans="1:17" ht="33" customHeight="1" x14ac:dyDescent="0.25">
      <c r="A24" s="95"/>
      <c r="B24" s="95"/>
      <c r="E24" s="57"/>
      <c r="F24" s="57"/>
      <c r="G24" s="57"/>
    </row>
    <row r="25" spans="1:17" ht="33" customHeight="1" x14ac:dyDescent="0.25">
      <c r="A25" s="95"/>
      <c r="B25" s="95"/>
      <c r="E25" s="57"/>
      <c r="F25" s="57"/>
      <c r="G25" s="57"/>
      <c r="J25" s="57"/>
      <c r="K25" s="57"/>
      <c r="L25" s="57"/>
      <c r="M25" s="57"/>
      <c r="N25" s="57"/>
      <c r="O25" s="57"/>
      <c r="P25" s="57"/>
      <c r="Q25" s="57"/>
    </row>
    <row r="26" spans="1:17" x14ac:dyDescent="0.25">
      <c r="A26" s="57"/>
      <c r="B26" s="3"/>
      <c r="C26" s="72"/>
      <c r="D26" s="57"/>
      <c r="E26" s="57"/>
      <c r="F26" s="57"/>
      <c r="G26" s="57"/>
      <c r="J26" s="96"/>
      <c r="K26" s="2"/>
      <c r="L26" s="2"/>
      <c r="M26" s="57"/>
      <c r="N26" s="2"/>
      <c r="O26" s="57"/>
      <c r="P26" s="57"/>
      <c r="Q26" s="57"/>
    </row>
    <row r="27" spans="1:17" x14ac:dyDescent="0.25">
      <c r="A27" s="57"/>
      <c r="B27" s="97"/>
      <c r="C27" s="98"/>
      <c r="D27" s="57"/>
      <c r="E27" s="57"/>
      <c r="F27" s="57"/>
      <c r="G27" s="57"/>
      <c r="J27" s="96"/>
      <c r="K27" s="2"/>
      <c r="L27" s="2"/>
      <c r="M27" s="57"/>
      <c r="N27" s="2"/>
      <c r="O27" s="57"/>
      <c r="P27" s="57"/>
      <c r="Q27" s="57"/>
    </row>
    <row r="28" spans="1:17" x14ac:dyDescent="0.25">
      <c r="A28" s="57"/>
      <c r="B28" s="57"/>
      <c r="C28" s="57"/>
      <c r="D28" s="57"/>
      <c r="E28" s="57"/>
      <c r="F28" s="57"/>
      <c r="G28" s="57"/>
      <c r="J28" s="96"/>
      <c r="K28" s="2"/>
      <c r="L28" s="2"/>
      <c r="M28" s="57"/>
      <c r="N28" s="2"/>
      <c r="O28" s="57"/>
      <c r="P28" s="57"/>
      <c r="Q28" s="57"/>
    </row>
    <row r="29" spans="1:17" x14ac:dyDescent="0.25">
      <c r="A29" s="57"/>
      <c r="B29" s="57"/>
      <c r="C29" s="57"/>
      <c r="D29" s="57"/>
      <c r="E29" s="57"/>
      <c r="F29" s="57"/>
      <c r="G29" s="57"/>
      <c r="J29" s="96"/>
      <c r="K29" s="2"/>
      <c r="L29" s="2"/>
      <c r="M29" s="57"/>
      <c r="N29" s="2"/>
      <c r="O29" s="57"/>
      <c r="P29" s="57"/>
      <c r="Q29" s="57"/>
    </row>
    <row r="30" spans="1:17" x14ac:dyDescent="0.25">
      <c r="A30" s="57"/>
      <c r="B30" s="57"/>
      <c r="C30" s="57"/>
      <c r="D30" s="57"/>
      <c r="E30" s="57"/>
      <c r="F30" s="57"/>
      <c r="G30" s="57"/>
      <c r="J30" s="96"/>
      <c r="K30" s="2"/>
      <c r="L30" s="2"/>
      <c r="M30" s="57"/>
      <c r="N30" s="2"/>
      <c r="O30" s="57"/>
      <c r="P30" s="57"/>
      <c r="Q30" s="57"/>
    </row>
    <row r="31" spans="1:17" x14ac:dyDescent="0.25">
      <c r="A31" s="57"/>
      <c r="B31" s="57"/>
      <c r="C31" s="57"/>
      <c r="D31" s="57"/>
      <c r="E31" s="57"/>
      <c r="F31" s="57"/>
      <c r="G31" s="57"/>
      <c r="J31" s="96"/>
      <c r="K31" s="2"/>
      <c r="L31" s="2"/>
      <c r="M31" s="57"/>
      <c r="N31" s="2"/>
      <c r="O31" s="57"/>
      <c r="P31" s="57"/>
      <c r="Q31" s="57"/>
    </row>
    <row r="32" spans="1:17" x14ac:dyDescent="0.25">
      <c r="A32" s="57"/>
      <c r="B32" s="57"/>
      <c r="C32" s="57"/>
      <c r="D32" s="57"/>
      <c r="E32" s="57"/>
      <c r="F32" s="57"/>
      <c r="G32" s="57"/>
      <c r="J32" s="96"/>
      <c r="K32" s="2"/>
      <c r="L32" s="2"/>
      <c r="M32" s="57"/>
      <c r="N32" s="2"/>
      <c r="O32" s="57"/>
      <c r="P32" s="57"/>
      <c r="Q32" s="57"/>
    </row>
    <row r="33" spans="1:17" x14ac:dyDescent="0.25">
      <c r="A33" s="57"/>
      <c r="B33" s="57"/>
      <c r="C33" s="57"/>
      <c r="D33" s="57"/>
      <c r="E33" s="57"/>
      <c r="F33" s="57"/>
      <c r="G33" s="57"/>
      <c r="J33" s="96"/>
      <c r="K33" s="2"/>
      <c r="L33" s="2"/>
      <c r="M33" s="57"/>
      <c r="N33" s="2"/>
      <c r="O33" s="57"/>
      <c r="P33" s="57"/>
      <c r="Q33" s="57"/>
    </row>
    <row r="34" spans="1:17" x14ac:dyDescent="0.25">
      <c r="A34" s="57"/>
      <c r="B34" s="57"/>
      <c r="C34" s="57"/>
      <c r="D34" s="57"/>
      <c r="E34" s="57"/>
      <c r="F34" s="57"/>
      <c r="G34" s="57"/>
      <c r="J34" s="96"/>
      <c r="K34" s="2"/>
      <c r="L34" s="2"/>
      <c r="M34" s="57"/>
      <c r="N34" s="2"/>
      <c r="O34" s="57"/>
      <c r="P34" s="57"/>
      <c r="Q34" s="57"/>
    </row>
    <row r="35" spans="1:17" x14ac:dyDescent="0.25">
      <c r="A35" s="57"/>
      <c r="B35" s="57"/>
      <c r="C35" s="57"/>
      <c r="D35" s="57"/>
      <c r="E35" s="57"/>
      <c r="F35" s="57"/>
      <c r="G35" s="57"/>
      <c r="J35" s="96"/>
      <c r="K35" s="2"/>
      <c r="L35" s="2"/>
      <c r="M35" s="57"/>
      <c r="N35" s="2"/>
      <c r="O35" s="57"/>
      <c r="P35" s="57"/>
      <c r="Q35" s="57"/>
    </row>
    <row r="36" spans="1:17" x14ac:dyDescent="0.25">
      <c r="A36" s="57"/>
      <c r="B36" s="57"/>
      <c r="C36" s="57"/>
      <c r="D36" s="57"/>
      <c r="E36" s="57"/>
      <c r="F36" s="57"/>
      <c r="G36" s="57"/>
      <c r="J36" s="96"/>
      <c r="K36" s="2"/>
      <c r="L36" s="2"/>
      <c r="M36" s="57"/>
      <c r="N36" s="2"/>
      <c r="O36" s="57"/>
      <c r="P36" s="57"/>
      <c r="Q36" s="57"/>
    </row>
    <row r="37" spans="1:17" ht="22.8" x14ac:dyDescent="0.25">
      <c r="B37" s="68"/>
      <c r="C37" s="68"/>
      <c r="D37" s="68"/>
      <c r="E37" s="1"/>
      <c r="G37" s="99"/>
      <c r="J37" s="2"/>
      <c r="K37" s="2"/>
      <c r="L37" s="2"/>
      <c r="M37" s="57"/>
      <c r="N37" s="2"/>
      <c r="O37" s="57"/>
      <c r="P37" s="2"/>
      <c r="Q37" s="57"/>
    </row>
    <row r="38" spans="1:17" ht="34.5" customHeight="1" x14ac:dyDescent="0.25">
      <c r="B38" s="70"/>
      <c r="C38" s="70"/>
      <c r="D38" s="70"/>
      <c r="E38" s="70"/>
      <c r="F38" s="70"/>
      <c r="G38" s="71"/>
      <c r="J38" s="2"/>
      <c r="K38" s="2"/>
      <c r="L38" s="2"/>
      <c r="M38" s="57"/>
      <c r="N38" s="57"/>
      <c r="O38" s="2"/>
      <c r="P38" s="57"/>
      <c r="Q38" s="57"/>
    </row>
    <row r="39" spans="1:17" x14ac:dyDescent="0.25">
      <c r="J39" s="2"/>
      <c r="K39" s="2"/>
      <c r="L39" s="2"/>
      <c r="M39" s="57"/>
      <c r="N39" s="100"/>
      <c r="O39" s="57"/>
      <c r="P39" s="100"/>
      <c r="Q39" s="57"/>
    </row>
    <row r="40" spans="1:17" x14ac:dyDescent="0.25">
      <c r="H40" s="101"/>
      <c r="I40" s="101"/>
      <c r="J40" s="2"/>
      <c r="K40" s="2"/>
      <c r="L40" s="2"/>
      <c r="M40" s="57"/>
      <c r="N40" s="2"/>
      <c r="O40" s="57"/>
      <c r="P40" s="57"/>
      <c r="Q40" s="57"/>
    </row>
    <row r="41" spans="1:17" x14ac:dyDescent="0.25">
      <c r="J41" s="57"/>
      <c r="K41" s="57"/>
      <c r="L41" s="57"/>
      <c r="M41" s="57"/>
      <c r="N41" s="57"/>
      <c r="O41" s="57"/>
      <c r="P41" s="57"/>
      <c r="Q41" s="57"/>
    </row>
    <row r="42" spans="1:17" x14ac:dyDescent="0.25">
      <c r="J42" s="57"/>
      <c r="K42" s="57"/>
      <c r="L42" s="57"/>
      <c r="M42" s="57"/>
      <c r="N42" s="57"/>
      <c r="O42" s="57"/>
      <c r="P42" s="57"/>
      <c r="Q42" s="57"/>
    </row>
    <row r="43" spans="1:17" x14ac:dyDescent="0.25">
      <c r="J43" s="57"/>
      <c r="K43" s="57"/>
      <c r="L43" s="57"/>
      <c r="M43" s="57"/>
      <c r="N43" s="57"/>
      <c r="O43" s="57"/>
      <c r="P43" s="57"/>
      <c r="Q43" s="57"/>
    </row>
    <row r="57" spans="1:9" x14ac:dyDescent="0.25">
      <c r="A57" s="57"/>
      <c r="B57" s="57"/>
      <c r="C57" s="57"/>
      <c r="D57" s="57"/>
    </row>
    <row r="58" spans="1:9" x14ac:dyDescent="0.25">
      <c r="A58" s="57"/>
      <c r="B58" s="57"/>
      <c r="C58" s="57"/>
      <c r="D58" s="57"/>
    </row>
    <row r="59" spans="1:9" x14ac:dyDescent="0.25">
      <c r="A59" s="57"/>
      <c r="B59" s="57"/>
      <c r="C59" s="57"/>
      <c r="D59" s="57"/>
    </row>
    <row r="60" spans="1:9" x14ac:dyDescent="0.25">
      <c r="A60" s="57"/>
      <c r="B60" s="57"/>
      <c r="C60" s="57"/>
      <c r="D60" s="57"/>
    </row>
    <row r="61" spans="1:9" x14ac:dyDescent="0.25">
      <c r="A61" s="57"/>
      <c r="B61" s="57"/>
      <c r="C61" s="57"/>
      <c r="D61" s="57"/>
    </row>
    <row r="62" spans="1:9" x14ac:dyDescent="0.25">
      <c r="A62" s="57"/>
      <c r="B62" s="57"/>
      <c r="C62" s="57"/>
      <c r="D62" s="57"/>
    </row>
    <row r="63" spans="1:9" ht="17.399999999999999" x14ac:dyDescent="0.25">
      <c r="A63" s="57"/>
      <c r="B63" s="57"/>
      <c r="C63" s="57"/>
      <c r="D63" s="57"/>
      <c r="I63" s="102"/>
    </row>
    <row r="64" spans="1:9" x14ac:dyDescent="0.25">
      <c r="A64" s="57"/>
      <c r="B64" s="57"/>
      <c r="C64" s="57"/>
      <c r="D64" s="57"/>
      <c r="I64" s="103"/>
    </row>
    <row r="65" spans="1:4" x14ac:dyDescent="0.25">
      <c r="A65" s="57"/>
      <c r="B65" s="57"/>
      <c r="C65" s="57"/>
      <c r="D65" s="57"/>
    </row>
    <row r="66" spans="1:4" x14ac:dyDescent="0.25">
      <c r="A66" s="57"/>
      <c r="B66" s="57"/>
      <c r="C66" s="57"/>
      <c r="D66" s="57"/>
    </row>
    <row r="67" spans="1:4" x14ac:dyDescent="0.25">
      <c r="A67" s="57"/>
      <c r="B67" s="57"/>
      <c r="C67" s="57"/>
      <c r="D67" s="57"/>
    </row>
    <row r="68" spans="1:4" x14ac:dyDescent="0.25">
      <c r="A68" s="57"/>
      <c r="B68" s="57"/>
      <c r="C68" s="57"/>
      <c r="D68" s="57"/>
    </row>
    <row r="69" spans="1:4" x14ac:dyDescent="0.25">
      <c r="A69" s="57"/>
      <c r="B69" s="57"/>
      <c r="C69" s="57"/>
      <c r="D69" s="57"/>
    </row>
    <row r="70" spans="1:4" x14ac:dyDescent="0.25">
      <c r="A70" s="57"/>
      <c r="B70" s="57"/>
      <c r="C70" s="57"/>
      <c r="D70" s="57"/>
    </row>
    <row r="71" spans="1:4" x14ac:dyDescent="0.25">
      <c r="A71" s="57"/>
      <c r="B71" s="57"/>
      <c r="C71" s="57"/>
      <c r="D71" s="57"/>
    </row>
    <row r="72" spans="1:4" x14ac:dyDescent="0.25">
      <c r="A72" s="57"/>
      <c r="B72" s="57"/>
      <c r="C72" s="57"/>
      <c r="D72" s="57"/>
    </row>
    <row r="73" spans="1:4" x14ac:dyDescent="0.25">
      <c r="A73" s="57"/>
      <c r="B73" s="57"/>
      <c r="C73" s="57"/>
      <c r="D73" s="57"/>
    </row>
    <row r="74" spans="1:4" x14ac:dyDescent="0.25">
      <c r="A74" s="57"/>
      <c r="B74" s="57"/>
      <c r="C74" s="57"/>
      <c r="D74" s="57"/>
    </row>
    <row r="75" spans="1:4" x14ac:dyDescent="0.25">
      <c r="A75" s="57"/>
      <c r="B75" s="57"/>
      <c r="C75" s="57"/>
      <c r="D75" s="57"/>
    </row>
    <row r="76" spans="1:4" x14ac:dyDescent="0.25">
      <c r="A76" s="57"/>
      <c r="B76" s="57"/>
      <c r="C76" s="57"/>
      <c r="D76" s="57"/>
    </row>
    <row r="77" spans="1:4" x14ac:dyDescent="0.25">
      <c r="A77" s="57"/>
      <c r="B77" s="57"/>
      <c r="C77" s="57"/>
      <c r="D77" s="57"/>
    </row>
    <row r="78" spans="1:4" x14ac:dyDescent="0.25">
      <c r="A78" s="57"/>
      <c r="B78" s="57"/>
      <c r="C78" s="57"/>
      <c r="D78" s="57"/>
    </row>
    <row r="79" spans="1:4" x14ac:dyDescent="0.25">
      <c r="A79" s="57"/>
      <c r="B79" s="57"/>
      <c r="C79" s="57"/>
      <c r="D79" s="57"/>
    </row>
    <row r="80" spans="1:4" x14ac:dyDescent="0.25">
      <c r="A80" s="57"/>
      <c r="B80" s="57"/>
      <c r="C80" s="57"/>
      <c r="D80" s="57"/>
    </row>
    <row r="81" spans="1:4" x14ac:dyDescent="0.25">
      <c r="A81" s="57"/>
      <c r="B81" s="57"/>
      <c r="C81" s="57"/>
      <c r="D81" s="57"/>
    </row>
    <row r="82" spans="1:4" x14ac:dyDescent="0.25">
      <c r="A82" s="57"/>
      <c r="B82" s="57"/>
      <c r="C82" s="57"/>
      <c r="D82" s="57"/>
    </row>
    <row r="83" spans="1:4" x14ac:dyDescent="0.25">
      <c r="A83" s="57"/>
      <c r="B83" s="57"/>
      <c r="C83" s="57"/>
      <c r="D83" s="57"/>
    </row>
    <row r="84" spans="1:4" x14ac:dyDescent="0.25">
      <c r="A84" s="57"/>
      <c r="B84" s="57"/>
      <c r="C84" s="57"/>
      <c r="D84" s="57"/>
    </row>
    <row r="85" spans="1:4" x14ac:dyDescent="0.25">
      <c r="A85" s="57"/>
      <c r="B85" s="57"/>
      <c r="C85" s="57"/>
      <c r="D85" s="57"/>
    </row>
    <row r="86" spans="1:4" x14ac:dyDescent="0.25">
      <c r="A86" s="57"/>
      <c r="B86" s="57"/>
      <c r="C86" s="57"/>
      <c r="D86" s="57"/>
    </row>
    <row r="87" spans="1:4" x14ac:dyDescent="0.25">
      <c r="A87" s="57"/>
      <c r="B87" s="57"/>
      <c r="C87" s="57"/>
      <c r="D87" s="57"/>
    </row>
    <row r="88" spans="1:4" x14ac:dyDescent="0.25">
      <c r="A88" s="57"/>
      <c r="B88" s="57"/>
      <c r="C88" s="57"/>
      <c r="D88" s="57"/>
    </row>
    <row r="89" spans="1:4" x14ac:dyDescent="0.25">
      <c r="A89" s="57"/>
      <c r="B89" s="57"/>
      <c r="C89" s="57"/>
      <c r="D89" s="57"/>
    </row>
    <row r="90" spans="1:4" x14ac:dyDescent="0.25">
      <c r="A90" s="57"/>
      <c r="B90" s="57"/>
      <c r="C90" s="57"/>
      <c r="D90" s="57"/>
    </row>
    <row r="91" spans="1:4" x14ac:dyDescent="0.25">
      <c r="A91" s="57"/>
      <c r="B91" s="57"/>
      <c r="C91" s="57"/>
      <c r="D91" s="57"/>
    </row>
    <row r="92" spans="1:4" x14ac:dyDescent="0.25">
      <c r="A92" s="57"/>
      <c r="B92" s="57"/>
      <c r="C92" s="57"/>
      <c r="D92" s="57"/>
    </row>
    <row r="93" spans="1:4" x14ac:dyDescent="0.25">
      <c r="A93" s="57"/>
      <c r="B93" s="57"/>
      <c r="C93" s="57"/>
      <c r="D93" s="57"/>
    </row>
    <row r="94" spans="1:4" x14ac:dyDescent="0.25">
      <c r="A94" s="57"/>
      <c r="B94" s="57"/>
      <c r="C94" s="57"/>
      <c r="D94" s="57"/>
    </row>
    <row r="95" spans="1:4" x14ac:dyDescent="0.25">
      <c r="A95" s="57"/>
      <c r="B95" s="57"/>
      <c r="C95" s="57"/>
      <c r="D95" s="57"/>
    </row>
    <row r="96" spans="1:4" x14ac:dyDescent="0.25">
      <c r="A96" s="57"/>
      <c r="B96" s="57"/>
      <c r="C96" s="57"/>
      <c r="D96" s="57"/>
    </row>
    <row r="97" spans="1:4" x14ac:dyDescent="0.25">
      <c r="A97" s="57"/>
      <c r="B97" s="57"/>
      <c r="C97" s="57"/>
      <c r="D97" s="57"/>
    </row>
    <row r="98" spans="1:4" x14ac:dyDescent="0.25">
      <c r="A98" s="57"/>
      <c r="B98" s="57"/>
      <c r="C98" s="57"/>
      <c r="D98" s="57"/>
    </row>
    <row r="99" spans="1:4" x14ac:dyDescent="0.25">
      <c r="A99" s="57"/>
      <c r="B99" s="57"/>
      <c r="C99" s="57"/>
      <c r="D99" s="57"/>
    </row>
    <row r="100" spans="1:4" x14ac:dyDescent="0.25">
      <c r="A100" s="57"/>
      <c r="B100" s="57"/>
      <c r="C100" s="57"/>
      <c r="D100" s="57"/>
    </row>
    <row r="101" spans="1:4" x14ac:dyDescent="0.25">
      <c r="A101" s="57"/>
      <c r="B101" s="57"/>
      <c r="C101" s="57"/>
      <c r="D101" s="57"/>
    </row>
    <row r="102" spans="1:4" x14ac:dyDescent="0.25">
      <c r="A102" s="57"/>
      <c r="B102" s="57"/>
      <c r="C102" s="57"/>
      <c r="D102" s="57"/>
    </row>
    <row r="103" spans="1:4" x14ac:dyDescent="0.25">
      <c r="A103" s="57"/>
      <c r="B103" s="57"/>
      <c r="C103" s="57"/>
      <c r="D103" s="57"/>
    </row>
    <row r="104" spans="1:4" x14ac:dyDescent="0.25">
      <c r="A104" s="57"/>
      <c r="B104" s="57"/>
      <c r="C104" s="57"/>
      <c r="D104" s="57"/>
    </row>
    <row r="105" spans="1:4" x14ac:dyDescent="0.25">
      <c r="A105" s="57"/>
      <c r="B105" s="57"/>
      <c r="C105" s="57"/>
      <c r="D105" s="57"/>
    </row>
    <row r="106" spans="1:4" x14ac:dyDescent="0.25">
      <c r="A106" s="57"/>
      <c r="B106" s="57"/>
      <c r="C106" s="57"/>
      <c r="D106" s="57"/>
    </row>
    <row r="107" spans="1:4" x14ac:dyDescent="0.25">
      <c r="A107" s="57"/>
      <c r="B107" s="57"/>
      <c r="C107" s="57"/>
      <c r="D107" s="57"/>
    </row>
    <row r="108" spans="1:4" x14ac:dyDescent="0.25">
      <c r="A108" s="57"/>
      <c r="B108" s="57"/>
      <c r="C108" s="57"/>
      <c r="D108" s="57"/>
    </row>
    <row r="109" spans="1:4" x14ac:dyDescent="0.25">
      <c r="A109" s="57"/>
      <c r="B109" s="57"/>
      <c r="C109" s="57"/>
      <c r="D109" s="57"/>
    </row>
    <row r="110" spans="1:4" x14ac:dyDescent="0.25">
      <c r="A110" s="57"/>
      <c r="B110" s="57"/>
      <c r="C110" s="57"/>
      <c r="D110" s="57"/>
    </row>
    <row r="111" spans="1:4" x14ac:dyDescent="0.25">
      <c r="A111" s="57"/>
      <c r="B111" s="57"/>
      <c r="C111" s="57"/>
      <c r="D111" s="57"/>
    </row>
    <row r="112" spans="1:4" x14ac:dyDescent="0.25">
      <c r="A112" s="57"/>
      <c r="B112" s="57"/>
      <c r="C112" s="57"/>
      <c r="D112" s="57"/>
    </row>
    <row r="113" spans="1:4" x14ac:dyDescent="0.25">
      <c r="A113" s="57"/>
      <c r="B113" s="57"/>
      <c r="C113" s="57"/>
      <c r="D113" s="57"/>
    </row>
    <row r="114" spans="1:4" x14ac:dyDescent="0.25">
      <c r="A114" s="57"/>
      <c r="B114" s="57"/>
      <c r="C114" s="57"/>
      <c r="D114" s="57"/>
    </row>
    <row r="115" spans="1:4" x14ac:dyDescent="0.25">
      <c r="A115" s="57"/>
      <c r="B115" s="57"/>
      <c r="C115" s="57"/>
      <c r="D115" s="57"/>
    </row>
    <row r="116" spans="1:4" x14ac:dyDescent="0.25">
      <c r="A116" s="57"/>
      <c r="B116" s="57"/>
      <c r="C116" s="57"/>
      <c r="D116" s="57"/>
    </row>
    <row r="117" spans="1:4" x14ac:dyDescent="0.25">
      <c r="A117" s="57"/>
      <c r="B117" s="57"/>
      <c r="C117" s="57"/>
      <c r="D117" s="57"/>
    </row>
    <row r="118" spans="1:4" x14ac:dyDescent="0.25">
      <c r="A118" s="57"/>
      <c r="B118" s="57"/>
      <c r="C118" s="57"/>
      <c r="D118" s="57"/>
    </row>
    <row r="119" spans="1:4" x14ac:dyDescent="0.25">
      <c r="A119" s="57"/>
      <c r="B119" s="57"/>
      <c r="C119" s="57"/>
      <c r="D119" s="57"/>
    </row>
    <row r="120" spans="1:4" x14ac:dyDescent="0.25">
      <c r="A120" s="57"/>
      <c r="B120" s="57"/>
      <c r="C120" s="57"/>
      <c r="D120" s="57"/>
    </row>
    <row r="121" spans="1:4" x14ac:dyDescent="0.25">
      <c r="A121" s="57"/>
      <c r="B121" s="57"/>
      <c r="C121" s="57"/>
      <c r="D121" s="57"/>
    </row>
    <row r="122" spans="1:4" x14ac:dyDescent="0.25">
      <c r="A122" s="57"/>
      <c r="B122" s="57"/>
      <c r="C122" s="57"/>
      <c r="D122" s="57"/>
    </row>
    <row r="123" spans="1:4" x14ac:dyDescent="0.25">
      <c r="A123" s="57"/>
      <c r="B123" s="57"/>
      <c r="C123" s="57"/>
      <c r="D123" s="57"/>
    </row>
    <row r="124" spans="1:4" x14ac:dyDescent="0.25">
      <c r="A124" s="57"/>
      <c r="B124" s="57"/>
      <c r="C124" s="57"/>
      <c r="D124" s="57"/>
    </row>
    <row r="125" spans="1:4" x14ac:dyDescent="0.25">
      <c r="A125" s="57"/>
      <c r="B125" s="57"/>
      <c r="C125" s="57"/>
      <c r="D125" s="57"/>
    </row>
    <row r="126" spans="1:4" x14ac:dyDescent="0.25">
      <c r="A126" s="57"/>
      <c r="B126" s="57"/>
      <c r="C126" s="57"/>
      <c r="D126" s="57"/>
    </row>
    <row r="127" spans="1:4" x14ac:dyDescent="0.25">
      <c r="A127" s="57"/>
      <c r="B127" s="57"/>
      <c r="C127" s="57"/>
      <c r="D127" s="57"/>
    </row>
    <row r="128" spans="1:4" x14ac:dyDescent="0.25">
      <c r="A128" s="57"/>
      <c r="B128" s="57"/>
      <c r="C128" s="57"/>
      <c r="D128" s="57"/>
    </row>
    <row r="129" spans="1:4" x14ac:dyDescent="0.25">
      <c r="A129" s="57"/>
      <c r="B129" s="57"/>
      <c r="C129" s="57"/>
      <c r="D129" s="57"/>
    </row>
    <row r="130" spans="1:4" x14ac:dyDescent="0.25">
      <c r="A130" s="57"/>
      <c r="B130" s="57"/>
      <c r="C130" s="57"/>
      <c r="D130" s="57"/>
    </row>
    <row r="131" spans="1:4" x14ac:dyDescent="0.25">
      <c r="A131" s="57"/>
      <c r="B131" s="57"/>
      <c r="C131" s="57"/>
      <c r="D131" s="57"/>
    </row>
    <row r="132" spans="1:4" x14ac:dyDescent="0.25">
      <c r="A132" s="57"/>
      <c r="B132" s="57"/>
      <c r="C132" s="57"/>
      <c r="D132" s="57"/>
    </row>
    <row r="133" spans="1:4" x14ac:dyDescent="0.25">
      <c r="A133" s="57"/>
      <c r="B133" s="57"/>
      <c r="C133" s="57"/>
      <c r="D133" s="57"/>
    </row>
    <row r="134" spans="1:4" x14ac:dyDescent="0.25">
      <c r="A134" s="57"/>
      <c r="B134" s="57"/>
      <c r="C134" s="57"/>
      <c r="D134" s="57"/>
    </row>
    <row r="135" spans="1:4" x14ac:dyDescent="0.25">
      <c r="A135" s="57"/>
      <c r="B135" s="57"/>
      <c r="C135" s="57"/>
      <c r="D135" s="57"/>
    </row>
    <row r="136" spans="1:4" x14ac:dyDescent="0.25">
      <c r="A136" s="57"/>
      <c r="B136" s="57"/>
      <c r="C136" s="57"/>
      <c r="D136" s="57"/>
    </row>
    <row r="137" spans="1:4" x14ac:dyDescent="0.25">
      <c r="A137" s="57"/>
      <c r="B137" s="57"/>
      <c r="C137" s="57"/>
      <c r="D137" s="57"/>
    </row>
    <row r="138" spans="1:4" x14ac:dyDescent="0.25">
      <c r="A138" s="57"/>
      <c r="B138" s="57"/>
      <c r="C138" s="57"/>
      <c r="D138" s="57"/>
    </row>
    <row r="139" spans="1:4" x14ac:dyDescent="0.25">
      <c r="A139" s="57"/>
      <c r="B139" s="57"/>
      <c r="C139" s="57"/>
      <c r="D139" s="57"/>
    </row>
    <row r="140" spans="1:4" x14ac:dyDescent="0.25">
      <c r="A140" s="57"/>
      <c r="B140" s="57"/>
      <c r="C140" s="57"/>
      <c r="D140" s="57"/>
    </row>
    <row r="141" spans="1:4" x14ac:dyDescent="0.25">
      <c r="A141" s="57"/>
      <c r="B141" s="57"/>
      <c r="C141" s="57"/>
      <c r="D141" s="57"/>
    </row>
    <row r="142" spans="1:4" x14ac:dyDescent="0.25">
      <c r="A142" s="57"/>
      <c r="B142" s="57"/>
      <c r="C142" s="57"/>
      <c r="D142" s="57"/>
    </row>
    <row r="143" spans="1:4" x14ac:dyDescent="0.25">
      <c r="A143" s="57"/>
      <c r="B143" s="57"/>
      <c r="C143" s="57"/>
      <c r="D143" s="57"/>
    </row>
    <row r="144" spans="1:4" x14ac:dyDescent="0.25">
      <c r="A144" s="57"/>
      <c r="B144" s="57"/>
      <c r="C144" s="57"/>
      <c r="D144" s="57"/>
    </row>
    <row r="145" spans="1:4" x14ac:dyDescent="0.25">
      <c r="A145" s="57"/>
      <c r="B145" s="57"/>
      <c r="C145" s="57"/>
      <c r="D145" s="57"/>
    </row>
    <row r="146" spans="1:4" x14ac:dyDescent="0.25">
      <c r="A146" s="57"/>
      <c r="B146" s="57"/>
      <c r="C146" s="57"/>
      <c r="D146" s="57"/>
    </row>
    <row r="147" spans="1:4" x14ac:dyDescent="0.25">
      <c r="A147" s="57"/>
      <c r="B147" s="57"/>
      <c r="C147" s="57"/>
      <c r="D147" s="57"/>
    </row>
    <row r="148" spans="1:4" x14ac:dyDescent="0.25">
      <c r="A148" s="57"/>
      <c r="B148" s="57"/>
      <c r="C148" s="57"/>
      <c r="D148" s="57"/>
    </row>
    <row r="149" spans="1:4" x14ac:dyDescent="0.25">
      <c r="A149" s="57"/>
      <c r="B149" s="57"/>
      <c r="C149" s="57"/>
      <c r="D149" s="57"/>
    </row>
    <row r="150" spans="1:4" x14ac:dyDescent="0.25">
      <c r="A150" s="57"/>
      <c r="B150" s="57"/>
      <c r="C150" s="57"/>
      <c r="D150" s="57"/>
    </row>
    <row r="151" spans="1:4" x14ac:dyDescent="0.25">
      <c r="A151" s="57"/>
      <c r="B151" s="57"/>
      <c r="C151" s="57"/>
      <c r="D151" s="57"/>
    </row>
    <row r="152" spans="1:4" x14ac:dyDescent="0.25">
      <c r="A152" s="57"/>
      <c r="B152" s="57"/>
      <c r="C152" s="57"/>
      <c r="D152" s="57"/>
    </row>
    <row r="153" spans="1:4" x14ac:dyDescent="0.25">
      <c r="A153" s="57"/>
      <c r="B153" s="57"/>
      <c r="C153" s="57"/>
      <c r="D153" s="57"/>
    </row>
    <row r="154" spans="1:4" x14ac:dyDescent="0.25">
      <c r="A154" s="57"/>
      <c r="B154" s="57"/>
      <c r="C154" s="57"/>
      <c r="D154" s="57"/>
    </row>
    <row r="155" spans="1:4" x14ac:dyDescent="0.25">
      <c r="A155" s="57"/>
      <c r="B155" s="57"/>
      <c r="C155" s="57"/>
      <c r="D155" s="57"/>
    </row>
    <row r="156" spans="1:4" x14ac:dyDescent="0.25">
      <c r="A156" s="57"/>
      <c r="B156" s="57"/>
      <c r="C156" s="57"/>
      <c r="D156" s="57"/>
    </row>
    <row r="157" spans="1:4" x14ac:dyDescent="0.25">
      <c r="A157" s="57"/>
      <c r="B157" s="57"/>
      <c r="C157" s="57"/>
      <c r="D157" s="57"/>
    </row>
    <row r="158" spans="1:4" x14ac:dyDescent="0.25">
      <c r="A158" s="57"/>
      <c r="B158" s="57"/>
      <c r="C158" s="57"/>
      <c r="D158" s="57"/>
    </row>
    <row r="159" spans="1:4" x14ac:dyDescent="0.25">
      <c r="A159" s="57"/>
      <c r="B159" s="57"/>
      <c r="C159" s="57"/>
      <c r="D159" s="57"/>
    </row>
    <row r="160" spans="1:4" x14ac:dyDescent="0.25">
      <c r="A160" s="57"/>
      <c r="B160" s="57"/>
      <c r="C160" s="57"/>
      <c r="D160" s="57"/>
    </row>
    <row r="161" spans="1:4" x14ac:dyDescent="0.25">
      <c r="A161" s="57"/>
      <c r="B161" s="57"/>
      <c r="C161" s="57"/>
      <c r="D161" s="57"/>
    </row>
    <row r="162" spans="1:4" x14ac:dyDescent="0.25">
      <c r="A162" s="57"/>
      <c r="B162" s="57"/>
      <c r="C162" s="57"/>
      <c r="D162" s="57"/>
    </row>
    <row r="163" spans="1:4" x14ac:dyDescent="0.25">
      <c r="A163" s="57"/>
      <c r="B163" s="57"/>
      <c r="C163" s="57"/>
      <c r="D163" s="57"/>
    </row>
    <row r="164" spans="1:4" x14ac:dyDescent="0.25">
      <c r="A164" s="57"/>
      <c r="B164" s="57"/>
      <c r="C164" s="57"/>
      <c r="D164" s="57"/>
    </row>
    <row r="165" spans="1:4" x14ac:dyDescent="0.25">
      <c r="A165" s="57"/>
      <c r="B165" s="57"/>
      <c r="C165" s="57"/>
      <c r="D165" s="57"/>
    </row>
    <row r="166" spans="1:4" x14ac:dyDescent="0.25">
      <c r="A166" s="57"/>
      <c r="B166" s="57"/>
      <c r="C166" s="57"/>
      <c r="D166" s="57"/>
    </row>
    <row r="167" spans="1:4" x14ac:dyDescent="0.25">
      <c r="A167" s="57"/>
      <c r="B167" s="57"/>
      <c r="C167" s="57"/>
      <c r="D167" s="57"/>
    </row>
    <row r="168" spans="1:4" x14ac:dyDescent="0.25">
      <c r="A168" s="57"/>
      <c r="B168" s="57"/>
      <c r="C168" s="57"/>
      <c r="D168" s="57"/>
    </row>
    <row r="169" spans="1:4" x14ac:dyDescent="0.25">
      <c r="A169" s="57"/>
      <c r="B169" s="57"/>
      <c r="C169" s="57"/>
      <c r="D169" s="57"/>
    </row>
    <row r="170" spans="1:4" x14ac:dyDescent="0.25">
      <c r="A170" s="57"/>
      <c r="B170" s="57"/>
      <c r="C170" s="57"/>
      <c r="D170" s="57"/>
    </row>
    <row r="171" spans="1:4" x14ac:dyDescent="0.25">
      <c r="A171" s="57"/>
      <c r="B171" s="57"/>
      <c r="C171" s="57"/>
      <c r="D171" s="57"/>
    </row>
    <row r="172" spans="1:4" x14ac:dyDescent="0.25">
      <c r="A172" s="57"/>
      <c r="B172" s="57"/>
      <c r="C172" s="57"/>
      <c r="D172" s="57"/>
    </row>
    <row r="173" spans="1:4" x14ac:dyDescent="0.25">
      <c r="A173" s="57"/>
      <c r="B173" s="57"/>
      <c r="C173" s="57"/>
      <c r="D173" s="57"/>
    </row>
    <row r="174" spans="1:4" x14ac:dyDescent="0.25">
      <c r="A174" s="57"/>
      <c r="B174" s="57"/>
      <c r="C174" s="57"/>
      <c r="D174" s="57"/>
    </row>
    <row r="175" spans="1:4" x14ac:dyDescent="0.25">
      <c r="A175" s="57"/>
      <c r="B175" s="57"/>
      <c r="C175" s="57"/>
      <c r="D175" s="57"/>
    </row>
    <row r="176" spans="1:4" x14ac:dyDescent="0.25">
      <c r="A176" s="57"/>
      <c r="B176" s="57"/>
      <c r="C176" s="57"/>
      <c r="D176" s="57"/>
    </row>
    <row r="177" spans="1:4" x14ac:dyDescent="0.25">
      <c r="A177" s="57"/>
      <c r="B177" s="57"/>
      <c r="C177" s="57"/>
      <c r="D177" s="57"/>
    </row>
    <row r="178" spans="1:4" x14ac:dyDescent="0.25">
      <c r="A178" s="57"/>
      <c r="B178" s="57"/>
      <c r="C178" s="57"/>
      <c r="D178" s="57"/>
    </row>
    <row r="179" spans="1:4" x14ac:dyDescent="0.25">
      <c r="A179" s="57"/>
      <c r="B179" s="57"/>
      <c r="C179" s="57"/>
      <c r="D179" s="57"/>
    </row>
    <row r="180" spans="1:4" x14ac:dyDescent="0.25">
      <c r="A180" s="57"/>
      <c r="B180" s="57"/>
      <c r="C180" s="57"/>
      <c r="D180" s="57"/>
    </row>
    <row r="181" spans="1:4" x14ac:dyDescent="0.25">
      <c r="A181" s="57"/>
      <c r="B181" s="57"/>
      <c r="C181" s="57"/>
      <c r="D181" s="57"/>
    </row>
    <row r="182" spans="1:4" x14ac:dyDescent="0.25">
      <c r="A182" s="57"/>
      <c r="B182" s="57"/>
      <c r="C182" s="57"/>
      <c r="D182" s="57"/>
    </row>
    <row r="183" spans="1:4" x14ac:dyDescent="0.25">
      <c r="A183" s="57"/>
      <c r="B183" s="57"/>
      <c r="C183" s="57"/>
      <c r="D183" s="57"/>
    </row>
    <row r="184" spans="1:4" x14ac:dyDescent="0.25">
      <c r="A184" s="57"/>
      <c r="B184" s="57"/>
      <c r="C184" s="57"/>
      <c r="D184" s="57"/>
    </row>
    <row r="185" spans="1:4" x14ac:dyDescent="0.25">
      <c r="A185" s="57"/>
      <c r="B185" s="57"/>
      <c r="C185" s="57"/>
      <c r="D185" s="57"/>
    </row>
    <row r="186" spans="1:4" x14ac:dyDescent="0.25">
      <c r="A186" s="57"/>
      <c r="B186" s="57"/>
      <c r="C186" s="57"/>
      <c r="D186" s="57"/>
    </row>
    <row r="187" spans="1:4" x14ac:dyDescent="0.25">
      <c r="A187" s="57"/>
      <c r="B187" s="57"/>
      <c r="C187" s="57"/>
      <c r="D187" s="57"/>
    </row>
    <row r="188" spans="1:4" x14ac:dyDescent="0.25">
      <c r="A188" s="57"/>
      <c r="B188" s="57"/>
      <c r="C188" s="57"/>
      <c r="D188" s="57"/>
    </row>
    <row r="189" spans="1:4" x14ac:dyDescent="0.25">
      <c r="A189" s="57"/>
      <c r="B189" s="57"/>
      <c r="C189" s="57"/>
      <c r="D189" s="57"/>
    </row>
    <row r="190" spans="1:4" x14ac:dyDescent="0.25">
      <c r="A190" s="57"/>
      <c r="B190" s="57"/>
      <c r="C190" s="57"/>
      <c r="D190" s="57"/>
    </row>
    <row r="191" spans="1:4" x14ac:dyDescent="0.25">
      <c r="A191" s="57"/>
      <c r="B191" s="57"/>
      <c r="C191" s="57"/>
      <c r="D191" s="57"/>
    </row>
    <row r="192" spans="1:4" x14ac:dyDescent="0.25">
      <c r="A192" s="57"/>
      <c r="B192" s="57"/>
      <c r="C192" s="57"/>
      <c r="D192" s="57"/>
    </row>
    <row r="193" spans="1:4" x14ac:dyDescent="0.25">
      <c r="A193" s="57"/>
      <c r="B193" s="57"/>
      <c r="C193" s="57"/>
      <c r="D193" s="57"/>
    </row>
    <row r="194" spans="1:4" x14ac:dyDescent="0.25">
      <c r="A194" s="57"/>
      <c r="B194" s="57"/>
      <c r="C194" s="57"/>
      <c r="D194" s="57"/>
    </row>
    <row r="195" spans="1:4" x14ac:dyDescent="0.25">
      <c r="A195" s="57"/>
      <c r="B195" s="57"/>
      <c r="C195" s="57"/>
      <c r="D195" s="57"/>
    </row>
    <row r="196" spans="1:4" x14ac:dyDescent="0.25">
      <c r="A196" s="57"/>
      <c r="B196" s="57"/>
      <c r="C196" s="57"/>
      <c r="D196" s="57"/>
    </row>
    <row r="197" spans="1:4" x14ac:dyDescent="0.25">
      <c r="A197" s="57"/>
      <c r="B197" s="57"/>
      <c r="C197" s="57"/>
      <c r="D197" s="57"/>
    </row>
    <row r="198" spans="1:4" x14ac:dyDescent="0.25">
      <c r="A198" s="57"/>
      <c r="B198" s="57"/>
      <c r="C198" s="57"/>
      <c r="D198" s="57"/>
    </row>
    <row r="199" spans="1:4" x14ac:dyDescent="0.25">
      <c r="A199" s="57"/>
      <c r="B199" s="57"/>
      <c r="C199" s="57"/>
      <c r="D199" s="57"/>
    </row>
    <row r="200" spans="1:4" x14ac:dyDescent="0.25">
      <c r="A200" s="57"/>
      <c r="B200" s="57"/>
      <c r="C200" s="57"/>
      <c r="D200" s="57"/>
    </row>
    <row r="201" spans="1:4" x14ac:dyDescent="0.25">
      <c r="A201" s="57"/>
      <c r="B201" s="57"/>
      <c r="C201" s="57"/>
      <c r="D201" s="57"/>
    </row>
    <row r="202" spans="1:4" x14ac:dyDescent="0.25">
      <c r="A202" s="57"/>
      <c r="B202" s="57"/>
      <c r="C202" s="57"/>
      <c r="D202" s="57"/>
    </row>
    <row r="203" spans="1:4" x14ac:dyDescent="0.25">
      <c r="A203" s="57"/>
      <c r="B203" s="57"/>
      <c r="C203" s="57"/>
      <c r="D203" s="57"/>
    </row>
    <row r="204" spans="1:4" x14ac:dyDescent="0.25">
      <c r="A204" s="57"/>
      <c r="B204" s="57"/>
      <c r="C204" s="57"/>
      <c r="D204" s="57"/>
    </row>
    <row r="205" spans="1:4" x14ac:dyDescent="0.25">
      <c r="A205" s="57"/>
      <c r="B205" s="57"/>
      <c r="C205" s="57"/>
      <c r="D205" s="57"/>
    </row>
    <row r="206" spans="1:4" x14ac:dyDescent="0.25">
      <c r="A206" s="57"/>
      <c r="B206" s="57"/>
      <c r="C206" s="57"/>
      <c r="D206" s="57"/>
    </row>
    <row r="207" spans="1:4" x14ac:dyDescent="0.25">
      <c r="A207" s="57"/>
      <c r="B207" s="57"/>
      <c r="C207" s="57"/>
      <c r="D207" s="57"/>
    </row>
    <row r="208" spans="1:4" x14ac:dyDescent="0.25">
      <c r="A208" s="57"/>
      <c r="B208" s="57"/>
      <c r="C208" s="57"/>
      <c r="D208" s="57"/>
    </row>
    <row r="209" spans="1:4" x14ac:dyDescent="0.25">
      <c r="A209" s="57"/>
      <c r="B209" s="57"/>
      <c r="C209" s="57"/>
      <c r="D209" s="57"/>
    </row>
    <row r="210" spans="1:4" x14ac:dyDescent="0.25">
      <c r="A210" s="57"/>
      <c r="B210" s="57"/>
      <c r="C210" s="57"/>
      <c r="D210" s="57"/>
    </row>
    <row r="211" spans="1:4" x14ac:dyDescent="0.25">
      <c r="A211" s="57"/>
      <c r="B211" s="57"/>
      <c r="C211" s="57"/>
      <c r="D211" s="57"/>
    </row>
    <row r="212" spans="1:4" x14ac:dyDescent="0.25">
      <c r="A212" s="57"/>
      <c r="B212" s="57"/>
      <c r="C212" s="57"/>
      <c r="D212" s="57"/>
    </row>
    <row r="213" spans="1:4" x14ac:dyDescent="0.25">
      <c r="A213" s="57"/>
      <c r="B213" s="57"/>
      <c r="C213" s="57"/>
      <c r="D213" s="57"/>
    </row>
    <row r="214" spans="1:4" x14ac:dyDescent="0.25">
      <c r="A214" s="57"/>
      <c r="B214" s="57"/>
      <c r="C214" s="57"/>
      <c r="D214" s="57"/>
    </row>
    <row r="215" spans="1:4" x14ac:dyDescent="0.25">
      <c r="A215" s="57"/>
      <c r="B215" s="57"/>
      <c r="C215" s="57"/>
      <c r="D215" s="57"/>
    </row>
    <row r="216" spans="1:4" x14ac:dyDescent="0.25">
      <c r="A216" s="57"/>
      <c r="B216" s="57"/>
      <c r="C216" s="57"/>
      <c r="D216" s="57"/>
    </row>
    <row r="217" spans="1:4" x14ac:dyDescent="0.25">
      <c r="A217" s="57"/>
      <c r="B217" s="57"/>
      <c r="C217" s="57"/>
      <c r="D217" s="57"/>
    </row>
    <row r="218" spans="1:4" x14ac:dyDescent="0.25">
      <c r="A218" s="57"/>
      <c r="B218" s="57"/>
      <c r="C218" s="57"/>
      <c r="D218" s="57"/>
    </row>
    <row r="219" spans="1:4" x14ac:dyDescent="0.25">
      <c r="A219" s="57"/>
      <c r="B219" s="57"/>
      <c r="C219" s="57"/>
      <c r="D219" s="57"/>
    </row>
    <row r="220" spans="1:4" x14ac:dyDescent="0.25">
      <c r="A220" s="57"/>
      <c r="B220" s="57"/>
      <c r="C220" s="57"/>
      <c r="D220" s="57"/>
    </row>
    <row r="221" spans="1:4" x14ac:dyDescent="0.25">
      <c r="A221" s="57"/>
      <c r="B221" s="57"/>
      <c r="C221" s="57"/>
      <c r="D221" s="57"/>
    </row>
    <row r="222" spans="1:4" x14ac:dyDescent="0.25">
      <c r="A222" s="57"/>
      <c r="B222" s="57"/>
      <c r="C222" s="57"/>
      <c r="D222" s="57"/>
    </row>
    <row r="223" spans="1:4" x14ac:dyDescent="0.25">
      <c r="A223" s="57"/>
      <c r="B223" s="57"/>
      <c r="C223" s="57"/>
      <c r="D223" s="57"/>
    </row>
    <row r="224" spans="1:4" x14ac:dyDescent="0.25">
      <c r="A224" s="57"/>
      <c r="B224" s="57"/>
      <c r="C224" s="57"/>
      <c r="D224" s="57"/>
    </row>
    <row r="225" spans="1:4" x14ac:dyDescent="0.25">
      <c r="A225" s="57"/>
      <c r="B225" s="57"/>
      <c r="C225" s="57"/>
      <c r="D225" s="57"/>
    </row>
    <row r="226" spans="1:4" x14ac:dyDescent="0.25">
      <c r="A226" s="57"/>
      <c r="B226" s="57"/>
      <c r="C226" s="57"/>
      <c r="D226" s="57"/>
    </row>
    <row r="227" spans="1:4" x14ac:dyDescent="0.25">
      <c r="A227" s="57"/>
      <c r="B227" s="57"/>
      <c r="C227" s="57"/>
      <c r="D227" s="57"/>
    </row>
    <row r="228" spans="1:4" x14ac:dyDescent="0.25">
      <c r="A228" s="57"/>
      <c r="B228" s="57"/>
      <c r="C228" s="57"/>
      <c r="D228" s="57"/>
    </row>
    <row r="229" spans="1:4" x14ac:dyDescent="0.25">
      <c r="A229" s="57"/>
      <c r="B229" s="57"/>
      <c r="C229" s="57"/>
      <c r="D229" s="57"/>
    </row>
    <row r="230" spans="1:4" x14ac:dyDescent="0.25">
      <c r="A230" s="57"/>
      <c r="B230" s="57"/>
      <c r="C230" s="57"/>
      <c r="D230" s="57"/>
    </row>
    <row r="231" spans="1:4" x14ac:dyDescent="0.25">
      <c r="A231" s="57"/>
      <c r="B231" s="57"/>
      <c r="C231" s="57"/>
      <c r="D231" s="57"/>
    </row>
    <row r="232" spans="1:4" x14ac:dyDescent="0.25">
      <c r="A232" s="57"/>
      <c r="B232" s="57"/>
      <c r="C232" s="57"/>
      <c r="D232" s="57"/>
    </row>
    <row r="233" spans="1:4" x14ac:dyDescent="0.25">
      <c r="A233" s="57"/>
      <c r="B233" s="57"/>
      <c r="C233" s="57"/>
      <c r="D233" s="57"/>
    </row>
    <row r="234" spans="1:4" x14ac:dyDescent="0.25">
      <c r="A234" s="57"/>
      <c r="B234" s="57"/>
      <c r="C234" s="57"/>
      <c r="D234" s="57"/>
    </row>
    <row r="235" spans="1:4" x14ac:dyDescent="0.25">
      <c r="A235" s="57"/>
      <c r="B235" s="57"/>
      <c r="C235" s="57"/>
      <c r="D235" s="57"/>
    </row>
    <row r="236" spans="1:4" x14ac:dyDescent="0.25">
      <c r="A236" s="57"/>
      <c r="B236" s="57"/>
      <c r="C236" s="57"/>
      <c r="D236" s="57"/>
    </row>
    <row r="237" spans="1:4" x14ac:dyDescent="0.25">
      <c r="A237" s="57"/>
      <c r="B237" s="57"/>
      <c r="C237" s="57"/>
      <c r="D237" s="57"/>
    </row>
    <row r="238" spans="1:4" x14ac:dyDescent="0.25">
      <c r="A238" s="57"/>
      <c r="B238" s="57"/>
      <c r="C238" s="57"/>
      <c r="D238" s="57"/>
    </row>
    <row r="239" spans="1:4" x14ac:dyDescent="0.25">
      <c r="A239" s="57"/>
      <c r="B239" s="57"/>
      <c r="C239" s="57"/>
      <c r="D239" s="57"/>
    </row>
    <row r="240" spans="1:4" x14ac:dyDescent="0.25">
      <c r="A240" s="57"/>
      <c r="B240" s="57"/>
      <c r="C240" s="57"/>
      <c r="D240" s="57"/>
    </row>
    <row r="241" spans="1:4" x14ac:dyDescent="0.25">
      <c r="A241" s="57"/>
      <c r="B241" s="57"/>
      <c r="C241" s="57"/>
      <c r="D241" s="57"/>
    </row>
    <row r="242" spans="1:4" x14ac:dyDescent="0.25">
      <c r="A242" s="57"/>
      <c r="B242" s="57"/>
      <c r="C242" s="57"/>
      <c r="D242" s="57"/>
    </row>
    <row r="243" spans="1:4" x14ac:dyDescent="0.25">
      <c r="A243" s="57"/>
      <c r="B243" s="57"/>
      <c r="C243" s="57"/>
      <c r="D243" s="57"/>
    </row>
    <row r="244" spans="1:4" x14ac:dyDescent="0.25">
      <c r="A244" s="57"/>
      <c r="B244" s="57"/>
      <c r="C244" s="57"/>
      <c r="D244" s="57"/>
    </row>
    <row r="245" spans="1:4" x14ac:dyDescent="0.25">
      <c r="A245" s="57"/>
      <c r="B245" s="57"/>
      <c r="C245" s="57"/>
      <c r="D245" s="57"/>
    </row>
    <row r="246" spans="1:4" x14ac:dyDescent="0.25">
      <c r="A246" s="57"/>
      <c r="B246" s="57"/>
      <c r="C246" s="57"/>
      <c r="D246" s="57"/>
    </row>
    <row r="247" spans="1:4" x14ac:dyDescent="0.25">
      <c r="A247" s="57"/>
      <c r="B247" s="57"/>
      <c r="C247" s="57"/>
      <c r="D247" s="57"/>
    </row>
    <row r="248" spans="1:4" x14ac:dyDescent="0.25">
      <c r="A248" s="57"/>
      <c r="B248" s="57"/>
      <c r="C248" s="57"/>
      <c r="D248" s="57"/>
    </row>
    <row r="249" spans="1:4" x14ac:dyDescent="0.25">
      <c r="A249" s="57"/>
      <c r="B249" s="57"/>
      <c r="C249" s="57"/>
      <c r="D249" s="57"/>
    </row>
    <row r="250" spans="1:4" x14ac:dyDescent="0.25">
      <c r="A250" s="57"/>
      <c r="B250" s="57"/>
      <c r="C250" s="57"/>
      <c r="D250" s="57"/>
    </row>
    <row r="251" spans="1:4" x14ac:dyDescent="0.25">
      <c r="A251" s="57"/>
      <c r="B251" s="57"/>
      <c r="C251" s="57"/>
      <c r="D251" s="57"/>
    </row>
    <row r="252" spans="1:4" x14ac:dyDescent="0.25">
      <c r="A252" s="57"/>
      <c r="B252" s="57"/>
      <c r="C252" s="57"/>
      <c r="D252" s="57"/>
    </row>
    <row r="253" spans="1:4" x14ac:dyDescent="0.25">
      <c r="A253" s="57"/>
      <c r="B253" s="57"/>
      <c r="C253" s="57"/>
      <c r="D253" s="57"/>
    </row>
    <row r="254" spans="1:4" x14ac:dyDescent="0.25">
      <c r="A254" s="57"/>
      <c r="B254" s="57"/>
      <c r="C254" s="57"/>
      <c r="D254" s="57"/>
    </row>
    <row r="255" spans="1:4" x14ac:dyDescent="0.25">
      <c r="A255" s="57"/>
      <c r="B255" s="57"/>
      <c r="C255" s="57"/>
      <c r="D255" s="57"/>
    </row>
    <row r="256" spans="1:4" x14ac:dyDescent="0.25">
      <c r="A256" s="57"/>
      <c r="B256" s="57"/>
      <c r="C256" s="57"/>
      <c r="D256" s="57"/>
    </row>
    <row r="257" spans="1:4" x14ac:dyDescent="0.25">
      <c r="A257" s="57"/>
      <c r="B257" s="57"/>
      <c r="C257" s="57"/>
      <c r="D257" s="57"/>
    </row>
    <row r="258" spans="1:4" x14ac:dyDescent="0.25">
      <c r="A258" s="57"/>
      <c r="B258" s="57"/>
      <c r="C258" s="57"/>
      <c r="D258" s="57"/>
    </row>
    <row r="259" spans="1:4" x14ac:dyDescent="0.25">
      <c r="A259" s="57"/>
      <c r="B259" s="57"/>
      <c r="C259" s="57"/>
      <c r="D259" s="57"/>
    </row>
    <row r="260" spans="1:4" x14ac:dyDescent="0.25">
      <c r="A260" s="57"/>
      <c r="B260" s="57"/>
      <c r="C260" s="57"/>
      <c r="D260" s="57"/>
    </row>
    <row r="261" spans="1:4" x14ac:dyDescent="0.25">
      <c r="A261" s="57"/>
      <c r="B261" s="57"/>
      <c r="C261" s="57"/>
      <c r="D261" s="57"/>
    </row>
    <row r="262" spans="1:4" x14ac:dyDescent="0.25">
      <c r="A262" s="57"/>
      <c r="B262" s="57"/>
      <c r="C262" s="57"/>
      <c r="D262" s="57"/>
    </row>
    <row r="263" spans="1:4" x14ac:dyDescent="0.25">
      <c r="A263" s="57"/>
      <c r="B263" s="57"/>
      <c r="C263" s="57"/>
      <c r="D263" s="57"/>
    </row>
    <row r="264" spans="1:4" x14ac:dyDescent="0.25">
      <c r="A264" s="57"/>
      <c r="B264" s="57"/>
      <c r="C264" s="57"/>
      <c r="D264" s="57"/>
    </row>
    <row r="265" spans="1:4" x14ac:dyDescent="0.25">
      <c r="A265" s="57"/>
      <c r="B265" s="57"/>
      <c r="C265" s="57"/>
      <c r="D265" s="57"/>
    </row>
    <row r="266" spans="1:4" x14ac:dyDescent="0.25">
      <c r="A266" s="57"/>
      <c r="B266" s="57"/>
      <c r="C266" s="57"/>
      <c r="D266" s="57"/>
    </row>
    <row r="267" spans="1:4" x14ac:dyDescent="0.25">
      <c r="A267" s="57"/>
      <c r="B267" s="57"/>
      <c r="C267" s="57"/>
      <c r="D267" s="57"/>
    </row>
    <row r="268" spans="1:4" x14ac:dyDescent="0.25">
      <c r="A268" s="57"/>
      <c r="B268" s="57"/>
      <c r="C268" s="57"/>
      <c r="D268" s="57"/>
    </row>
    <row r="269" spans="1:4" x14ac:dyDescent="0.25">
      <c r="A269" s="57"/>
      <c r="B269" s="57"/>
      <c r="C269" s="57"/>
      <c r="D269" s="57"/>
    </row>
    <row r="270" spans="1:4" x14ac:dyDescent="0.25">
      <c r="A270" s="57"/>
      <c r="B270" s="57"/>
      <c r="C270" s="57"/>
      <c r="D270" s="57"/>
    </row>
    <row r="271" spans="1:4" x14ac:dyDescent="0.25">
      <c r="A271" s="57"/>
      <c r="B271" s="57"/>
      <c r="C271" s="57"/>
      <c r="D271" s="57"/>
    </row>
    <row r="272" spans="1:4" x14ac:dyDescent="0.25">
      <c r="A272" s="57"/>
      <c r="B272" s="57"/>
      <c r="C272" s="57"/>
      <c r="D272" s="57"/>
    </row>
    <row r="273" spans="1:4" x14ac:dyDescent="0.25">
      <c r="A273" s="57"/>
      <c r="B273" s="57"/>
      <c r="C273" s="57"/>
      <c r="D273" s="57"/>
    </row>
    <row r="274" spans="1:4" x14ac:dyDescent="0.25">
      <c r="A274" s="57"/>
      <c r="B274" s="57"/>
      <c r="C274" s="57"/>
      <c r="D274" s="57"/>
    </row>
    <row r="275" spans="1:4" x14ac:dyDescent="0.25">
      <c r="A275" s="57"/>
      <c r="B275" s="57"/>
      <c r="C275" s="57"/>
      <c r="D275" s="57"/>
    </row>
    <row r="276" spans="1:4" x14ac:dyDescent="0.25">
      <c r="A276" s="57"/>
      <c r="B276" s="57"/>
      <c r="C276" s="57"/>
      <c r="D276" s="57"/>
    </row>
    <row r="277" spans="1:4" x14ac:dyDescent="0.25">
      <c r="A277" s="57"/>
      <c r="B277" s="57"/>
      <c r="C277" s="57"/>
      <c r="D277" s="57"/>
    </row>
    <row r="278" spans="1:4" x14ac:dyDescent="0.25">
      <c r="A278" s="57"/>
      <c r="B278" s="57"/>
      <c r="C278" s="57"/>
      <c r="D278" s="57"/>
    </row>
    <row r="279" spans="1:4" x14ac:dyDescent="0.25">
      <c r="A279" s="57"/>
      <c r="B279" s="57"/>
      <c r="C279" s="57"/>
      <c r="D279" s="57"/>
    </row>
    <row r="280" spans="1:4" x14ac:dyDescent="0.25">
      <c r="A280" s="57"/>
      <c r="B280" s="57"/>
      <c r="C280" s="57"/>
      <c r="D280" s="57"/>
    </row>
    <row r="281" spans="1:4" x14ac:dyDescent="0.25">
      <c r="A281" s="57"/>
      <c r="B281" s="57"/>
      <c r="C281" s="57"/>
      <c r="D281" s="57"/>
    </row>
    <row r="282" spans="1:4" x14ac:dyDescent="0.25">
      <c r="A282" s="57"/>
      <c r="B282" s="57"/>
      <c r="C282" s="57"/>
      <c r="D282" s="57"/>
    </row>
    <row r="283" spans="1:4" x14ac:dyDescent="0.25">
      <c r="A283" s="57"/>
      <c r="B283" s="57"/>
      <c r="C283" s="57"/>
      <c r="D283" s="57"/>
    </row>
    <row r="284" spans="1:4" x14ac:dyDescent="0.25">
      <c r="A284" s="57"/>
      <c r="B284" s="57"/>
      <c r="C284" s="57"/>
      <c r="D284" s="57"/>
    </row>
    <row r="285" spans="1:4" x14ac:dyDescent="0.25">
      <c r="A285" s="57"/>
      <c r="B285" s="57"/>
      <c r="C285" s="57"/>
      <c r="D285" s="57"/>
    </row>
    <row r="286" spans="1:4" x14ac:dyDescent="0.25">
      <c r="A286" s="57"/>
      <c r="B286" s="57"/>
      <c r="C286" s="57"/>
      <c r="D286" s="57"/>
    </row>
    <row r="287" spans="1:4" x14ac:dyDescent="0.25">
      <c r="A287" s="57"/>
      <c r="B287" s="57"/>
      <c r="C287" s="57"/>
      <c r="D287" s="57"/>
    </row>
    <row r="288" spans="1:4" x14ac:dyDescent="0.25">
      <c r="A288" s="57"/>
      <c r="B288" s="57"/>
      <c r="C288" s="57"/>
      <c r="D288" s="57"/>
    </row>
    <row r="289" spans="1:4" x14ac:dyDescent="0.25">
      <c r="A289" s="57"/>
      <c r="B289" s="57"/>
      <c r="C289" s="57"/>
      <c r="D289" s="57"/>
    </row>
    <row r="290" spans="1:4" x14ac:dyDescent="0.25">
      <c r="A290" s="57"/>
      <c r="B290" s="57"/>
      <c r="C290" s="57"/>
      <c r="D290" s="57"/>
    </row>
    <row r="291" spans="1:4" x14ac:dyDescent="0.25">
      <c r="A291" s="57"/>
      <c r="B291" s="57"/>
      <c r="C291" s="57"/>
      <c r="D291" s="57"/>
    </row>
    <row r="292" spans="1:4" x14ac:dyDescent="0.25">
      <c r="A292" s="57"/>
      <c r="B292" s="57"/>
      <c r="C292" s="57"/>
      <c r="D292" s="57"/>
    </row>
    <row r="293" spans="1:4" x14ac:dyDescent="0.25">
      <c r="A293" s="57"/>
      <c r="B293" s="57"/>
      <c r="C293" s="57"/>
      <c r="D293" s="57"/>
    </row>
    <row r="294" spans="1:4" x14ac:dyDescent="0.25">
      <c r="A294" s="57"/>
      <c r="B294" s="57"/>
      <c r="C294" s="57"/>
      <c r="D294" s="57"/>
    </row>
    <row r="295" spans="1:4" x14ac:dyDescent="0.25">
      <c r="A295" s="57"/>
      <c r="B295" s="57"/>
      <c r="C295" s="57"/>
      <c r="D295" s="57"/>
    </row>
    <row r="296" spans="1:4" x14ac:dyDescent="0.25">
      <c r="A296" s="57"/>
      <c r="B296" s="57"/>
      <c r="C296" s="57"/>
      <c r="D296" s="57"/>
    </row>
    <row r="297" spans="1:4" x14ac:dyDescent="0.25">
      <c r="A297" s="57"/>
      <c r="B297" s="57"/>
      <c r="C297" s="57"/>
      <c r="D297" s="57"/>
    </row>
    <row r="298" spans="1:4" x14ac:dyDescent="0.25">
      <c r="A298" s="57"/>
      <c r="B298" s="57"/>
      <c r="C298" s="57"/>
      <c r="D298" s="57"/>
    </row>
    <row r="299" spans="1:4" x14ac:dyDescent="0.25">
      <c r="A299" s="57"/>
      <c r="B299" s="57"/>
      <c r="C299" s="57"/>
      <c r="D299" s="57"/>
    </row>
    <row r="300" spans="1:4" x14ac:dyDescent="0.25">
      <c r="A300" s="57"/>
      <c r="B300" s="57"/>
      <c r="C300" s="57"/>
      <c r="D300" s="57"/>
    </row>
    <row r="301" spans="1:4" x14ac:dyDescent="0.25">
      <c r="A301" s="57"/>
      <c r="B301" s="57"/>
      <c r="C301" s="57"/>
      <c r="D301" s="57"/>
    </row>
    <row r="302" spans="1:4" x14ac:dyDescent="0.25">
      <c r="A302" s="57"/>
      <c r="B302" s="57"/>
      <c r="C302" s="57"/>
      <c r="D302" s="57"/>
    </row>
    <row r="303" spans="1:4" x14ac:dyDescent="0.25">
      <c r="A303" s="57"/>
      <c r="B303" s="57"/>
      <c r="C303" s="57"/>
      <c r="D303" s="57"/>
    </row>
    <row r="304" spans="1:4" x14ac:dyDescent="0.25">
      <c r="A304" s="57"/>
      <c r="B304" s="57"/>
      <c r="C304" s="57"/>
      <c r="D304" s="57"/>
    </row>
    <row r="305" spans="1:4" x14ac:dyDescent="0.25">
      <c r="A305" s="57"/>
      <c r="B305" s="57"/>
      <c r="C305" s="57"/>
      <c r="D305" s="57"/>
    </row>
    <row r="306" spans="1:4" x14ac:dyDescent="0.25">
      <c r="A306" s="57"/>
      <c r="B306" s="57"/>
      <c r="C306" s="57"/>
      <c r="D306" s="57"/>
    </row>
    <row r="307" spans="1:4" x14ac:dyDescent="0.25">
      <c r="A307" s="57"/>
      <c r="B307" s="57"/>
      <c r="C307" s="57"/>
      <c r="D307" s="57"/>
    </row>
    <row r="308" spans="1:4" x14ac:dyDescent="0.25">
      <c r="A308" s="57"/>
      <c r="B308" s="57"/>
      <c r="C308" s="57"/>
      <c r="D308" s="57"/>
    </row>
    <row r="309" spans="1:4" x14ac:dyDescent="0.25">
      <c r="A309" s="57"/>
      <c r="B309" s="57"/>
      <c r="C309" s="57"/>
      <c r="D309" s="57"/>
    </row>
    <row r="310" spans="1:4" x14ac:dyDescent="0.25">
      <c r="A310" s="57"/>
      <c r="B310" s="57"/>
      <c r="C310" s="57"/>
      <c r="D310" s="57"/>
    </row>
    <row r="311" spans="1:4" x14ac:dyDescent="0.25">
      <c r="A311" s="57"/>
      <c r="B311" s="57"/>
      <c r="C311" s="57"/>
      <c r="D311" s="57"/>
    </row>
    <row r="312" spans="1:4" x14ac:dyDescent="0.25">
      <c r="A312" s="57"/>
      <c r="B312" s="57"/>
      <c r="C312" s="57"/>
      <c r="D312" s="57"/>
    </row>
    <row r="313" spans="1:4" x14ac:dyDescent="0.25">
      <c r="A313" s="57"/>
      <c r="B313" s="57"/>
      <c r="C313" s="57"/>
      <c r="D313" s="57"/>
    </row>
    <row r="314" spans="1:4" x14ac:dyDescent="0.25">
      <c r="A314" s="57"/>
      <c r="B314" s="57"/>
      <c r="C314" s="57"/>
      <c r="D314" s="57"/>
    </row>
    <row r="315" spans="1:4" x14ac:dyDescent="0.25">
      <c r="A315" s="57"/>
      <c r="B315" s="57"/>
      <c r="C315" s="57"/>
      <c r="D315" s="57"/>
    </row>
    <row r="316" spans="1:4" x14ac:dyDescent="0.25">
      <c r="A316" s="57"/>
      <c r="B316" s="57"/>
      <c r="C316" s="57"/>
      <c r="D316" s="57"/>
    </row>
    <row r="317" spans="1:4" x14ac:dyDescent="0.25">
      <c r="A317" s="57"/>
      <c r="B317" s="57"/>
      <c r="C317" s="57"/>
      <c r="D317" s="57"/>
    </row>
    <row r="318" spans="1:4" x14ac:dyDescent="0.25">
      <c r="A318" s="57"/>
      <c r="B318" s="57"/>
      <c r="C318" s="57"/>
      <c r="D318" s="57"/>
    </row>
    <row r="319" spans="1:4" x14ac:dyDescent="0.25">
      <c r="A319" s="57"/>
      <c r="B319" s="57"/>
      <c r="C319" s="57"/>
      <c r="D319" s="57"/>
    </row>
    <row r="320" spans="1:4" x14ac:dyDescent="0.25">
      <c r="A320" s="57"/>
      <c r="B320" s="57"/>
      <c r="C320" s="57"/>
      <c r="D320" s="57"/>
    </row>
    <row r="321" spans="1:4" x14ac:dyDescent="0.25">
      <c r="A321" s="57"/>
      <c r="B321" s="57"/>
      <c r="C321" s="57"/>
      <c r="D321" s="57"/>
    </row>
    <row r="322" spans="1:4" x14ac:dyDescent="0.25">
      <c r="A322" s="57"/>
      <c r="B322" s="57"/>
      <c r="C322" s="57"/>
      <c r="D322" s="57"/>
    </row>
    <row r="323" spans="1:4" x14ac:dyDescent="0.25">
      <c r="A323" s="57"/>
      <c r="B323" s="57"/>
      <c r="C323" s="57"/>
      <c r="D323" s="57"/>
    </row>
    <row r="324" spans="1:4" x14ac:dyDescent="0.25">
      <c r="A324" s="57"/>
      <c r="B324" s="57"/>
      <c r="C324" s="57"/>
      <c r="D324" s="57"/>
    </row>
    <row r="325" spans="1:4" x14ac:dyDescent="0.25">
      <c r="A325" s="57"/>
      <c r="B325" s="57"/>
      <c r="C325" s="57"/>
      <c r="D325" s="57"/>
    </row>
    <row r="326" spans="1:4" x14ac:dyDescent="0.25">
      <c r="A326" s="57"/>
      <c r="B326" s="57"/>
      <c r="C326" s="57"/>
      <c r="D326" s="57"/>
    </row>
    <row r="327" spans="1:4" x14ac:dyDescent="0.25">
      <c r="A327" s="57"/>
      <c r="B327" s="57"/>
      <c r="C327" s="57"/>
      <c r="D327" s="57"/>
    </row>
    <row r="328" spans="1:4" x14ac:dyDescent="0.25">
      <c r="A328" s="57"/>
      <c r="B328" s="57"/>
      <c r="C328" s="57"/>
      <c r="D328" s="57"/>
    </row>
    <row r="329" spans="1:4" x14ac:dyDescent="0.25">
      <c r="A329" s="57"/>
      <c r="B329" s="57"/>
      <c r="C329" s="57"/>
      <c r="D329" s="57"/>
    </row>
    <row r="330" spans="1:4" x14ac:dyDescent="0.25">
      <c r="A330" s="57"/>
      <c r="B330" s="57"/>
      <c r="C330" s="57"/>
      <c r="D330" s="57"/>
    </row>
    <row r="331" spans="1:4" x14ac:dyDescent="0.25">
      <c r="A331" s="57"/>
      <c r="B331" s="57"/>
      <c r="C331" s="57"/>
      <c r="D331" s="57"/>
    </row>
    <row r="332" spans="1:4" x14ac:dyDescent="0.25">
      <c r="A332" s="57"/>
      <c r="B332" s="57"/>
      <c r="C332" s="57"/>
      <c r="D332" s="57"/>
    </row>
    <row r="333" spans="1:4" x14ac:dyDescent="0.25">
      <c r="A333" s="57"/>
      <c r="B333" s="57"/>
      <c r="C333" s="57"/>
      <c r="D333" s="57"/>
    </row>
    <row r="334" spans="1:4" x14ac:dyDescent="0.25">
      <c r="A334" s="57"/>
      <c r="B334" s="57"/>
      <c r="C334" s="57"/>
      <c r="D334" s="57"/>
    </row>
    <row r="335" spans="1:4" x14ac:dyDescent="0.25">
      <c r="A335" s="57"/>
      <c r="B335" s="57"/>
      <c r="C335" s="57"/>
      <c r="D335" s="57"/>
    </row>
    <row r="336" spans="1:4" x14ac:dyDescent="0.25">
      <c r="A336" s="57"/>
      <c r="B336" s="57"/>
      <c r="C336" s="57"/>
      <c r="D336" s="57"/>
    </row>
    <row r="337" spans="1:4" x14ac:dyDescent="0.25">
      <c r="A337" s="57"/>
      <c r="B337" s="57"/>
      <c r="C337" s="57"/>
      <c r="D337" s="57"/>
    </row>
    <row r="338" spans="1:4" x14ac:dyDescent="0.25">
      <c r="A338" s="57"/>
      <c r="B338" s="57"/>
      <c r="C338" s="57"/>
      <c r="D338" s="57"/>
    </row>
    <row r="339" spans="1:4" x14ac:dyDescent="0.25">
      <c r="A339" s="57"/>
      <c r="B339" s="57"/>
      <c r="C339" s="57"/>
      <c r="D339" s="57"/>
    </row>
    <row r="340" spans="1:4" x14ac:dyDescent="0.25">
      <c r="A340" s="57"/>
      <c r="B340" s="57"/>
      <c r="C340" s="57"/>
      <c r="D340" s="57"/>
    </row>
    <row r="341" spans="1:4" x14ac:dyDescent="0.25">
      <c r="A341" s="57"/>
      <c r="B341" s="57"/>
      <c r="C341" s="57"/>
      <c r="D341" s="57"/>
    </row>
    <row r="342" spans="1:4" x14ac:dyDescent="0.25">
      <c r="A342" s="57"/>
      <c r="B342" s="57"/>
      <c r="C342" s="57"/>
      <c r="D342" s="57"/>
    </row>
    <row r="343" spans="1:4" x14ac:dyDescent="0.25">
      <c r="A343" s="57"/>
      <c r="B343" s="57"/>
      <c r="C343" s="57"/>
      <c r="D343" s="57"/>
    </row>
    <row r="344" spans="1:4" x14ac:dyDescent="0.25">
      <c r="A344" s="57"/>
      <c r="B344" s="57"/>
      <c r="C344" s="57"/>
      <c r="D344" s="57"/>
    </row>
    <row r="345" spans="1:4" x14ac:dyDescent="0.25">
      <c r="A345" s="57"/>
      <c r="B345" s="57"/>
      <c r="C345" s="57"/>
      <c r="D345" s="57"/>
    </row>
    <row r="346" spans="1:4" x14ac:dyDescent="0.25">
      <c r="A346" s="57"/>
      <c r="B346" s="57"/>
      <c r="C346" s="57"/>
      <c r="D346" s="57"/>
    </row>
    <row r="347" spans="1:4" x14ac:dyDescent="0.25">
      <c r="A347" s="57"/>
      <c r="B347" s="57"/>
      <c r="C347" s="57"/>
      <c r="D347" s="57"/>
    </row>
    <row r="348" spans="1:4" x14ac:dyDescent="0.25">
      <c r="A348" s="57"/>
      <c r="B348" s="57"/>
      <c r="C348" s="57"/>
      <c r="D348" s="57"/>
    </row>
    <row r="349" spans="1:4" x14ac:dyDescent="0.25">
      <c r="A349" s="57"/>
      <c r="B349" s="57"/>
      <c r="C349" s="57"/>
      <c r="D349" s="57"/>
    </row>
    <row r="350" spans="1:4" x14ac:dyDescent="0.25">
      <c r="A350" s="57"/>
      <c r="B350" s="57"/>
      <c r="C350" s="57"/>
      <c r="D350" s="57"/>
    </row>
    <row r="351" spans="1:4" x14ac:dyDescent="0.25">
      <c r="A351" s="57"/>
      <c r="B351" s="57"/>
      <c r="C351" s="57"/>
      <c r="D351" s="57"/>
    </row>
    <row r="352" spans="1:4" x14ac:dyDescent="0.25">
      <c r="A352" s="57"/>
      <c r="B352" s="57"/>
      <c r="C352" s="57"/>
      <c r="D352" s="57"/>
    </row>
    <row r="353" spans="1:4" x14ac:dyDescent="0.25">
      <c r="A353" s="57"/>
      <c r="B353" s="57"/>
      <c r="C353" s="57"/>
      <c r="D353" s="57"/>
    </row>
    <row r="354" spans="1:4" x14ac:dyDescent="0.25">
      <c r="A354" s="57"/>
      <c r="B354" s="57"/>
      <c r="C354" s="57"/>
      <c r="D354" s="57"/>
    </row>
    <row r="355" spans="1:4" x14ac:dyDescent="0.25">
      <c r="A355" s="57"/>
      <c r="B355" s="57"/>
      <c r="C355" s="57"/>
      <c r="D355" s="57"/>
    </row>
    <row r="356" spans="1:4" x14ac:dyDescent="0.25">
      <c r="A356" s="57"/>
      <c r="B356" s="57"/>
      <c r="C356" s="57"/>
      <c r="D356" s="57"/>
    </row>
    <row r="357" spans="1:4" x14ac:dyDescent="0.25">
      <c r="A357" s="57"/>
      <c r="B357" s="57"/>
      <c r="C357" s="57"/>
      <c r="D357" s="57"/>
    </row>
    <row r="358" spans="1:4" x14ac:dyDescent="0.25">
      <c r="A358" s="57"/>
      <c r="B358" s="57"/>
      <c r="C358" s="57"/>
      <c r="D358" s="57"/>
    </row>
    <row r="359" spans="1:4" x14ac:dyDescent="0.25">
      <c r="A359" s="57"/>
      <c r="B359" s="57"/>
      <c r="C359" s="57"/>
      <c r="D359" s="57"/>
    </row>
    <row r="360" spans="1:4" x14ac:dyDescent="0.25">
      <c r="A360" s="57"/>
      <c r="B360" s="57"/>
      <c r="C360" s="57"/>
      <c r="D360" s="57"/>
    </row>
    <row r="361" spans="1:4" x14ac:dyDescent="0.25">
      <c r="A361" s="57"/>
      <c r="B361" s="57"/>
      <c r="C361" s="57"/>
      <c r="D361" s="57"/>
    </row>
    <row r="362" spans="1:4" x14ac:dyDescent="0.25">
      <c r="A362" s="57"/>
      <c r="B362" s="57"/>
      <c r="C362" s="57"/>
      <c r="D362" s="57"/>
    </row>
    <row r="363" spans="1:4" x14ac:dyDescent="0.25">
      <c r="A363" s="57"/>
      <c r="B363" s="57"/>
      <c r="C363" s="57"/>
      <c r="D363" s="57"/>
    </row>
    <row r="364" spans="1:4" x14ac:dyDescent="0.25">
      <c r="A364" s="57"/>
      <c r="B364" s="57"/>
      <c r="C364" s="57"/>
      <c r="D364" s="57"/>
    </row>
    <row r="365" spans="1:4" x14ac:dyDescent="0.25">
      <c r="A365" s="57"/>
      <c r="B365" s="57"/>
      <c r="C365" s="57"/>
      <c r="D365" s="57"/>
    </row>
    <row r="366" spans="1:4" x14ac:dyDescent="0.25">
      <c r="A366" s="57"/>
      <c r="B366" s="57"/>
      <c r="C366" s="57"/>
      <c r="D366" s="57"/>
    </row>
    <row r="367" spans="1:4" x14ac:dyDescent="0.25">
      <c r="A367" s="57"/>
      <c r="B367" s="57"/>
      <c r="C367" s="57"/>
      <c r="D367" s="57"/>
    </row>
    <row r="368" spans="1:4" x14ac:dyDescent="0.25">
      <c r="A368" s="57"/>
      <c r="B368" s="57"/>
      <c r="C368" s="57"/>
      <c r="D368" s="57"/>
    </row>
    <row r="369" spans="1:4" x14ac:dyDescent="0.25">
      <c r="A369" s="57"/>
      <c r="B369" s="57"/>
      <c r="C369" s="57"/>
      <c r="D369" s="57"/>
    </row>
    <row r="370" spans="1:4" x14ac:dyDescent="0.25">
      <c r="A370" s="57"/>
      <c r="B370" s="57"/>
      <c r="C370" s="57"/>
      <c r="D370" s="57"/>
    </row>
    <row r="371" spans="1:4" x14ac:dyDescent="0.25">
      <c r="A371" s="57"/>
      <c r="B371" s="57"/>
      <c r="C371" s="57"/>
      <c r="D371" s="57"/>
    </row>
    <row r="372" spans="1:4" x14ac:dyDescent="0.25">
      <c r="A372" s="57"/>
      <c r="B372" s="57"/>
      <c r="C372" s="57"/>
      <c r="D372" s="57"/>
    </row>
    <row r="373" spans="1:4" x14ac:dyDescent="0.25">
      <c r="A373" s="57"/>
      <c r="B373" s="57"/>
      <c r="C373" s="57"/>
      <c r="D373" s="57"/>
    </row>
    <row r="374" spans="1:4" x14ac:dyDescent="0.25">
      <c r="A374" s="57"/>
      <c r="B374" s="57"/>
      <c r="C374" s="57"/>
      <c r="D374" s="57"/>
    </row>
    <row r="375" spans="1:4" x14ac:dyDescent="0.25">
      <c r="A375" s="57"/>
      <c r="B375" s="57"/>
      <c r="C375" s="57"/>
      <c r="D375" s="57"/>
    </row>
    <row r="376" spans="1:4" x14ac:dyDescent="0.25">
      <c r="A376" s="57"/>
      <c r="B376" s="57"/>
      <c r="C376" s="57"/>
      <c r="D376" s="57"/>
    </row>
    <row r="377" spans="1:4" x14ac:dyDescent="0.25">
      <c r="A377" s="57"/>
      <c r="B377" s="57"/>
      <c r="C377" s="57"/>
      <c r="D377" s="57"/>
    </row>
    <row r="378" spans="1:4" x14ac:dyDescent="0.25">
      <c r="A378" s="57"/>
      <c r="B378" s="57"/>
      <c r="C378" s="57"/>
      <c r="D378" s="57"/>
    </row>
    <row r="379" spans="1:4" x14ac:dyDescent="0.25">
      <c r="A379" s="57"/>
      <c r="B379" s="57"/>
      <c r="C379" s="57"/>
      <c r="D379" s="57"/>
    </row>
    <row r="380" spans="1:4" x14ac:dyDescent="0.25">
      <c r="A380" s="57"/>
      <c r="B380" s="57"/>
      <c r="C380" s="57"/>
      <c r="D380" s="57"/>
    </row>
    <row r="381" spans="1:4" x14ac:dyDescent="0.25">
      <c r="A381" s="57"/>
      <c r="B381" s="57"/>
      <c r="C381" s="57"/>
      <c r="D381" s="57"/>
    </row>
    <row r="382" spans="1:4" x14ac:dyDescent="0.25">
      <c r="A382" s="57"/>
      <c r="B382" s="57"/>
      <c r="C382" s="57"/>
      <c r="D382" s="57"/>
    </row>
    <row r="383" spans="1:4" x14ac:dyDescent="0.25">
      <c r="A383" s="57"/>
      <c r="B383" s="57"/>
      <c r="C383" s="57"/>
      <c r="D383" s="57"/>
    </row>
    <row r="384" spans="1:4" x14ac:dyDescent="0.25">
      <c r="A384" s="57"/>
      <c r="B384" s="57"/>
      <c r="C384" s="57"/>
      <c r="D384" s="57"/>
    </row>
    <row r="385" spans="1:4" x14ac:dyDescent="0.25">
      <c r="A385" s="57"/>
      <c r="B385" s="57"/>
      <c r="C385" s="57"/>
      <c r="D385" s="57"/>
    </row>
    <row r="386" spans="1:4" x14ac:dyDescent="0.25">
      <c r="A386" s="57"/>
      <c r="B386" s="57"/>
      <c r="C386" s="57"/>
      <c r="D386" s="57"/>
    </row>
    <row r="387" spans="1:4" x14ac:dyDescent="0.25">
      <c r="A387" s="57"/>
      <c r="B387" s="57"/>
      <c r="C387" s="57"/>
      <c r="D387" s="57"/>
    </row>
    <row r="388" spans="1:4" x14ac:dyDescent="0.25">
      <c r="A388" s="57"/>
      <c r="B388" s="57"/>
      <c r="C388" s="57"/>
      <c r="D388" s="57"/>
    </row>
    <row r="389" spans="1:4" x14ac:dyDescent="0.25">
      <c r="A389" s="57"/>
      <c r="B389" s="57"/>
      <c r="C389" s="57"/>
      <c r="D389" s="57"/>
    </row>
    <row r="390" spans="1:4" x14ac:dyDescent="0.25">
      <c r="A390" s="57"/>
      <c r="B390" s="57"/>
      <c r="C390" s="57"/>
      <c r="D390" s="57"/>
    </row>
    <row r="391" spans="1:4" x14ac:dyDescent="0.25">
      <c r="A391" s="57"/>
      <c r="B391" s="57"/>
      <c r="C391" s="57"/>
      <c r="D391" s="57"/>
    </row>
    <row r="392" spans="1:4" x14ac:dyDescent="0.25">
      <c r="A392" s="57"/>
      <c r="B392" s="57"/>
      <c r="C392" s="57"/>
      <c r="D392" s="57"/>
    </row>
    <row r="393" spans="1:4" x14ac:dyDescent="0.25">
      <c r="A393" s="57"/>
      <c r="B393" s="57"/>
      <c r="C393" s="57"/>
      <c r="D393" s="57"/>
    </row>
    <row r="394" spans="1:4" x14ac:dyDescent="0.25">
      <c r="A394" s="57"/>
      <c r="B394" s="57"/>
      <c r="C394" s="57"/>
      <c r="D394" s="57"/>
    </row>
    <row r="395" spans="1:4" x14ac:dyDescent="0.25">
      <c r="A395" s="57"/>
      <c r="B395" s="57"/>
      <c r="C395" s="57"/>
      <c r="D395" s="57"/>
    </row>
    <row r="396" spans="1:4" x14ac:dyDescent="0.25">
      <c r="A396" s="57"/>
      <c r="B396" s="57"/>
      <c r="C396" s="57"/>
      <c r="D396" s="57"/>
    </row>
    <row r="397" spans="1:4" x14ac:dyDescent="0.25">
      <c r="A397" s="57"/>
      <c r="B397" s="57"/>
      <c r="C397" s="57"/>
      <c r="D397" s="57"/>
    </row>
    <row r="398" spans="1:4" x14ac:dyDescent="0.25">
      <c r="A398" s="57"/>
      <c r="B398" s="57"/>
      <c r="C398" s="57"/>
      <c r="D398" s="57"/>
    </row>
    <row r="399" spans="1:4" x14ac:dyDescent="0.25">
      <c r="A399" s="57"/>
      <c r="B399" s="57"/>
      <c r="C399" s="57"/>
      <c r="D399" s="57"/>
    </row>
    <row r="400" spans="1:4" x14ac:dyDescent="0.25">
      <c r="A400" s="57"/>
      <c r="B400" s="57"/>
      <c r="C400" s="57"/>
      <c r="D400" s="57"/>
    </row>
    <row r="401" spans="1:4" x14ac:dyDescent="0.25">
      <c r="A401" s="57"/>
      <c r="B401" s="57"/>
      <c r="C401" s="57"/>
      <c r="D401" s="57"/>
    </row>
    <row r="402" spans="1:4" x14ac:dyDescent="0.25">
      <c r="A402" s="57"/>
      <c r="B402" s="57"/>
      <c r="C402" s="57"/>
      <c r="D402" s="57"/>
    </row>
    <row r="403" spans="1:4" x14ac:dyDescent="0.25">
      <c r="A403" s="57"/>
      <c r="B403" s="57"/>
      <c r="C403" s="57"/>
      <c r="D403" s="57"/>
    </row>
    <row r="404" spans="1:4" x14ac:dyDescent="0.25">
      <c r="A404" s="57"/>
      <c r="B404" s="57"/>
      <c r="C404" s="57"/>
      <c r="D404" s="57"/>
    </row>
    <row r="405" spans="1:4" x14ac:dyDescent="0.25">
      <c r="A405" s="57"/>
      <c r="B405" s="57"/>
      <c r="C405" s="57"/>
      <c r="D405" s="57"/>
    </row>
    <row r="406" spans="1:4" x14ac:dyDescent="0.25">
      <c r="A406" s="57"/>
      <c r="B406" s="57"/>
      <c r="C406" s="57"/>
      <c r="D406" s="57"/>
    </row>
    <row r="407" spans="1:4" x14ac:dyDescent="0.25">
      <c r="A407" s="57"/>
      <c r="B407" s="57"/>
      <c r="C407" s="57"/>
      <c r="D407" s="57"/>
    </row>
    <row r="408" spans="1:4" x14ac:dyDescent="0.25">
      <c r="A408" s="57"/>
      <c r="B408" s="57"/>
      <c r="C408" s="57"/>
      <c r="D408" s="57"/>
    </row>
    <row r="409" spans="1:4" x14ac:dyDescent="0.25">
      <c r="A409" s="57"/>
      <c r="B409" s="57"/>
      <c r="C409" s="57"/>
      <c r="D409" s="57"/>
    </row>
    <row r="410" spans="1:4" x14ac:dyDescent="0.25">
      <c r="A410" s="57"/>
      <c r="B410" s="57"/>
      <c r="C410" s="57"/>
      <c r="D410" s="57"/>
    </row>
    <row r="411" spans="1:4" x14ac:dyDescent="0.25">
      <c r="A411" s="57"/>
      <c r="B411" s="57"/>
      <c r="C411" s="57"/>
      <c r="D411" s="57"/>
    </row>
    <row r="412" spans="1:4" x14ac:dyDescent="0.25">
      <c r="A412" s="57"/>
      <c r="B412" s="57"/>
      <c r="C412" s="57"/>
      <c r="D412" s="57"/>
    </row>
    <row r="413" spans="1:4" x14ac:dyDescent="0.25">
      <c r="A413" s="57"/>
      <c r="B413" s="57"/>
      <c r="C413" s="57"/>
      <c r="D413" s="57"/>
    </row>
    <row r="414" spans="1:4" x14ac:dyDescent="0.25">
      <c r="A414" s="57"/>
      <c r="B414" s="57"/>
      <c r="C414" s="57"/>
      <c r="D414" s="57"/>
    </row>
    <row r="415" spans="1:4" x14ac:dyDescent="0.25">
      <c r="A415" s="57"/>
      <c r="B415" s="57"/>
      <c r="C415" s="57"/>
      <c r="D415" s="57"/>
    </row>
    <row r="416" spans="1:4" x14ac:dyDescent="0.25">
      <c r="A416" s="57"/>
      <c r="B416" s="57"/>
      <c r="C416" s="57"/>
      <c r="D416" s="57"/>
    </row>
    <row r="417" spans="1:4" x14ac:dyDescent="0.25">
      <c r="A417" s="57"/>
      <c r="B417" s="57"/>
      <c r="C417" s="57"/>
      <c r="D417" s="57"/>
    </row>
    <row r="418" spans="1:4" x14ac:dyDescent="0.25">
      <c r="A418" s="57"/>
      <c r="B418" s="57"/>
      <c r="C418" s="57"/>
      <c r="D418" s="57"/>
    </row>
    <row r="419" spans="1:4" x14ac:dyDescent="0.25">
      <c r="A419" s="57"/>
      <c r="B419" s="57"/>
      <c r="C419" s="57"/>
      <c r="D419" s="57"/>
    </row>
    <row r="420" spans="1:4" x14ac:dyDescent="0.25">
      <c r="A420" s="57"/>
      <c r="B420" s="57"/>
      <c r="C420" s="57"/>
      <c r="D420" s="57"/>
    </row>
    <row r="421" spans="1:4" x14ac:dyDescent="0.25">
      <c r="A421" s="57"/>
      <c r="B421" s="57"/>
      <c r="C421" s="57"/>
      <c r="D421" s="57"/>
    </row>
    <row r="422" spans="1:4" x14ac:dyDescent="0.25">
      <c r="A422" s="57"/>
      <c r="B422" s="57"/>
      <c r="C422" s="57"/>
      <c r="D422" s="57"/>
    </row>
    <row r="423" spans="1:4" x14ac:dyDescent="0.25">
      <c r="A423" s="57"/>
      <c r="B423" s="57"/>
      <c r="C423" s="57"/>
      <c r="D423" s="57"/>
    </row>
    <row r="424" spans="1:4" x14ac:dyDescent="0.25">
      <c r="A424" s="57"/>
      <c r="B424" s="57"/>
      <c r="C424" s="57"/>
      <c r="D424" s="57"/>
    </row>
    <row r="425" spans="1:4" x14ac:dyDescent="0.25">
      <c r="A425" s="57"/>
      <c r="B425" s="57"/>
      <c r="C425" s="57"/>
      <c r="D425" s="57"/>
    </row>
    <row r="426" spans="1:4" x14ac:dyDescent="0.25">
      <c r="A426" s="57"/>
      <c r="B426" s="57"/>
      <c r="C426" s="57"/>
      <c r="D426" s="57"/>
    </row>
    <row r="427" spans="1:4" x14ac:dyDescent="0.25">
      <c r="A427" s="57"/>
      <c r="B427" s="57"/>
      <c r="C427" s="57"/>
      <c r="D427" s="57"/>
    </row>
    <row r="428" spans="1:4" x14ac:dyDescent="0.25">
      <c r="A428" s="57"/>
      <c r="B428" s="57"/>
      <c r="C428" s="57"/>
      <c r="D428" s="57"/>
    </row>
    <row r="429" spans="1:4" x14ac:dyDescent="0.25">
      <c r="A429" s="57"/>
      <c r="B429" s="57"/>
      <c r="C429" s="57"/>
      <c r="D429" s="57"/>
    </row>
    <row r="430" spans="1:4" x14ac:dyDescent="0.25">
      <c r="A430" s="57"/>
      <c r="B430" s="57"/>
      <c r="C430" s="57"/>
      <c r="D430" s="57"/>
    </row>
    <row r="431" spans="1:4" x14ac:dyDescent="0.25">
      <c r="A431" s="57"/>
      <c r="B431" s="57"/>
      <c r="C431" s="57"/>
      <c r="D431" s="57"/>
    </row>
    <row r="432" spans="1:4" x14ac:dyDescent="0.25">
      <c r="A432" s="57"/>
      <c r="B432" s="57"/>
      <c r="C432" s="57"/>
      <c r="D432" s="57"/>
    </row>
    <row r="433" spans="1:4" x14ac:dyDescent="0.25">
      <c r="A433" s="57"/>
      <c r="B433" s="57"/>
      <c r="C433" s="57"/>
      <c r="D433" s="57"/>
    </row>
    <row r="434" spans="1:4" x14ac:dyDescent="0.25">
      <c r="A434" s="57"/>
      <c r="B434" s="57"/>
      <c r="C434" s="57"/>
      <c r="D434" s="57"/>
    </row>
    <row r="435" spans="1:4" x14ac:dyDescent="0.25">
      <c r="A435" s="57"/>
      <c r="B435" s="57"/>
      <c r="C435" s="57"/>
      <c r="D435" s="57"/>
    </row>
    <row r="436" spans="1:4" x14ac:dyDescent="0.25">
      <c r="A436" s="57"/>
      <c r="B436" s="57"/>
      <c r="C436" s="57"/>
      <c r="D436" s="57"/>
    </row>
    <row r="437" spans="1:4" x14ac:dyDescent="0.25">
      <c r="A437" s="57"/>
      <c r="B437" s="57"/>
      <c r="C437" s="57"/>
      <c r="D437" s="57"/>
    </row>
    <row r="438" spans="1:4" x14ac:dyDescent="0.25">
      <c r="A438" s="57"/>
      <c r="B438" s="57"/>
      <c r="C438" s="57"/>
      <c r="D438" s="57"/>
    </row>
    <row r="439" spans="1:4" x14ac:dyDescent="0.25">
      <c r="A439" s="57"/>
      <c r="B439" s="57"/>
      <c r="C439" s="57"/>
      <c r="D439" s="57"/>
    </row>
    <row r="440" spans="1:4" x14ac:dyDescent="0.25">
      <c r="A440" s="57"/>
      <c r="B440" s="57"/>
      <c r="C440" s="57"/>
      <c r="D440" s="57"/>
    </row>
    <row r="441" spans="1:4" x14ac:dyDescent="0.25">
      <c r="A441" s="57"/>
      <c r="B441" s="57"/>
      <c r="C441" s="57"/>
      <c r="D441" s="57"/>
    </row>
    <row r="442" spans="1:4" x14ac:dyDescent="0.25">
      <c r="A442" s="57"/>
      <c r="B442" s="57"/>
      <c r="C442" s="57"/>
      <c r="D442" s="57"/>
    </row>
    <row r="443" spans="1:4" x14ac:dyDescent="0.25">
      <c r="A443" s="57"/>
      <c r="B443" s="57"/>
      <c r="C443" s="57"/>
      <c r="D443" s="57"/>
    </row>
    <row r="444" spans="1:4" x14ac:dyDescent="0.25">
      <c r="A444" s="57"/>
      <c r="B444" s="57"/>
      <c r="C444" s="57"/>
      <c r="D444" s="57"/>
    </row>
    <row r="445" spans="1:4" x14ac:dyDescent="0.25">
      <c r="A445" s="57"/>
      <c r="B445" s="57"/>
      <c r="C445" s="57"/>
      <c r="D445" s="57"/>
    </row>
    <row r="446" spans="1:4" x14ac:dyDescent="0.25">
      <c r="A446" s="57"/>
      <c r="B446" s="57"/>
      <c r="C446" s="57"/>
      <c r="D446" s="57"/>
    </row>
    <row r="447" spans="1:4" x14ac:dyDescent="0.25">
      <c r="A447" s="57"/>
      <c r="B447" s="57"/>
      <c r="C447" s="57"/>
      <c r="D447" s="57"/>
    </row>
    <row r="448" spans="1:4" x14ac:dyDescent="0.25">
      <c r="A448" s="57"/>
      <c r="B448" s="57"/>
      <c r="C448" s="57"/>
      <c r="D448" s="57"/>
    </row>
    <row r="449" spans="1:4" x14ac:dyDescent="0.25">
      <c r="A449" s="57"/>
      <c r="B449" s="57"/>
      <c r="C449" s="57"/>
      <c r="D449" s="57"/>
    </row>
    <row r="450" spans="1:4" x14ac:dyDescent="0.25">
      <c r="A450" s="57"/>
      <c r="B450" s="57"/>
      <c r="C450" s="57"/>
      <c r="D450" s="57"/>
    </row>
    <row r="451" spans="1:4" x14ac:dyDescent="0.25">
      <c r="A451" s="57"/>
      <c r="B451" s="57"/>
      <c r="C451" s="57"/>
      <c r="D451" s="57"/>
    </row>
    <row r="452" spans="1:4" x14ac:dyDescent="0.25">
      <c r="A452" s="57"/>
      <c r="B452" s="57"/>
      <c r="C452" s="57"/>
      <c r="D452" s="57"/>
    </row>
    <row r="453" spans="1:4" x14ac:dyDescent="0.25">
      <c r="A453" s="57"/>
      <c r="B453" s="57"/>
      <c r="C453" s="57"/>
      <c r="D453" s="57"/>
    </row>
    <row r="454" spans="1:4" x14ac:dyDescent="0.25">
      <c r="A454" s="57"/>
      <c r="B454" s="57"/>
      <c r="C454" s="57"/>
      <c r="D454" s="57"/>
    </row>
    <row r="455" spans="1:4" x14ac:dyDescent="0.25">
      <c r="A455" s="57"/>
      <c r="B455" s="57"/>
      <c r="C455" s="57"/>
      <c r="D455" s="57"/>
    </row>
    <row r="456" spans="1:4" x14ac:dyDescent="0.25">
      <c r="A456" s="57"/>
      <c r="B456" s="57"/>
      <c r="C456" s="57"/>
      <c r="D456" s="57"/>
    </row>
    <row r="457" spans="1:4" x14ac:dyDescent="0.25">
      <c r="A457" s="57"/>
      <c r="B457" s="57"/>
      <c r="C457" s="57"/>
      <c r="D457" s="57"/>
    </row>
    <row r="458" spans="1:4" x14ac:dyDescent="0.25">
      <c r="A458" s="57"/>
      <c r="B458" s="57"/>
      <c r="C458" s="57"/>
      <c r="D458" s="57"/>
    </row>
    <row r="459" spans="1:4" x14ac:dyDescent="0.25">
      <c r="A459" s="57"/>
      <c r="B459" s="57"/>
      <c r="C459" s="57"/>
      <c r="D459" s="57"/>
    </row>
    <row r="460" spans="1:4" x14ac:dyDescent="0.25">
      <c r="A460" s="57"/>
      <c r="B460" s="57"/>
      <c r="C460" s="57"/>
      <c r="D460" s="57"/>
    </row>
    <row r="461" spans="1:4" x14ac:dyDescent="0.25">
      <c r="A461" s="57"/>
      <c r="B461" s="57"/>
      <c r="C461" s="57"/>
      <c r="D461" s="57"/>
    </row>
    <row r="462" spans="1:4" x14ac:dyDescent="0.25">
      <c r="A462" s="57"/>
      <c r="B462" s="57"/>
      <c r="C462" s="57"/>
      <c r="D462" s="57"/>
    </row>
    <row r="463" spans="1:4" x14ac:dyDescent="0.25">
      <c r="A463" s="57"/>
      <c r="B463" s="57"/>
      <c r="C463" s="57"/>
      <c r="D463" s="57"/>
    </row>
    <row r="464" spans="1:4" x14ac:dyDescent="0.25">
      <c r="A464" s="57"/>
      <c r="B464" s="57"/>
      <c r="C464" s="57"/>
      <c r="D464" s="57"/>
    </row>
    <row r="465" spans="1:4" x14ac:dyDescent="0.25">
      <c r="A465" s="57"/>
      <c r="B465" s="57"/>
      <c r="C465" s="57"/>
      <c r="D465" s="57"/>
    </row>
    <row r="466" spans="1:4" x14ac:dyDescent="0.25">
      <c r="A466" s="57"/>
      <c r="B466" s="57"/>
      <c r="C466" s="57"/>
      <c r="D466" s="57"/>
    </row>
    <row r="467" spans="1:4" x14ac:dyDescent="0.25">
      <c r="A467" s="57"/>
      <c r="B467" s="57"/>
      <c r="C467" s="57"/>
      <c r="D467" s="57"/>
    </row>
    <row r="468" spans="1:4" x14ac:dyDescent="0.25">
      <c r="A468" s="57"/>
      <c r="B468" s="57"/>
      <c r="C468" s="57"/>
      <c r="D468" s="57"/>
    </row>
    <row r="469" spans="1:4" x14ac:dyDescent="0.25">
      <c r="A469" s="57"/>
      <c r="B469" s="57"/>
      <c r="C469" s="57"/>
      <c r="D469" s="57"/>
    </row>
    <row r="470" spans="1:4" x14ac:dyDescent="0.25">
      <c r="A470" s="57"/>
      <c r="B470" s="57"/>
      <c r="C470" s="57"/>
      <c r="D470" s="57"/>
    </row>
    <row r="471" spans="1:4" x14ac:dyDescent="0.25">
      <c r="A471" s="57"/>
      <c r="B471" s="57"/>
      <c r="C471" s="57"/>
      <c r="D471" s="57"/>
    </row>
    <row r="472" spans="1:4" x14ac:dyDescent="0.25">
      <c r="A472" s="57"/>
      <c r="B472" s="57"/>
      <c r="C472" s="57"/>
      <c r="D472" s="57"/>
    </row>
    <row r="473" spans="1:4" x14ac:dyDescent="0.25">
      <c r="A473" s="57"/>
      <c r="B473" s="57"/>
      <c r="C473" s="57"/>
      <c r="D473" s="57"/>
    </row>
    <row r="474" spans="1:4" x14ac:dyDescent="0.25">
      <c r="A474" s="57"/>
      <c r="B474" s="57"/>
      <c r="C474" s="57"/>
      <c r="D474" s="57"/>
    </row>
    <row r="475" spans="1:4" x14ac:dyDescent="0.25">
      <c r="A475" s="57"/>
      <c r="B475" s="57"/>
      <c r="C475" s="57"/>
      <c r="D475" s="57"/>
    </row>
    <row r="476" spans="1:4" x14ac:dyDescent="0.25">
      <c r="A476" s="57"/>
      <c r="B476" s="57"/>
      <c r="C476" s="57"/>
      <c r="D476" s="57"/>
    </row>
    <row r="477" spans="1:4" x14ac:dyDescent="0.25">
      <c r="A477" s="57"/>
      <c r="B477" s="57"/>
      <c r="C477" s="57"/>
      <c r="D477" s="57"/>
    </row>
    <row r="478" spans="1:4" x14ac:dyDescent="0.25">
      <c r="A478" s="57"/>
      <c r="B478" s="57"/>
      <c r="C478" s="57"/>
      <c r="D478" s="57"/>
    </row>
    <row r="479" spans="1:4" x14ac:dyDescent="0.25">
      <c r="A479" s="57"/>
      <c r="B479" s="57"/>
      <c r="C479" s="57"/>
      <c r="D479" s="57"/>
    </row>
    <row r="480" spans="1:4" x14ac:dyDescent="0.25">
      <c r="A480" s="57"/>
      <c r="B480" s="57"/>
      <c r="C480" s="57"/>
      <c r="D480" s="57"/>
    </row>
    <row r="481" spans="1:4" x14ac:dyDescent="0.25">
      <c r="A481" s="57"/>
      <c r="B481" s="57"/>
      <c r="C481" s="57"/>
      <c r="D481" s="57"/>
    </row>
    <row r="482" spans="1:4" x14ac:dyDescent="0.25">
      <c r="A482" s="57"/>
      <c r="B482" s="57"/>
      <c r="C482" s="57"/>
      <c r="D482" s="57"/>
    </row>
    <row r="483" spans="1:4" x14ac:dyDescent="0.25">
      <c r="A483" s="57"/>
      <c r="B483" s="57"/>
      <c r="C483" s="57"/>
      <c r="D483" s="57"/>
    </row>
    <row r="484" spans="1:4" x14ac:dyDescent="0.25">
      <c r="A484" s="57"/>
      <c r="B484" s="57"/>
      <c r="C484" s="57"/>
      <c r="D484" s="57"/>
    </row>
    <row r="485" spans="1:4" x14ac:dyDescent="0.25">
      <c r="A485" s="57"/>
      <c r="B485" s="57"/>
      <c r="C485" s="57"/>
      <c r="D485" s="57"/>
    </row>
    <row r="486" spans="1:4" x14ac:dyDescent="0.25">
      <c r="A486" s="57"/>
      <c r="B486" s="57"/>
      <c r="C486" s="57"/>
      <c r="D486" s="57"/>
    </row>
    <row r="487" spans="1:4" x14ac:dyDescent="0.25">
      <c r="A487" s="57"/>
      <c r="B487" s="57"/>
      <c r="C487" s="57"/>
      <c r="D487" s="57"/>
    </row>
    <row r="488" spans="1:4" x14ac:dyDescent="0.25">
      <c r="A488" s="57"/>
      <c r="B488" s="57"/>
      <c r="C488" s="57"/>
      <c r="D488" s="57"/>
    </row>
    <row r="489" spans="1:4" x14ac:dyDescent="0.25">
      <c r="A489" s="57"/>
      <c r="B489" s="57"/>
      <c r="C489" s="57"/>
      <c r="D489" s="57"/>
    </row>
    <row r="490" spans="1:4" x14ac:dyDescent="0.25">
      <c r="A490" s="57"/>
      <c r="B490" s="57"/>
      <c r="C490" s="57"/>
      <c r="D490" s="57"/>
    </row>
    <row r="491" spans="1:4" x14ac:dyDescent="0.25">
      <c r="A491" s="57"/>
      <c r="B491" s="57"/>
      <c r="C491" s="57"/>
      <c r="D491" s="57"/>
    </row>
    <row r="492" spans="1:4" x14ac:dyDescent="0.25">
      <c r="A492" s="57"/>
      <c r="B492" s="57"/>
      <c r="C492" s="57"/>
      <c r="D492" s="57"/>
    </row>
    <row r="493" spans="1:4" x14ac:dyDescent="0.25">
      <c r="A493" s="57"/>
      <c r="B493" s="57"/>
      <c r="C493" s="57"/>
      <c r="D493" s="57"/>
    </row>
    <row r="494" spans="1:4" x14ac:dyDescent="0.25">
      <c r="A494" s="57"/>
      <c r="B494" s="57"/>
      <c r="C494" s="57"/>
      <c r="D494" s="57"/>
    </row>
    <row r="495" spans="1:4" x14ac:dyDescent="0.25">
      <c r="A495" s="57"/>
      <c r="B495" s="57"/>
      <c r="C495" s="57"/>
      <c r="D495" s="57"/>
    </row>
    <row r="496" spans="1:4" x14ac:dyDescent="0.25">
      <c r="A496" s="57"/>
      <c r="B496" s="57"/>
      <c r="C496" s="57"/>
      <c r="D496" s="57"/>
    </row>
    <row r="497" spans="1:4" x14ac:dyDescent="0.25">
      <c r="A497" s="57"/>
      <c r="B497" s="57"/>
      <c r="C497" s="57"/>
      <c r="D497" s="57"/>
    </row>
    <row r="498" spans="1:4" x14ac:dyDescent="0.25">
      <c r="A498" s="57"/>
      <c r="B498" s="57"/>
      <c r="C498" s="57"/>
      <c r="D498" s="57"/>
    </row>
    <row r="499" spans="1:4" x14ac:dyDescent="0.25">
      <c r="A499" s="57"/>
      <c r="B499" s="57"/>
      <c r="C499" s="57"/>
      <c r="D499" s="57"/>
    </row>
    <row r="500" spans="1:4" x14ac:dyDescent="0.25">
      <c r="A500" s="57"/>
      <c r="B500" s="57"/>
      <c r="C500" s="57"/>
      <c r="D500" s="57"/>
    </row>
    <row r="501" spans="1:4" x14ac:dyDescent="0.25">
      <c r="A501" s="57"/>
      <c r="B501" s="57"/>
      <c r="C501" s="57"/>
      <c r="D501" s="57"/>
    </row>
    <row r="502" spans="1:4" x14ac:dyDescent="0.25">
      <c r="A502" s="57"/>
      <c r="B502" s="57"/>
      <c r="C502" s="57"/>
      <c r="D502" s="57"/>
    </row>
    <row r="503" spans="1:4" x14ac:dyDescent="0.25">
      <c r="A503" s="57"/>
      <c r="B503" s="57"/>
      <c r="C503" s="57"/>
      <c r="D503" s="57"/>
    </row>
    <row r="504" spans="1:4" x14ac:dyDescent="0.25">
      <c r="A504" s="57"/>
      <c r="B504" s="57"/>
      <c r="C504" s="57"/>
      <c r="D504" s="57"/>
    </row>
    <row r="505" spans="1:4" x14ac:dyDescent="0.25">
      <c r="A505" s="57"/>
      <c r="B505" s="57"/>
      <c r="C505" s="57"/>
      <c r="D505" s="57"/>
    </row>
    <row r="506" spans="1:4" x14ac:dyDescent="0.25">
      <c r="A506" s="57"/>
      <c r="B506" s="57"/>
      <c r="C506" s="57"/>
      <c r="D506" s="57"/>
    </row>
    <row r="507" spans="1:4" x14ac:dyDescent="0.25">
      <c r="A507" s="57"/>
      <c r="B507" s="57"/>
      <c r="C507" s="57"/>
      <c r="D507" s="57"/>
    </row>
    <row r="508" spans="1:4" x14ac:dyDescent="0.25">
      <c r="A508" s="57"/>
      <c r="B508" s="57"/>
      <c r="C508" s="57"/>
      <c r="D508" s="57"/>
    </row>
    <row r="509" spans="1:4" x14ac:dyDescent="0.25">
      <c r="A509" s="57"/>
      <c r="B509" s="57"/>
      <c r="C509" s="57"/>
      <c r="D509" s="57"/>
    </row>
    <row r="510" spans="1:4" x14ac:dyDescent="0.25">
      <c r="A510" s="57"/>
      <c r="B510" s="57"/>
      <c r="C510" s="57"/>
      <c r="D510" s="57"/>
    </row>
    <row r="511" spans="1:4" x14ac:dyDescent="0.25">
      <c r="A511" s="57"/>
      <c r="B511" s="57"/>
      <c r="C511" s="57"/>
      <c r="D511" s="57"/>
    </row>
    <row r="512" spans="1:4" x14ac:dyDescent="0.25">
      <c r="A512" s="57"/>
      <c r="B512" s="57"/>
      <c r="C512" s="57"/>
      <c r="D512" s="57"/>
    </row>
    <row r="513" spans="1:4" x14ac:dyDescent="0.25">
      <c r="A513" s="57"/>
      <c r="B513" s="57"/>
      <c r="C513" s="57"/>
      <c r="D513" s="57"/>
    </row>
    <row r="514" spans="1:4" x14ac:dyDescent="0.25">
      <c r="A514" s="57"/>
      <c r="B514" s="57"/>
      <c r="C514" s="57"/>
      <c r="D514" s="57"/>
    </row>
    <row r="515" spans="1:4" x14ac:dyDescent="0.25">
      <c r="A515" s="57"/>
      <c r="B515" s="57"/>
      <c r="C515" s="57"/>
      <c r="D515" s="57"/>
    </row>
    <row r="516" spans="1:4" x14ac:dyDescent="0.25">
      <c r="A516" s="57"/>
      <c r="B516" s="57"/>
      <c r="C516" s="57"/>
      <c r="D516" s="57"/>
    </row>
    <row r="517" spans="1:4" x14ac:dyDescent="0.25">
      <c r="A517" s="57"/>
      <c r="B517" s="57"/>
      <c r="C517" s="57"/>
      <c r="D517" s="57"/>
    </row>
    <row r="518" spans="1:4" x14ac:dyDescent="0.25">
      <c r="A518" s="57"/>
      <c r="B518" s="57"/>
      <c r="C518" s="57"/>
      <c r="D518" s="57"/>
    </row>
    <row r="519" spans="1:4" x14ac:dyDescent="0.25">
      <c r="A519" s="57"/>
      <c r="B519" s="57"/>
      <c r="C519" s="57"/>
      <c r="D519" s="57"/>
    </row>
    <row r="520" spans="1:4" x14ac:dyDescent="0.25">
      <c r="A520" s="57"/>
      <c r="B520" s="57"/>
      <c r="C520" s="57"/>
      <c r="D520" s="57"/>
    </row>
    <row r="521" spans="1:4" x14ac:dyDescent="0.25">
      <c r="A521" s="57"/>
      <c r="B521" s="57"/>
      <c r="C521" s="57"/>
      <c r="D521" s="57"/>
    </row>
    <row r="522" spans="1:4" x14ac:dyDescent="0.25">
      <c r="A522" s="57"/>
      <c r="B522" s="57"/>
      <c r="C522" s="57"/>
      <c r="D522" s="57"/>
    </row>
    <row r="523" spans="1:4" x14ac:dyDescent="0.25">
      <c r="A523" s="57"/>
      <c r="B523" s="57"/>
      <c r="C523" s="57"/>
      <c r="D523" s="57"/>
    </row>
    <row r="524" spans="1:4" x14ac:dyDescent="0.25">
      <c r="A524" s="57"/>
      <c r="B524" s="57"/>
      <c r="C524" s="57"/>
      <c r="D524" s="57"/>
    </row>
    <row r="525" spans="1:4" x14ac:dyDescent="0.25">
      <c r="A525" s="57"/>
      <c r="B525" s="57"/>
      <c r="C525" s="57"/>
      <c r="D525" s="57"/>
    </row>
    <row r="526" spans="1:4" x14ac:dyDescent="0.25">
      <c r="A526" s="57"/>
      <c r="B526" s="57"/>
      <c r="C526" s="57"/>
      <c r="D526" s="57"/>
    </row>
    <row r="527" spans="1:4" x14ac:dyDescent="0.25">
      <c r="A527" s="57"/>
      <c r="B527" s="57"/>
      <c r="C527" s="57"/>
      <c r="D527" s="57"/>
    </row>
    <row r="528" spans="1:4" x14ac:dyDescent="0.25">
      <c r="A528" s="57"/>
      <c r="B528" s="57"/>
      <c r="C528" s="57"/>
      <c r="D528" s="57"/>
    </row>
    <row r="529" spans="1:4" x14ac:dyDescent="0.25">
      <c r="A529" s="57"/>
      <c r="B529" s="57"/>
      <c r="C529" s="57"/>
      <c r="D529" s="57"/>
    </row>
    <row r="530" spans="1:4" x14ac:dyDescent="0.25">
      <c r="A530" s="57"/>
      <c r="B530" s="57"/>
      <c r="C530" s="57"/>
      <c r="D530" s="57"/>
    </row>
    <row r="531" spans="1:4" x14ac:dyDescent="0.25">
      <c r="A531" s="57"/>
      <c r="B531" s="57"/>
      <c r="C531" s="57"/>
      <c r="D531" s="57"/>
    </row>
    <row r="532" spans="1:4" x14ac:dyDescent="0.25">
      <c r="A532" s="57"/>
      <c r="B532" s="57"/>
      <c r="C532" s="57"/>
      <c r="D532" s="57"/>
    </row>
    <row r="533" spans="1:4" x14ac:dyDescent="0.25">
      <c r="A533" s="57"/>
      <c r="B533" s="57"/>
      <c r="C533" s="57"/>
      <c r="D533" s="57"/>
    </row>
    <row r="534" spans="1:4" x14ac:dyDescent="0.25">
      <c r="A534" s="57"/>
      <c r="B534" s="57"/>
      <c r="C534" s="57"/>
      <c r="D534" s="57"/>
    </row>
    <row r="535" spans="1:4" x14ac:dyDescent="0.25">
      <c r="A535" s="57"/>
      <c r="B535" s="57"/>
      <c r="C535" s="57"/>
      <c r="D535" s="57"/>
    </row>
    <row r="536" spans="1:4" x14ac:dyDescent="0.25">
      <c r="A536" s="57"/>
      <c r="B536" s="57"/>
      <c r="C536" s="57"/>
      <c r="D536" s="57"/>
    </row>
    <row r="537" spans="1:4" x14ac:dyDescent="0.25">
      <c r="A537" s="57"/>
      <c r="B537" s="57"/>
      <c r="C537" s="57"/>
      <c r="D537" s="57"/>
    </row>
    <row r="538" spans="1:4" x14ac:dyDescent="0.25">
      <c r="A538" s="57"/>
      <c r="B538" s="57"/>
      <c r="C538" s="57"/>
      <c r="D538" s="57"/>
    </row>
    <row r="539" spans="1:4" x14ac:dyDescent="0.25">
      <c r="A539" s="57"/>
      <c r="B539" s="57"/>
      <c r="C539" s="57"/>
      <c r="D539" s="57"/>
    </row>
    <row r="540" spans="1:4" x14ac:dyDescent="0.25">
      <c r="A540" s="57"/>
      <c r="B540" s="57"/>
      <c r="C540" s="57"/>
      <c r="D540" s="57"/>
    </row>
    <row r="541" spans="1:4" x14ac:dyDescent="0.25">
      <c r="A541" s="57"/>
      <c r="B541" s="57"/>
      <c r="C541" s="57"/>
      <c r="D541" s="57"/>
    </row>
    <row r="542" spans="1:4" x14ac:dyDescent="0.25">
      <c r="A542" s="57"/>
      <c r="B542" s="57"/>
      <c r="C542" s="57"/>
      <c r="D542" s="57"/>
    </row>
    <row r="543" spans="1:4" x14ac:dyDescent="0.25">
      <c r="A543" s="57"/>
      <c r="B543" s="57"/>
      <c r="C543" s="57"/>
      <c r="D543" s="57"/>
    </row>
    <row r="544" spans="1:4" x14ac:dyDescent="0.25">
      <c r="A544" s="57"/>
      <c r="B544" s="57"/>
      <c r="C544" s="57"/>
      <c r="D544" s="57"/>
    </row>
    <row r="545" spans="1:4" x14ac:dyDescent="0.25">
      <c r="A545" s="57"/>
      <c r="B545" s="57"/>
      <c r="C545" s="57"/>
      <c r="D545" s="57"/>
    </row>
    <row r="546" spans="1:4" x14ac:dyDescent="0.25">
      <c r="A546" s="57"/>
      <c r="B546" s="57"/>
      <c r="C546" s="57"/>
      <c r="D546" s="57"/>
    </row>
    <row r="547" spans="1:4" x14ac:dyDescent="0.25">
      <c r="A547" s="57"/>
      <c r="B547" s="57"/>
      <c r="C547" s="57"/>
      <c r="D547" s="57"/>
    </row>
    <row r="548" spans="1:4" x14ac:dyDescent="0.25">
      <c r="A548" s="57"/>
      <c r="B548" s="57"/>
      <c r="C548" s="57"/>
      <c r="D548" s="57"/>
    </row>
    <row r="549" spans="1:4" x14ac:dyDescent="0.25">
      <c r="A549" s="57"/>
      <c r="B549" s="57"/>
      <c r="C549" s="57"/>
      <c r="D549" s="57"/>
    </row>
    <row r="550" spans="1:4" x14ac:dyDescent="0.25">
      <c r="A550" s="57"/>
      <c r="B550" s="57"/>
      <c r="C550" s="57"/>
      <c r="D550" s="57"/>
    </row>
    <row r="551" spans="1:4" x14ac:dyDescent="0.25">
      <c r="A551" s="57"/>
      <c r="B551" s="57"/>
      <c r="C551" s="57"/>
      <c r="D551" s="57"/>
    </row>
    <row r="552" spans="1:4" x14ac:dyDescent="0.25">
      <c r="A552" s="57"/>
      <c r="B552" s="57"/>
      <c r="C552" s="57"/>
      <c r="D552" s="57"/>
    </row>
    <row r="553" spans="1:4" x14ac:dyDescent="0.25">
      <c r="A553" s="57"/>
      <c r="B553" s="57"/>
      <c r="C553" s="57"/>
      <c r="D553" s="57"/>
    </row>
    <row r="554" spans="1:4" x14ac:dyDescent="0.25">
      <c r="A554" s="57"/>
      <c r="B554" s="57"/>
      <c r="C554" s="57"/>
      <c r="D554" s="57"/>
    </row>
    <row r="555" spans="1:4" x14ac:dyDescent="0.25">
      <c r="A555" s="57"/>
      <c r="B555" s="57"/>
      <c r="C555" s="57"/>
      <c r="D555" s="57"/>
    </row>
    <row r="556" spans="1:4" x14ac:dyDescent="0.25">
      <c r="A556" s="57"/>
      <c r="B556" s="57"/>
      <c r="C556" s="57"/>
      <c r="D556" s="57"/>
    </row>
    <row r="557" spans="1:4" x14ac:dyDescent="0.25">
      <c r="A557" s="57"/>
      <c r="B557" s="57"/>
      <c r="C557" s="57"/>
      <c r="D557" s="57"/>
    </row>
    <row r="558" spans="1:4" x14ac:dyDescent="0.25">
      <c r="A558" s="57"/>
      <c r="B558" s="57"/>
      <c r="C558" s="57"/>
      <c r="D558" s="57"/>
    </row>
    <row r="559" spans="1:4" x14ac:dyDescent="0.25">
      <c r="A559" s="57"/>
      <c r="B559" s="57"/>
      <c r="C559" s="57"/>
      <c r="D559" s="57"/>
    </row>
    <row r="560" spans="1:4" x14ac:dyDescent="0.25">
      <c r="A560" s="57"/>
      <c r="B560" s="57"/>
      <c r="C560" s="57"/>
      <c r="D560" s="57"/>
    </row>
    <row r="561" spans="1:4" x14ac:dyDescent="0.25">
      <c r="A561" s="57"/>
      <c r="B561" s="57"/>
      <c r="C561" s="57"/>
      <c r="D561" s="57"/>
    </row>
    <row r="562" spans="1:4" x14ac:dyDescent="0.25">
      <c r="A562" s="57"/>
      <c r="B562" s="57"/>
      <c r="C562" s="57"/>
      <c r="D562" s="57"/>
    </row>
    <row r="563" spans="1:4" x14ac:dyDescent="0.25">
      <c r="A563" s="57"/>
      <c r="B563" s="57"/>
      <c r="C563" s="57"/>
      <c r="D563" s="57"/>
    </row>
    <row r="564" spans="1:4" x14ac:dyDescent="0.25">
      <c r="A564" s="57"/>
      <c r="B564" s="57"/>
      <c r="C564" s="57"/>
      <c r="D564" s="57"/>
    </row>
    <row r="565" spans="1:4" x14ac:dyDescent="0.25">
      <c r="A565" s="57"/>
      <c r="B565" s="57"/>
      <c r="C565" s="57"/>
      <c r="D565" s="57"/>
    </row>
    <row r="566" spans="1:4" x14ac:dyDescent="0.25">
      <c r="A566" s="57"/>
      <c r="B566" s="57"/>
      <c r="C566" s="57"/>
      <c r="D566" s="57"/>
    </row>
    <row r="567" spans="1:4" x14ac:dyDescent="0.25">
      <c r="A567" s="57"/>
      <c r="B567" s="57"/>
      <c r="C567" s="57"/>
      <c r="D567" s="57"/>
    </row>
    <row r="568" spans="1:4" x14ac:dyDescent="0.25">
      <c r="A568" s="57"/>
      <c r="B568" s="57"/>
      <c r="C568" s="57"/>
      <c r="D568" s="57"/>
    </row>
    <row r="569" spans="1:4" x14ac:dyDescent="0.25">
      <c r="A569" s="57"/>
      <c r="B569" s="57"/>
      <c r="C569" s="57"/>
      <c r="D569" s="57"/>
    </row>
    <row r="570" spans="1:4" x14ac:dyDescent="0.25">
      <c r="A570" s="57"/>
      <c r="B570" s="57"/>
      <c r="C570" s="57"/>
      <c r="D570" s="57"/>
    </row>
    <row r="571" spans="1:4" x14ac:dyDescent="0.25">
      <c r="A571" s="57"/>
      <c r="B571" s="57"/>
      <c r="C571" s="57"/>
      <c r="D571" s="57"/>
    </row>
    <row r="572" spans="1:4" x14ac:dyDescent="0.25">
      <c r="A572" s="57"/>
      <c r="B572" s="57"/>
      <c r="C572" s="57"/>
      <c r="D572" s="57"/>
    </row>
    <row r="573" spans="1:4" x14ac:dyDescent="0.25">
      <c r="A573" s="57"/>
      <c r="B573" s="57"/>
      <c r="C573" s="57"/>
      <c r="D573" s="57"/>
    </row>
    <row r="574" spans="1:4" x14ac:dyDescent="0.25">
      <c r="A574" s="57"/>
      <c r="B574" s="57"/>
      <c r="C574" s="57"/>
      <c r="D574" s="57"/>
    </row>
    <row r="575" spans="1:4" x14ac:dyDescent="0.25">
      <c r="A575" s="57"/>
      <c r="B575" s="57"/>
      <c r="C575" s="57"/>
      <c r="D575" s="57"/>
    </row>
    <row r="576" spans="1:4" x14ac:dyDescent="0.25">
      <c r="A576" s="57"/>
      <c r="B576" s="57"/>
      <c r="C576" s="57"/>
      <c r="D576" s="57"/>
    </row>
    <row r="577" spans="1:4" x14ac:dyDescent="0.25">
      <c r="A577" s="57"/>
      <c r="B577" s="57"/>
      <c r="C577" s="57"/>
      <c r="D577" s="57"/>
    </row>
    <row r="578" spans="1:4" x14ac:dyDescent="0.25">
      <c r="A578" s="57"/>
      <c r="B578" s="57"/>
      <c r="C578" s="57"/>
      <c r="D578" s="57"/>
    </row>
    <row r="579" spans="1:4" x14ac:dyDescent="0.25">
      <c r="A579" s="57"/>
      <c r="B579" s="57"/>
      <c r="C579" s="57"/>
      <c r="D579" s="57"/>
    </row>
    <row r="580" spans="1:4" x14ac:dyDescent="0.25">
      <c r="A580" s="57"/>
      <c r="B580" s="57"/>
      <c r="C580" s="57"/>
      <c r="D580" s="57"/>
    </row>
    <row r="581" spans="1:4" x14ac:dyDescent="0.25">
      <c r="A581" s="57"/>
      <c r="B581" s="57"/>
      <c r="C581" s="57"/>
      <c r="D581" s="57"/>
    </row>
    <row r="582" spans="1:4" x14ac:dyDescent="0.25">
      <c r="A582" s="57"/>
      <c r="B582" s="57"/>
      <c r="C582" s="57"/>
      <c r="D582" s="57"/>
    </row>
    <row r="583" spans="1:4" x14ac:dyDescent="0.25">
      <c r="A583" s="57"/>
      <c r="B583" s="57"/>
      <c r="C583" s="57"/>
      <c r="D583" s="57"/>
    </row>
    <row r="584" spans="1:4" x14ac:dyDescent="0.25">
      <c r="A584" s="57"/>
      <c r="B584" s="57"/>
      <c r="C584" s="57"/>
      <c r="D584" s="57"/>
    </row>
    <row r="585" spans="1:4" x14ac:dyDescent="0.25">
      <c r="A585" s="57"/>
      <c r="B585" s="57"/>
      <c r="C585" s="57"/>
      <c r="D585" s="57"/>
    </row>
    <row r="586" spans="1:4" x14ac:dyDescent="0.25">
      <c r="A586" s="57"/>
      <c r="B586" s="57"/>
      <c r="C586" s="57"/>
      <c r="D586" s="57"/>
    </row>
    <row r="587" spans="1:4" x14ac:dyDescent="0.25">
      <c r="A587" s="57"/>
      <c r="B587" s="57"/>
      <c r="C587" s="57"/>
      <c r="D587" s="57"/>
    </row>
    <row r="588" spans="1:4" x14ac:dyDescent="0.25">
      <c r="A588" s="57"/>
      <c r="B588" s="57"/>
      <c r="C588" s="57"/>
      <c r="D588" s="57"/>
    </row>
    <row r="589" spans="1:4" x14ac:dyDescent="0.25">
      <c r="A589" s="57"/>
      <c r="B589" s="57"/>
      <c r="C589" s="57"/>
      <c r="D589" s="57"/>
    </row>
    <row r="590" spans="1:4" x14ac:dyDescent="0.25">
      <c r="A590" s="57"/>
      <c r="B590" s="57"/>
      <c r="C590" s="57"/>
      <c r="D590" s="57"/>
    </row>
    <row r="591" spans="1:4" x14ac:dyDescent="0.25">
      <c r="A591" s="57"/>
      <c r="B591" s="57"/>
      <c r="C591" s="57"/>
      <c r="D591" s="57"/>
    </row>
    <row r="592" spans="1:4" x14ac:dyDescent="0.25">
      <c r="A592" s="57"/>
      <c r="B592" s="57"/>
      <c r="C592" s="57"/>
      <c r="D592" s="57"/>
    </row>
    <row r="593" spans="1:4" x14ac:dyDescent="0.25">
      <c r="A593" s="57"/>
      <c r="B593" s="57"/>
      <c r="C593" s="57"/>
      <c r="D593" s="57"/>
    </row>
    <row r="594" spans="1:4" x14ac:dyDescent="0.25">
      <c r="A594" s="57"/>
      <c r="B594" s="57"/>
      <c r="C594" s="57"/>
      <c r="D594" s="57"/>
    </row>
    <row r="595" spans="1:4" x14ac:dyDescent="0.25">
      <c r="A595" s="57"/>
      <c r="B595" s="57"/>
      <c r="C595" s="57"/>
      <c r="D595" s="57"/>
    </row>
    <row r="596" spans="1:4" x14ac:dyDescent="0.25">
      <c r="A596" s="57"/>
      <c r="B596" s="57"/>
      <c r="C596" s="57"/>
      <c r="D596" s="57"/>
    </row>
    <row r="597" spans="1:4" x14ac:dyDescent="0.25">
      <c r="A597" s="57"/>
      <c r="B597" s="57"/>
      <c r="C597" s="57"/>
      <c r="D597" s="57"/>
    </row>
    <row r="598" spans="1:4" x14ac:dyDescent="0.25">
      <c r="A598" s="57"/>
      <c r="B598" s="57"/>
      <c r="C598" s="57"/>
      <c r="D598" s="57"/>
    </row>
    <row r="599" spans="1:4" x14ac:dyDescent="0.25">
      <c r="A599" s="57"/>
      <c r="B599" s="57"/>
      <c r="C599" s="57"/>
      <c r="D599" s="57"/>
    </row>
    <row r="600" spans="1:4" x14ac:dyDescent="0.25">
      <c r="A600" s="57"/>
      <c r="B600" s="57"/>
      <c r="C600" s="57"/>
      <c r="D600" s="57"/>
    </row>
    <row r="601" spans="1:4" x14ac:dyDescent="0.25">
      <c r="A601" s="57"/>
      <c r="B601" s="57"/>
      <c r="C601" s="57"/>
      <c r="D601" s="57"/>
    </row>
    <row r="602" spans="1:4" x14ac:dyDescent="0.25">
      <c r="A602" s="57"/>
      <c r="B602" s="57"/>
      <c r="C602" s="57"/>
      <c r="D602" s="57"/>
    </row>
    <row r="603" spans="1:4" x14ac:dyDescent="0.25">
      <c r="A603" s="57"/>
      <c r="B603" s="57"/>
      <c r="C603" s="57"/>
      <c r="D603" s="57"/>
    </row>
    <row r="604" spans="1:4" x14ac:dyDescent="0.25">
      <c r="A604" s="57"/>
      <c r="B604" s="57"/>
      <c r="C604" s="57"/>
      <c r="D604" s="57"/>
    </row>
    <row r="605" spans="1:4" x14ac:dyDescent="0.25">
      <c r="A605" s="57"/>
      <c r="B605" s="57"/>
      <c r="C605" s="57"/>
      <c r="D605" s="57"/>
    </row>
    <row r="606" spans="1:4" x14ac:dyDescent="0.25">
      <c r="A606" s="57"/>
      <c r="B606" s="57"/>
      <c r="C606" s="57"/>
      <c r="D606" s="57"/>
    </row>
    <row r="607" spans="1:4" x14ac:dyDescent="0.25">
      <c r="A607" s="57"/>
      <c r="B607" s="57"/>
      <c r="C607" s="57"/>
      <c r="D607" s="57"/>
    </row>
    <row r="608" spans="1:4" x14ac:dyDescent="0.25">
      <c r="A608" s="57"/>
      <c r="B608" s="57"/>
      <c r="C608" s="57"/>
      <c r="D608" s="57"/>
    </row>
    <row r="609" spans="1:4" x14ac:dyDescent="0.25">
      <c r="A609" s="57"/>
      <c r="B609" s="57"/>
      <c r="C609" s="57"/>
      <c r="D609" s="57"/>
    </row>
    <row r="610" spans="1:4" x14ac:dyDescent="0.25">
      <c r="A610" s="57"/>
      <c r="B610" s="57"/>
      <c r="C610" s="57"/>
      <c r="D610" s="57"/>
    </row>
    <row r="611" spans="1:4" x14ac:dyDescent="0.25">
      <c r="A611" s="57"/>
      <c r="B611" s="57"/>
      <c r="C611" s="57"/>
      <c r="D611" s="57"/>
    </row>
    <row r="612" spans="1:4" x14ac:dyDescent="0.25">
      <c r="A612" s="57"/>
      <c r="B612" s="57"/>
      <c r="C612" s="57"/>
      <c r="D612" s="57"/>
    </row>
    <row r="613" spans="1:4" x14ac:dyDescent="0.25">
      <c r="A613" s="57"/>
      <c r="B613" s="57"/>
      <c r="C613" s="57"/>
      <c r="D613" s="57"/>
    </row>
    <row r="614" spans="1:4" x14ac:dyDescent="0.25">
      <c r="A614" s="57"/>
      <c r="B614" s="57"/>
      <c r="C614" s="57"/>
      <c r="D614" s="57"/>
    </row>
    <row r="615" spans="1:4" x14ac:dyDescent="0.25">
      <c r="A615" s="57"/>
      <c r="B615" s="57"/>
      <c r="C615" s="57"/>
      <c r="D615" s="57"/>
    </row>
    <row r="616" spans="1:4" x14ac:dyDescent="0.25">
      <c r="A616" s="57"/>
      <c r="B616" s="57"/>
      <c r="C616" s="57"/>
      <c r="D616" s="57"/>
    </row>
    <row r="617" spans="1:4" x14ac:dyDescent="0.25">
      <c r="A617" s="57"/>
      <c r="B617" s="57"/>
      <c r="C617" s="57"/>
      <c r="D617" s="57"/>
    </row>
    <row r="618" spans="1:4" x14ac:dyDescent="0.25">
      <c r="A618" s="57"/>
      <c r="B618" s="57"/>
      <c r="C618" s="57"/>
      <c r="D618" s="57"/>
    </row>
    <row r="619" spans="1:4" x14ac:dyDescent="0.25">
      <c r="A619" s="57"/>
      <c r="B619" s="57"/>
      <c r="C619" s="57"/>
      <c r="D619" s="57"/>
    </row>
    <row r="620" spans="1:4" x14ac:dyDescent="0.25">
      <c r="A620" s="57"/>
      <c r="B620" s="57"/>
      <c r="C620" s="57"/>
      <c r="D620" s="57"/>
    </row>
    <row r="621" spans="1:4" x14ac:dyDescent="0.25">
      <c r="A621" s="57"/>
      <c r="B621" s="57"/>
      <c r="C621" s="57"/>
      <c r="D621" s="57"/>
    </row>
    <row r="622" spans="1:4" x14ac:dyDescent="0.25">
      <c r="A622" s="57"/>
      <c r="B622" s="57"/>
      <c r="C622" s="57"/>
      <c r="D622" s="57"/>
    </row>
    <row r="623" spans="1:4" x14ac:dyDescent="0.25">
      <c r="A623" s="57"/>
      <c r="B623" s="57"/>
      <c r="C623" s="57"/>
      <c r="D623" s="57"/>
    </row>
    <row r="624" spans="1:4" x14ac:dyDescent="0.25">
      <c r="A624" s="57"/>
      <c r="B624" s="57"/>
      <c r="C624" s="57"/>
      <c r="D624" s="57"/>
    </row>
    <row r="625" spans="1:4" x14ac:dyDescent="0.25">
      <c r="A625" s="57"/>
      <c r="B625" s="57"/>
      <c r="C625" s="57"/>
      <c r="D625" s="57"/>
    </row>
    <row r="626" spans="1:4" x14ac:dyDescent="0.25">
      <c r="A626" s="57"/>
      <c r="B626" s="57"/>
      <c r="C626" s="57"/>
      <c r="D626" s="57"/>
    </row>
    <row r="627" spans="1:4" x14ac:dyDescent="0.25">
      <c r="A627" s="57"/>
      <c r="B627" s="57"/>
      <c r="C627" s="57"/>
      <c r="D627" s="57"/>
    </row>
    <row r="628" spans="1:4" x14ac:dyDescent="0.25">
      <c r="A628" s="57"/>
      <c r="B628" s="57"/>
      <c r="C628" s="57"/>
      <c r="D628" s="57"/>
    </row>
    <row r="629" spans="1:4" x14ac:dyDescent="0.25">
      <c r="A629" s="57"/>
      <c r="B629" s="57"/>
      <c r="C629" s="57"/>
      <c r="D629" s="57"/>
    </row>
    <row r="630" spans="1:4" x14ac:dyDescent="0.25">
      <c r="A630" s="57"/>
      <c r="B630" s="57"/>
      <c r="C630" s="57"/>
      <c r="D630" s="57"/>
    </row>
    <row r="631" spans="1:4" x14ac:dyDescent="0.25">
      <c r="A631" s="57"/>
      <c r="B631" s="57"/>
      <c r="C631" s="57"/>
      <c r="D631" s="57"/>
    </row>
    <row r="632" spans="1:4" x14ac:dyDescent="0.25">
      <c r="A632" s="57"/>
      <c r="B632" s="57"/>
      <c r="C632" s="57"/>
      <c r="D632" s="57"/>
    </row>
    <row r="633" spans="1:4" x14ac:dyDescent="0.25">
      <c r="A633" s="57"/>
      <c r="B633" s="57"/>
      <c r="C633" s="57"/>
      <c r="D633" s="57"/>
    </row>
    <row r="634" spans="1:4" x14ac:dyDescent="0.25">
      <c r="A634" s="57"/>
      <c r="B634" s="57"/>
      <c r="C634" s="57"/>
      <c r="D634" s="57"/>
    </row>
    <row r="635" spans="1:4" x14ac:dyDescent="0.25">
      <c r="A635" s="57"/>
      <c r="B635" s="57"/>
      <c r="C635" s="57"/>
      <c r="D635" s="57"/>
    </row>
    <row r="636" spans="1:4" x14ac:dyDescent="0.25">
      <c r="A636" s="57"/>
      <c r="B636" s="57"/>
      <c r="C636" s="57"/>
      <c r="D636" s="57"/>
    </row>
    <row r="637" spans="1:4" x14ac:dyDescent="0.25">
      <c r="A637" s="57"/>
      <c r="B637" s="57"/>
      <c r="C637" s="57"/>
      <c r="D637" s="57"/>
    </row>
    <row r="638" spans="1:4" x14ac:dyDescent="0.25">
      <c r="A638" s="57"/>
      <c r="B638" s="57"/>
      <c r="C638" s="57"/>
      <c r="D638" s="57"/>
    </row>
    <row r="639" spans="1:4" x14ac:dyDescent="0.25">
      <c r="A639" s="57"/>
      <c r="B639" s="57"/>
      <c r="C639" s="57"/>
      <c r="D639" s="57"/>
    </row>
    <row r="640" spans="1:4" x14ac:dyDescent="0.25">
      <c r="A640" s="57"/>
      <c r="B640" s="57"/>
      <c r="C640" s="57"/>
      <c r="D640" s="57"/>
    </row>
    <row r="641" spans="1:4" x14ac:dyDescent="0.25">
      <c r="A641" s="57"/>
      <c r="B641" s="57"/>
      <c r="C641" s="57"/>
      <c r="D641" s="57"/>
    </row>
    <row r="642" spans="1:4" x14ac:dyDescent="0.25">
      <c r="A642" s="57"/>
      <c r="B642" s="57"/>
      <c r="C642" s="57"/>
      <c r="D642" s="57"/>
    </row>
    <row r="643" spans="1:4" x14ac:dyDescent="0.25">
      <c r="A643" s="57"/>
      <c r="B643" s="57"/>
      <c r="C643" s="57"/>
      <c r="D643" s="57"/>
    </row>
    <row r="644" spans="1:4" x14ac:dyDescent="0.25">
      <c r="A644" s="57"/>
      <c r="B644" s="57"/>
      <c r="C644" s="57"/>
      <c r="D644" s="57"/>
    </row>
    <row r="645" spans="1:4" x14ac:dyDescent="0.25">
      <c r="A645" s="57"/>
      <c r="B645" s="57"/>
      <c r="C645" s="57"/>
      <c r="D645" s="57"/>
    </row>
    <row r="646" spans="1:4" x14ac:dyDescent="0.25">
      <c r="A646" s="57"/>
      <c r="B646" s="57"/>
      <c r="C646" s="57"/>
      <c r="D646" s="57"/>
    </row>
    <row r="647" spans="1:4" x14ac:dyDescent="0.25">
      <c r="A647" s="57"/>
      <c r="B647" s="57"/>
      <c r="C647" s="57"/>
      <c r="D647" s="57"/>
    </row>
    <row r="648" spans="1:4" x14ac:dyDescent="0.25">
      <c r="A648" s="57"/>
      <c r="B648" s="57"/>
      <c r="C648" s="57"/>
      <c r="D648" s="57"/>
    </row>
    <row r="649" spans="1:4" x14ac:dyDescent="0.25">
      <c r="A649" s="57"/>
      <c r="B649" s="57"/>
      <c r="C649" s="57"/>
      <c r="D649" s="57"/>
    </row>
    <row r="650" spans="1:4" x14ac:dyDescent="0.25">
      <c r="A650" s="57"/>
      <c r="B650" s="57"/>
      <c r="C650" s="57"/>
      <c r="D650" s="57"/>
    </row>
    <row r="651" spans="1:4" x14ac:dyDescent="0.25">
      <c r="A651" s="57"/>
      <c r="B651" s="57"/>
      <c r="C651" s="57"/>
      <c r="D651" s="57"/>
    </row>
    <row r="652" spans="1:4" x14ac:dyDescent="0.25">
      <c r="A652" s="57"/>
      <c r="B652" s="57"/>
      <c r="C652" s="57"/>
      <c r="D652" s="57"/>
    </row>
    <row r="653" spans="1:4" x14ac:dyDescent="0.25">
      <c r="A653" s="57"/>
      <c r="B653" s="57"/>
      <c r="C653" s="57"/>
      <c r="D653" s="57"/>
    </row>
    <row r="654" spans="1:4" x14ac:dyDescent="0.25">
      <c r="A654" s="57"/>
      <c r="B654" s="57"/>
      <c r="C654" s="57"/>
      <c r="D654" s="57"/>
    </row>
    <row r="655" spans="1:4" x14ac:dyDescent="0.25">
      <c r="A655" s="57"/>
      <c r="B655" s="57"/>
      <c r="C655" s="57"/>
      <c r="D655" s="57"/>
    </row>
    <row r="656" spans="1:4" x14ac:dyDescent="0.25">
      <c r="A656" s="57"/>
      <c r="B656" s="57"/>
      <c r="C656" s="57"/>
      <c r="D656" s="57"/>
    </row>
    <row r="657" spans="1:4" x14ac:dyDescent="0.25">
      <c r="A657" s="57"/>
      <c r="B657" s="57"/>
      <c r="C657" s="57"/>
      <c r="D657" s="57"/>
    </row>
    <row r="658" spans="1:4" x14ac:dyDescent="0.25">
      <c r="A658" s="57"/>
      <c r="B658" s="57"/>
      <c r="C658" s="57"/>
      <c r="D658" s="57"/>
    </row>
    <row r="659" spans="1:4" x14ac:dyDescent="0.25">
      <c r="A659" s="57"/>
      <c r="B659" s="57"/>
      <c r="C659" s="57"/>
      <c r="D659" s="57"/>
    </row>
    <row r="660" spans="1:4" x14ac:dyDescent="0.25">
      <c r="A660" s="57"/>
      <c r="B660" s="57"/>
      <c r="C660" s="57"/>
      <c r="D660" s="57"/>
    </row>
    <row r="661" spans="1:4" x14ac:dyDescent="0.25">
      <c r="A661" s="57"/>
      <c r="B661" s="57"/>
      <c r="C661" s="57"/>
      <c r="D661" s="57"/>
    </row>
    <row r="662" spans="1:4" x14ac:dyDescent="0.25">
      <c r="A662" s="57"/>
      <c r="B662" s="57"/>
      <c r="C662" s="57"/>
      <c r="D662" s="57"/>
    </row>
    <row r="663" spans="1:4" x14ac:dyDescent="0.25">
      <c r="A663" s="57"/>
      <c r="B663" s="57"/>
      <c r="C663" s="57"/>
      <c r="D663" s="57"/>
    </row>
    <row r="664" spans="1:4" x14ac:dyDescent="0.25">
      <c r="A664" s="57"/>
      <c r="B664" s="57"/>
      <c r="C664" s="57"/>
      <c r="D664" s="57"/>
    </row>
    <row r="665" spans="1:4" x14ac:dyDescent="0.25">
      <c r="A665" s="57"/>
      <c r="B665" s="57"/>
      <c r="C665" s="57"/>
      <c r="D665" s="57"/>
    </row>
    <row r="666" spans="1:4" x14ac:dyDescent="0.25">
      <c r="A666" s="57"/>
      <c r="B666" s="57"/>
      <c r="C666" s="57"/>
      <c r="D666" s="57"/>
    </row>
    <row r="667" spans="1:4" x14ac:dyDescent="0.25">
      <c r="A667" s="57"/>
      <c r="B667" s="57"/>
      <c r="C667" s="57"/>
      <c r="D667" s="57"/>
    </row>
    <row r="668" spans="1:4" x14ac:dyDescent="0.25">
      <c r="A668" s="57"/>
      <c r="B668" s="57"/>
      <c r="C668" s="57"/>
      <c r="D668" s="57"/>
    </row>
    <row r="669" spans="1:4" x14ac:dyDescent="0.25">
      <c r="A669" s="57"/>
      <c r="B669" s="57"/>
      <c r="C669" s="57"/>
      <c r="D669" s="57"/>
    </row>
    <row r="670" spans="1:4" x14ac:dyDescent="0.25">
      <c r="A670" s="57"/>
      <c r="B670" s="57"/>
      <c r="C670" s="57"/>
      <c r="D670" s="57"/>
    </row>
    <row r="671" spans="1:4" x14ac:dyDescent="0.25">
      <c r="A671" s="57"/>
      <c r="B671" s="57"/>
      <c r="C671" s="57"/>
      <c r="D671" s="57"/>
    </row>
    <row r="672" spans="1:4" x14ac:dyDescent="0.25">
      <c r="A672" s="57"/>
      <c r="B672" s="57"/>
      <c r="C672" s="57"/>
      <c r="D672" s="57"/>
    </row>
    <row r="673" spans="1:4" x14ac:dyDescent="0.25">
      <c r="A673" s="57"/>
      <c r="B673" s="57"/>
      <c r="C673" s="57"/>
      <c r="D673" s="57"/>
    </row>
    <row r="674" spans="1:4" x14ac:dyDescent="0.25">
      <c r="A674" s="57"/>
      <c r="B674" s="57"/>
      <c r="C674" s="57"/>
      <c r="D674" s="57"/>
    </row>
    <row r="675" spans="1:4" x14ac:dyDescent="0.25">
      <c r="A675" s="57"/>
      <c r="B675" s="57"/>
      <c r="C675" s="57"/>
      <c r="D675" s="57"/>
    </row>
    <row r="676" spans="1:4" x14ac:dyDescent="0.25">
      <c r="A676" s="57"/>
      <c r="B676" s="57"/>
      <c r="C676" s="57"/>
      <c r="D676" s="57"/>
    </row>
    <row r="677" spans="1:4" x14ac:dyDescent="0.25">
      <c r="A677" s="57"/>
      <c r="B677" s="57"/>
      <c r="C677" s="57"/>
      <c r="D677" s="57"/>
    </row>
    <row r="678" spans="1:4" x14ac:dyDescent="0.25">
      <c r="A678" s="57"/>
      <c r="B678" s="57"/>
      <c r="C678" s="57"/>
      <c r="D678" s="57"/>
    </row>
    <row r="679" spans="1:4" x14ac:dyDescent="0.25">
      <c r="A679" s="57"/>
      <c r="B679" s="57"/>
      <c r="C679" s="57"/>
      <c r="D679" s="57"/>
    </row>
    <row r="680" spans="1:4" x14ac:dyDescent="0.25">
      <c r="A680" s="57"/>
      <c r="B680" s="57"/>
      <c r="C680" s="57"/>
      <c r="D680" s="57"/>
    </row>
    <row r="681" spans="1:4" x14ac:dyDescent="0.25">
      <c r="A681" s="57"/>
      <c r="B681" s="57"/>
      <c r="C681" s="57"/>
      <c r="D681" s="57"/>
    </row>
    <row r="682" spans="1:4" x14ac:dyDescent="0.25">
      <c r="A682" s="57"/>
      <c r="B682" s="57"/>
      <c r="C682" s="57"/>
      <c r="D682" s="57"/>
    </row>
    <row r="683" spans="1:4" x14ac:dyDescent="0.25">
      <c r="A683" s="57"/>
      <c r="B683" s="57"/>
      <c r="C683" s="57"/>
      <c r="D683" s="57"/>
    </row>
    <row r="684" spans="1:4" x14ac:dyDescent="0.25">
      <c r="A684" s="57"/>
      <c r="B684" s="57"/>
      <c r="C684" s="57"/>
      <c r="D684" s="57"/>
    </row>
    <row r="685" spans="1:4" x14ac:dyDescent="0.25">
      <c r="A685" s="57"/>
      <c r="B685" s="57"/>
      <c r="C685" s="57"/>
      <c r="D685" s="57"/>
    </row>
    <row r="686" spans="1:4" x14ac:dyDescent="0.25">
      <c r="A686" s="57"/>
      <c r="B686" s="57"/>
      <c r="C686" s="57"/>
      <c r="D686" s="57"/>
    </row>
    <row r="687" spans="1:4" x14ac:dyDescent="0.25">
      <c r="A687" s="57"/>
      <c r="B687" s="57"/>
      <c r="C687" s="57"/>
      <c r="D687" s="57"/>
    </row>
    <row r="688" spans="1:4" x14ac:dyDescent="0.25">
      <c r="A688" s="57"/>
      <c r="B688" s="57"/>
      <c r="C688" s="57"/>
      <c r="D688" s="57"/>
    </row>
    <row r="689" spans="1:4" x14ac:dyDescent="0.25">
      <c r="A689" s="57"/>
      <c r="B689" s="57"/>
      <c r="C689" s="57"/>
      <c r="D689" s="57"/>
    </row>
    <row r="690" spans="1:4" x14ac:dyDescent="0.25">
      <c r="A690" s="57"/>
      <c r="B690" s="57"/>
      <c r="C690" s="57"/>
      <c r="D690" s="57"/>
    </row>
    <row r="691" spans="1:4" x14ac:dyDescent="0.25">
      <c r="A691" s="57"/>
      <c r="B691" s="57"/>
      <c r="C691" s="57"/>
      <c r="D691" s="57"/>
    </row>
    <row r="692" spans="1:4" x14ac:dyDescent="0.25">
      <c r="A692" s="57"/>
      <c r="B692" s="57"/>
      <c r="C692" s="57"/>
      <c r="D692" s="57"/>
    </row>
    <row r="693" spans="1:4" x14ac:dyDescent="0.25">
      <c r="A693" s="57"/>
      <c r="B693" s="57"/>
      <c r="C693" s="57"/>
      <c r="D693" s="57"/>
    </row>
    <row r="694" spans="1:4" x14ac:dyDescent="0.25">
      <c r="A694" s="57"/>
      <c r="B694" s="57"/>
      <c r="C694" s="57"/>
      <c r="D694" s="57"/>
    </row>
    <row r="695" spans="1:4" x14ac:dyDescent="0.25">
      <c r="A695" s="57"/>
      <c r="B695" s="57"/>
      <c r="C695" s="57"/>
      <c r="D695" s="57"/>
    </row>
    <row r="696" spans="1:4" x14ac:dyDescent="0.25">
      <c r="A696" s="57"/>
      <c r="B696" s="57"/>
      <c r="C696" s="57"/>
      <c r="D696" s="57"/>
    </row>
    <row r="697" spans="1:4" x14ac:dyDescent="0.25">
      <c r="A697" s="57"/>
      <c r="B697" s="57"/>
      <c r="C697" s="57"/>
      <c r="D697" s="57"/>
    </row>
    <row r="698" spans="1:4" x14ac:dyDescent="0.25">
      <c r="A698" s="57"/>
      <c r="B698" s="57"/>
      <c r="C698" s="57"/>
      <c r="D698" s="57"/>
    </row>
    <row r="699" spans="1:4" x14ac:dyDescent="0.25">
      <c r="A699" s="57"/>
      <c r="B699" s="57"/>
      <c r="C699" s="57"/>
      <c r="D699" s="57"/>
    </row>
    <row r="700" spans="1:4" x14ac:dyDescent="0.25">
      <c r="A700" s="57"/>
      <c r="B700" s="57"/>
      <c r="C700" s="57"/>
      <c r="D700" s="57"/>
    </row>
    <row r="701" spans="1:4" x14ac:dyDescent="0.25">
      <c r="A701" s="57"/>
      <c r="B701" s="57"/>
      <c r="C701" s="57"/>
      <c r="D701" s="57"/>
    </row>
    <row r="702" spans="1:4" x14ac:dyDescent="0.25">
      <c r="A702" s="57"/>
      <c r="B702" s="57"/>
      <c r="C702" s="57"/>
      <c r="D702" s="57"/>
    </row>
    <row r="703" spans="1:4" x14ac:dyDescent="0.25">
      <c r="A703" s="57"/>
      <c r="B703" s="57"/>
      <c r="C703" s="57"/>
      <c r="D703" s="57"/>
    </row>
    <row r="704" spans="1:4" x14ac:dyDescent="0.25">
      <c r="A704" s="57"/>
      <c r="B704" s="57"/>
      <c r="C704" s="57"/>
      <c r="D704" s="57"/>
    </row>
    <row r="705" spans="1:4" x14ac:dyDescent="0.25">
      <c r="A705" s="57"/>
      <c r="B705" s="57"/>
      <c r="C705" s="57"/>
      <c r="D705" s="57"/>
    </row>
    <row r="706" spans="1:4" x14ac:dyDescent="0.25">
      <c r="A706" s="57"/>
      <c r="B706" s="57"/>
      <c r="C706" s="57"/>
      <c r="D706" s="57"/>
    </row>
    <row r="707" spans="1:4" x14ac:dyDescent="0.25">
      <c r="A707" s="57"/>
      <c r="B707" s="57"/>
      <c r="C707" s="57"/>
      <c r="D707" s="57"/>
    </row>
    <row r="708" spans="1:4" x14ac:dyDescent="0.25">
      <c r="A708" s="57"/>
      <c r="B708" s="57"/>
      <c r="C708" s="57"/>
      <c r="D708" s="57"/>
    </row>
    <row r="709" spans="1:4" x14ac:dyDescent="0.25">
      <c r="A709" s="57"/>
      <c r="B709" s="57"/>
      <c r="C709" s="57"/>
      <c r="D709" s="57"/>
    </row>
    <row r="710" spans="1:4" x14ac:dyDescent="0.25">
      <c r="A710" s="57"/>
      <c r="B710" s="57"/>
      <c r="C710" s="57"/>
      <c r="D710" s="57"/>
    </row>
    <row r="711" spans="1:4" x14ac:dyDescent="0.25">
      <c r="A711" s="57"/>
      <c r="B711" s="57"/>
      <c r="C711" s="57"/>
      <c r="D711" s="57"/>
    </row>
    <row r="712" spans="1:4" x14ac:dyDescent="0.25">
      <c r="A712" s="57"/>
      <c r="B712" s="57"/>
      <c r="C712" s="57"/>
      <c r="D712" s="57"/>
    </row>
    <row r="713" spans="1:4" x14ac:dyDescent="0.25">
      <c r="A713" s="57"/>
      <c r="B713" s="57"/>
      <c r="C713" s="57"/>
      <c r="D713" s="57"/>
    </row>
    <row r="714" spans="1:4" x14ac:dyDescent="0.25">
      <c r="A714" s="57"/>
      <c r="B714" s="57"/>
      <c r="C714" s="57"/>
      <c r="D714" s="57"/>
    </row>
    <row r="715" spans="1:4" x14ac:dyDescent="0.25">
      <c r="A715" s="57"/>
      <c r="B715" s="57"/>
      <c r="C715" s="57"/>
      <c r="D715" s="57"/>
    </row>
    <row r="716" spans="1:4" x14ac:dyDescent="0.25">
      <c r="A716" s="57"/>
      <c r="B716" s="57"/>
      <c r="C716" s="57"/>
      <c r="D716" s="57"/>
    </row>
    <row r="717" spans="1:4" x14ac:dyDescent="0.25">
      <c r="A717" s="57"/>
      <c r="B717" s="57"/>
      <c r="C717" s="57"/>
      <c r="D717" s="57"/>
    </row>
    <row r="718" spans="1:4" x14ac:dyDescent="0.25">
      <c r="A718" s="57"/>
      <c r="B718" s="57"/>
      <c r="C718" s="57"/>
      <c r="D718" s="57"/>
    </row>
    <row r="719" spans="1:4" x14ac:dyDescent="0.25">
      <c r="A719" s="57"/>
      <c r="B719" s="57"/>
      <c r="C719" s="57"/>
      <c r="D719" s="57"/>
    </row>
    <row r="720" spans="1:4" x14ac:dyDescent="0.25">
      <c r="A720" s="57"/>
      <c r="B720" s="57"/>
      <c r="C720" s="57"/>
      <c r="D720" s="57"/>
    </row>
    <row r="721" spans="1:4" x14ac:dyDescent="0.25">
      <c r="A721" s="57"/>
      <c r="B721" s="57"/>
      <c r="C721" s="57"/>
      <c r="D721" s="57"/>
    </row>
    <row r="722" spans="1:4" x14ac:dyDescent="0.25">
      <c r="A722" s="57"/>
      <c r="B722" s="57"/>
      <c r="C722" s="57"/>
      <c r="D722" s="57"/>
    </row>
    <row r="723" spans="1:4" x14ac:dyDescent="0.25">
      <c r="A723" s="57"/>
      <c r="B723" s="57"/>
      <c r="C723" s="57"/>
      <c r="D723" s="57"/>
    </row>
    <row r="724" spans="1:4" x14ac:dyDescent="0.25">
      <c r="A724" s="57"/>
      <c r="B724" s="57"/>
      <c r="C724" s="57"/>
      <c r="D724" s="57"/>
    </row>
    <row r="725" spans="1:4" x14ac:dyDescent="0.25">
      <c r="A725" s="57"/>
      <c r="B725" s="57"/>
      <c r="C725" s="57"/>
      <c r="D725" s="57"/>
    </row>
    <row r="726" spans="1:4" x14ac:dyDescent="0.25">
      <c r="A726" s="57"/>
      <c r="B726" s="57"/>
      <c r="C726" s="57"/>
      <c r="D726" s="57"/>
    </row>
    <row r="727" spans="1:4" x14ac:dyDescent="0.25">
      <c r="A727" s="57"/>
      <c r="B727" s="57"/>
      <c r="C727" s="57"/>
      <c r="D727" s="57"/>
    </row>
    <row r="728" spans="1:4" x14ac:dyDescent="0.25">
      <c r="A728" s="57"/>
      <c r="B728" s="57"/>
      <c r="C728" s="57"/>
      <c r="D728" s="57"/>
    </row>
    <row r="729" spans="1:4" x14ac:dyDescent="0.25">
      <c r="A729" s="57"/>
      <c r="B729" s="57"/>
      <c r="C729" s="57"/>
      <c r="D729" s="57"/>
    </row>
    <row r="730" spans="1:4" x14ac:dyDescent="0.25">
      <c r="A730" s="57"/>
      <c r="B730" s="57"/>
      <c r="C730" s="57"/>
      <c r="D730" s="57"/>
    </row>
    <row r="731" spans="1:4" x14ac:dyDescent="0.25">
      <c r="A731" s="57"/>
      <c r="B731" s="57"/>
      <c r="C731" s="57"/>
      <c r="D731" s="57"/>
    </row>
    <row r="732" spans="1:4" x14ac:dyDescent="0.25">
      <c r="A732" s="57"/>
      <c r="B732" s="57"/>
      <c r="C732" s="57"/>
      <c r="D732" s="57"/>
    </row>
    <row r="733" spans="1:4" x14ac:dyDescent="0.25">
      <c r="A733" s="57"/>
      <c r="B733" s="57"/>
      <c r="C733" s="57"/>
      <c r="D733" s="57"/>
    </row>
    <row r="734" spans="1:4" x14ac:dyDescent="0.25">
      <c r="A734" s="57"/>
      <c r="B734" s="57"/>
      <c r="C734" s="57"/>
      <c r="D734" s="57"/>
    </row>
    <row r="735" spans="1:4" x14ac:dyDescent="0.25">
      <c r="A735" s="57"/>
      <c r="B735" s="57"/>
      <c r="C735" s="57"/>
      <c r="D735" s="57"/>
    </row>
    <row r="736" spans="1:4" x14ac:dyDescent="0.25">
      <c r="A736" s="57"/>
      <c r="B736" s="57"/>
      <c r="C736" s="57"/>
      <c r="D736" s="57"/>
    </row>
    <row r="737" spans="1:4" x14ac:dyDescent="0.25">
      <c r="A737" s="57"/>
      <c r="B737" s="57"/>
      <c r="C737" s="57"/>
      <c r="D737" s="57"/>
    </row>
    <row r="738" spans="1:4" x14ac:dyDescent="0.25">
      <c r="A738" s="57"/>
      <c r="B738" s="57"/>
      <c r="C738" s="57"/>
      <c r="D738" s="57"/>
    </row>
    <row r="739" spans="1:4" x14ac:dyDescent="0.25">
      <c r="A739" s="57"/>
      <c r="B739" s="57"/>
      <c r="C739" s="57"/>
      <c r="D739" s="57"/>
    </row>
    <row r="740" spans="1:4" x14ac:dyDescent="0.25">
      <c r="A740" s="57"/>
      <c r="B740" s="57"/>
      <c r="C740" s="57"/>
      <c r="D740" s="57"/>
    </row>
    <row r="741" spans="1:4" x14ac:dyDescent="0.25">
      <c r="A741" s="57"/>
      <c r="B741" s="57"/>
      <c r="C741" s="57"/>
      <c r="D741" s="57"/>
    </row>
    <row r="742" spans="1:4" x14ac:dyDescent="0.25">
      <c r="A742" s="57"/>
      <c r="B742" s="57"/>
      <c r="C742" s="57"/>
      <c r="D742" s="57"/>
    </row>
    <row r="743" spans="1:4" x14ac:dyDescent="0.25">
      <c r="A743" s="57"/>
      <c r="B743" s="57"/>
      <c r="C743" s="57"/>
      <c r="D743" s="57"/>
    </row>
    <row r="744" spans="1:4" x14ac:dyDescent="0.25">
      <c r="A744" s="57"/>
      <c r="B744" s="57"/>
      <c r="C744" s="57"/>
      <c r="D744" s="57"/>
    </row>
    <row r="745" spans="1:4" x14ac:dyDescent="0.25">
      <c r="A745" s="57"/>
      <c r="B745" s="57"/>
      <c r="C745" s="57"/>
      <c r="D745" s="57"/>
    </row>
    <row r="746" spans="1:4" x14ac:dyDescent="0.25">
      <c r="A746" s="57"/>
      <c r="B746" s="57"/>
      <c r="C746" s="57"/>
      <c r="D746" s="57"/>
    </row>
    <row r="747" spans="1:4" x14ac:dyDescent="0.25">
      <c r="A747" s="57"/>
      <c r="B747" s="57"/>
      <c r="C747" s="57"/>
      <c r="D747" s="57"/>
    </row>
    <row r="748" spans="1:4" x14ac:dyDescent="0.25">
      <c r="A748" s="57"/>
      <c r="B748" s="57"/>
      <c r="C748" s="57"/>
      <c r="D748" s="57"/>
    </row>
    <row r="749" spans="1:4" x14ac:dyDescent="0.25">
      <c r="A749" s="57"/>
      <c r="B749" s="57"/>
      <c r="C749" s="57"/>
      <c r="D749" s="57"/>
    </row>
    <row r="750" spans="1:4" x14ac:dyDescent="0.25">
      <c r="A750" s="57"/>
      <c r="B750" s="57"/>
      <c r="C750" s="57"/>
      <c r="D750" s="57"/>
    </row>
    <row r="751" spans="1:4" x14ac:dyDescent="0.25">
      <c r="A751" s="57"/>
      <c r="B751" s="57"/>
      <c r="C751" s="57"/>
      <c r="D751" s="57"/>
    </row>
    <row r="752" spans="1:4" x14ac:dyDescent="0.25">
      <c r="A752" s="57"/>
      <c r="B752" s="57"/>
      <c r="C752" s="57"/>
      <c r="D752" s="57"/>
    </row>
    <row r="753" spans="1:4" x14ac:dyDescent="0.25">
      <c r="A753" s="57"/>
      <c r="B753" s="57"/>
      <c r="C753" s="57"/>
      <c r="D753" s="57"/>
    </row>
    <row r="754" spans="1:4" x14ac:dyDescent="0.25">
      <c r="A754" s="57"/>
      <c r="B754" s="57"/>
      <c r="C754" s="57"/>
      <c r="D754" s="57"/>
    </row>
    <row r="755" spans="1:4" x14ac:dyDescent="0.25">
      <c r="A755" s="57"/>
      <c r="B755" s="57"/>
      <c r="C755" s="57"/>
      <c r="D755" s="57"/>
    </row>
    <row r="756" spans="1:4" x14ac:dyDescent="0.25">
      <c r="A756" s="57"/>
      <c r="B756" s="57"/>
      <c r="C756" s="57"/>
      <c r="D756" s="57"/>
    </row>
    <row r="757" spans="1:4" x14ac:dyDescent="0.25">
      <c r="A757" s="57"/>
      <c r="B757" s="57"/>
      <c r="C757" s="57"/>
      <c r="D757" s="57"/>
    </row>
    <row r="758" spans="1:4" x14ac:dyDescent="0.25">
      <c r="A758" s="57"/>
      <c r="B758" s="57"/>
      <c r="C758" s="57"/>
      <c r="D758" s="57"/>
    </row>
    <row r="759" spans="1:4" x14ac:dyDescent="0.25">
      <c r="A759" s="57"/>
      <c r="B759" s="57"/>
      <c r="C759" s="57"/>
      <c r="D759" s="57"/>
    </row>
    <row r="760" spans="1:4" x14ac:dyDescent="0.25">
      <c r="A760" s="57"/>
      <c r="B760" s="57"/>
      <c r="C760" s="57"/>
      <c r="D760" s="57"/>
    </row>
    <row r="761" spans="1:4" x14ac:dyDescent="0.25">
      <c r="A761" s="57"/>
      <c r="B761" s="57"/>
      <c r="C761" s="57"/>
      <c r="D761" s="57"/>
    </row>
    <row r="762" spans="1:4" x14ac:dyDescent="0.25">
      <c r="A762" s="57"/>
      <c r="B762" s="57"/>
      <c r="C762" s="57"/>
      <c r="D762" s="57"/>
    </row>
    <row r="763" spans="1:4" x14ac:dyDescent="0.25">
      <c r="A763" s="57"/>
      <c r="B763" s="57"/>
      <c r="C763" s="57"/>
      <c r="D763" s="57"/>
    </row>
    <row r="764" spans="1:4" x14ac:dyDescent="0.25">
      <c r="A764" s="57"/>
      <c r="B764" s="57"/>
      <c r="C764" s="57"/>
      <c r="D764" s="57"/>
    </row>
    <row r="765" spans="1:4" x14ac:dyDescent="0.25">
      <c r="A765" s="57"/>
      <c r="B765" s="57"/>
      <c r="C765" s="57"/>
      <c r="D765" s="57"/>
    </row>
    <row r="766" spans="1:4" x14ac:dyDescent="0.25">
      <c r="A766" s="57"/>
      <c r="B766" s="57"/>
      <c r="C766" s="57"/>
      <c r="D766" s="57"/>
    </row>
    <row r="767" spans="1:4" x14ac:dyDescent="0.25">
      <c r="A767" s="57"/>
      <c r="B767" s="57"/>
      <c r="C767" s="57"/>
      <c r="D767" s="57"/>
    </row>
    <row r="768" spans="1:4" x14ac:dyDescent="0.25">
      <c r="A768" s="57"/>
      <c r="B768" s="57"/>
      <c r="C768" s="57"/>
      <c r="D768" s="57"/>
    </row>
    <row r="769" spans="1:4" x14ac:dyDescent="0.25">
      <c r="A769" s="57"/>
      <c r="B769" s="57"/>
      <c r="C769" s="57"/>
      <c r="D769" s="57"/>
    </row>
    <row r="770" spans="1:4" x14ac:dyDescent="0.25">
      <c r="A770" s="57"/>
      <c r="B770" s="57"/>
      <c r="C770" s="57"/>
      <c r="D770" s="57"/>
    </row>
    <row r="771" spans="1:4" x14ac:dyDescent="0.25">
      <c r="A771" s="57"/>
      <c r="B771" s="57"/>
      <c r="C771" s="57"/>
      <c r="D771" s="57"/>
    </row>
    <row r="772" spans="1:4" x14ac:dyDescent="0.25">
      <c r="A772" s="57"/>
      <c r="B772" s="57"/>
      <c r="C772" s="57"/>
      <c r="D772" s="57"/>
    </row>
    <row r="773" spans="1:4" x14ac:dyDescent="0.25">
      <c r="A773" s="57"/>
      <c r="B773" s="57"/>
      <c r="C773" s="57"/>
      <c r="D773" s="57"/>
    </row>
    <row r="774" spans="1:4" x14ac:dyDescent="0.25">
      <c r="A774" s="57"/>
      <c r="B774" s="57"/>
      <c r="C774" s="57"/>
      <c r="D774" s="57"/>
    </row>
    <row r="775" spans="1:4" x14ac:dyDescent="0.25">
      <c r="A775" s="57"/>
      <c r="B775" s="57"/>
      <c r="C775" s="57"/>
      <c r="D775" s="57"/>
    </row>
    <row r="776" spans="1:4" x14ac:dyDescent="0.25">
      <c r="A776" s="57"/>
      <c r="B776" s="57"/>
      <c r="C776" s="57"/>
      <c r="D776" s="57"/>
    </row>
    <row r="777" spans="1:4" x14ac:dyDescent="0.25">
      <c r="A777" s="57"/>
      <c r="B777" s="57"/>
      <c r="C777" s="57"/>
      <c r="D777" s="57"/>
    </row>
    <row r="778" spans="1:4" x14ac:dyDescent="0.25">
      <c r="A778" s="57"/>
      <c r="B778" s="57"/>
      <c r="C778" s="57"/>
      <c r="D778" s="57"/>
    </row>
    <row r="779" spans="1:4" x14ac:dyDescent="0.25">
      <c r="A779" s="57"/>
      <c r="B779" s="57"/>
      <c r="C779" s="57"/>
      <c r="D779" s="57"/>
    </row>
    <row r="780" spans="1:4" x14ac:dyDescent="0.25">
      <c r="A780" s="57"/>
      <c r="B780" s="57"/>
      <c r="C780" s="57"/>
      <c r="D780" s="57"/>
    </row>
    <row r="781" spans="1:4" x14ac:dyDescent="0.25">
      <c r="A781" s="57"/>
      <c r="B781" s="57"/>
      <c r="C781" s="57"/>
      <c r="D781" s="57"/>
    </row>
    <row r="782" spans="1:4" x14ac:dyDescent="0.25">
      <c r="A782" s="57"/>
      <c r="B782" s="57"/>
      <c r="C782" s="57"/>
      <c r="D782" s="57"/>
    </row>
    <row r="783" spans="1:4" x14ac:dyDescent="0.25">
      <c r="A783" s="57"/>
      <c r="B783" s="57"/>
      <c r="C783" s="57"/>
      <c r="D783" s="57"/>
    </row>
    <row r="784" spans="1:4" x14ac:dyDescent="0.25">
      <c r="A784" s="57"/>
      <c r="B784" s="57"/>
      <c r="C784" s="57"/>
      <c r="D784" s="57"/>
    </row>
    <row r="785" spans="1:4" x14ac:dyDescent="0.25">
      <c r="A785" s="57"/>
      <c r="B785" s="57"/>
      <c r="C785" s="57"/>
      <c r="D785" s="57"/>
    </row>
    <row r="786" spans="1:4" x14ac:dyDescent="0.25">
      <c r="A786" s="57"/>
      <c r="B786" s="57"/>
      <c r="C786" s="57"/>
      <c r="D786" s="57"/>
    </row>
    <row r="787" spans="1:4" x14ac:dyDescent="0.25">
      <c r="A787" s="57"/>
      <c r="B787" s="57"/>
      <c r="C787" s="57"/>
      <c r="D787" s="57"/>
    </row>
    <row r="788" spans="1:4" x14ac:dyDescent="0.25">
      <c r="A788" s="57"/>
      <c r="B788" s="57"/>
      <c r="C788" s="57"/>
      <c r="D788" s="57"/>
    </row>
    <row r="789" spans="1:4" x14ac:dyDescent="0.25">
      <c r="A789" s="57"/>
      <c r="B789" s="57"/>
      <c r="C789" s="57"/>
      <c r="D789" s="57"/>
    </row>
    <row r="790" spans="1:4" x14ac:dyDescent="0.25">
      <c r="A790" s="57"/>
      <c r="B790" s="57"/>
      <c r="C790" s="57"/>
      <c r="D790" s="57"/>
    </row>
    <row r="791" spans="1:4" x14ac:dyDescent="0.25">
      <c r="A791" s="57"/>
      <c r="B791" s="57"/>
      <c r="C791" s="57"/>
      <c r="D791" s="57"/>
    </row>
    <row r="792" spans="1:4" x14ac:dyDescent="0.25">
      <c r="A792" s="57"/>
      <c r="B792" s="57"/>
      <c r="C792" s="57"/>
      <c r="D792" s="57"/>
    </row>
    <row r="793" spans="1:4" x14ac:dyDescent="0.25">
      <c r="A793" s="57"/>
      <c r="B793" s="57"/>
      <c r="C793" s="57"/>
      <c r="D793" s="57"/>
    </row>
    <row r="794" spans="1:4" x14ac:dyDescent="0.25">
      <c r="A794" s="57"/>
      <c r="B794" s="57"/>
      <c r="C794" s="57"/>
      <c r="D794" s="57"/>
    </row>
  </sheetData>
  <mergeCells count="5">
    <mergeCell ref="A2:F2"/>
    <mergeCell ref="A3:F3"/>
    <mergeCell ref="A5:F5"/>
    <mergeCell ref="J21:K21"/>
    <mergeCell ref="A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86"/>
  <sheetViews>
    <sheetView showZeros="0" topLeftCell="A7" workbookViewId="0">
      <selection activeCell="L13" sqref="L13"/>
    </sheetView>
  </sheetViews>
  <sheetFormatPr defaultColWidth="8.90625" defaultRowHeight="15" x14ac:dyDescent="0.25"/>
  <cols>
    <col min="1" max="1" width="8.90625" style="121"/>
    <col min="2" max="2" width="24.453125" style="121" customWidth="1"/>
    <col min="3" max="3" width="11.08984375" style="121" customWidth="1"/>
    <col min="4" max="4" width="15.54296875" style="121" customWidth="1"/>
    <col min="5" max="5" width="9.81640625" style="121" customWidth="1"/>
    <col min="6" max="6" width="13.6328125" style="121" customWidth="1"/>
    <col min="7" max="7" width="9.81640625" style="121" customWidth="1"/>
    <col min="8" max="8" width="10" style="121" customWidth="1"/>
    <col min="9" max="9" width="10.1796875" style="121" customWidth="1"/>
    <col min="10" max="10" width="8.36328125" style="121" bestFit="1" customWidth="1"/>
    <col min="11" max="11" width="10" style="121" customWidth="1"/>
    <col min="12" max="14" width="8.90625" style="121"/>
    <col min="15" max="15" width="10.54296875" style="121" customWidth="1"/>
    <col min="16" max="20" width="8.90625" style="121"/>
    <col min="21" max="21" width="8.36328125" style="121" bestFit="1" customWidth="1"/>
    <col min="22" max="22" width="12.08984375" style="121" customWidth="1"/>
    <col min="23" max="23" width="41.90625" style="121" customWidth="1"/>
    <col min="24" max="24" width="8.81640625" style="121" customWidth="1"/>
    <col min="25" max="26" width="9.08984375" style="121" customWidth="1"/>
    <col min="27" max="27" width="9.1796875" style="121" customWidth="1"/>
    <col min="28" max="28" width="10.1796875" style="121" customWidth="1"/>
    <col min="29" max="29" width="8.1796875" style="121" customWidth="1"/>
    <col min="30" max="30" width="7.90625" style="121" customWidth="1"/>
    <col min="31" max="31" width="8.08984375" style="121" customWidth="1"/>
    <col min="32" max="32" width="8.1796875" style="121" customWidth="1"/>
    <col min="33" max="33" width="8" style="121" customWidth="1"/>
    <col min="34" max="35" width="7.90625" style="121" customWidth="1"/>
    <col min="36" max="36" width="8.81640625" style="121" customWidth="1"/>
    <col min="37" max="37" width="9.453125" style="121" customWidth="1"/>
    <col min="38" max="38" width="8.1796875" style="121" customWidth="1"/>
    <col min="39" max="39" width="8.36328125" style="121" customWidth="1"/>
    <col min="40" max="40" width="9.54296875" style="121" customWidth="1"/>
    <col min="41" max="41" width="8.54296875" style="121" customWidth="1"/>
    <col min="42" max="42" width="8.81640625" style="121" customWidth="1"/>
    <col min="43" max="43" width="9" style="121" customWidth="1"/>
    <col min="44" max="44" width="8.36328125" style="121" customWidth="1"/>
    <col min="45" max="46" width="8.81640625" style="121" customWidth="1"/>
    <col min="47" max="48" width="10.36328125" style="121" customWidth="1"/>
    <col min="49" max="49" width="12.36328125" style="121" customWidth="1"/>
    <col min="50" max="50" width="11.453125" style="121" customWidth="1"/>
    <col min="51" max="51" width="9.08984375" style="121" customWidth="1"/>
    <col min="52" max="52" width="14.36328125" style="121" customWidth="1"/>
    <col min="53" max="53" width="11.54296875" style="121" customWidth="1"/>
    <col min="54" max="16384" width="8.90625" style="121"/>
  </cols>
  <sheetData>
    <row r="1" spans="1:87" ht="20.100000000000001" customHeight="1" x14ac:dyDescent="0.3">
      <c r="A1" s="120"/>
      <c r="V1" s="122"/>
      <c r="W1" s="123" t="e">
        <f>#REF!</f>
        <v>#REF!</v>
      </c>
      <c r="X1" s="122"/>
      <c r="Y1" s="122"/>
      <c r="Z1" s="122"/>
      <c r="AA1" s="122"/>
      <c r="AB1" s="124"/>
      <c r="AC1" s="122"/>
      <c r="AD1" s="122"/>
      <c r="AE1" s="122"/>
      <c r="AF1" s="122"/>
      <c r="AG1" s="122"/>
      <c r="AH1" s="122"/>
      <c r="AI1" s="122"/>
      <c r="AJ1" s="122"/>
      <c r="AK1" s="122"/>
      <c r="AL1" s="122"/>
      <c r="AM1" s="122"/>
      <c r="AN1" s="122"/>
      <c r="AO1" s="122"/>
      <c r="AP1" s="122"/>
      <c r="AQ1" s="122"/>
      <c r="AR1" s="125" t="s">
        <v>148</v>
      </c>
      <c r="AU1" s="122"/>
      <c r="AV1" s="122"/>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row>
    <row r="2" spans="1:87" ht="20.100000000000001" customHeight="1" x14ac:dyDescent="0.3">
      <c r="B2" s="126" t="s">
        <v>149</v>
      </c>
      <c r="H2" s="120"/>
      <c r="V2" s="122"/>
      <c r="W2" s="127" t="e">
        <f>#REF!</f>
        <v>#REF!</v>
      </c>
      <c r="X2" s="122"/>
      <c r="Y2" s="122"/>
      <c r="Z2" s="122"/>
      <c r="AA2" s="122"/>
      <c r="AB2" s="122"/>
      <c r="AC2" s="122"/>
      <c r="AD2" s="122"/>
      <c r="AE2" s="122"/>
      <c r="AF2" s="122"/>
      <c r="AG2" s="122"/>
      <c r="AH2" s="122"/>
      <c r="AI2" s="122"/>
      <c r="AJ2" s="122"/>
      <c r="AK2" s="122"/>
      <c r="AL2" s="122"/>
      <c r="AM2" s="122"/>
      <c r="AN2" s="122"/>
      <c r="AO2" s="122"/>
      <c r="AP2" s="122"/>
      <c r="AQ2" s="122"/>
      <c r="AR2" s="122"/>
      <c r="AS2" s="122"/>
      <c r="AT2" s="122"/>
      <c r="AU2" s="122"/>
      <c r="AV2" s="122"/>
      <c r="AY2" s="128"/>
      <c r="AZ2" s="115"/>
      <c r="BA2" s="129"/>
      <c r="BB2" s="129"/>
      <c r="BC2" s="129"/>
      <c r="BD2" s="129"/>
      <c r="BE2" s="129"/>
      <c r="BF2" s="129"/>
      <c r="BG2" s="129"/>
      <c r="BH2" s="129"/>
      <c r="BI2" s="120"/>
      <c r="BJ2" s="120"/>
      <c r="BK2" s="120"/>
      <c r="BL2" s="120"/>
      <c r="BM2" s="120"/>
      <c r="BN2" s="120"/>
      <c r="BO2" s="120"/>
      <c r="BP2" s="120"/>
      <c r="BQ2" s="120"/>
      <c r="BR2" s="120"/>
      <c r="BS2" s="120"/>
      <c r="BT2" s="120"/>
      <c r="BU2" s="120"/>
      <c r="BV2" s="120"/>
      <c r="BW2" s="120"/>
      <c r="BX2" s="120"/>
      <c r="BY2" s="120"/>
      <c r="BZ2" s="120"/>
      <c r="CA2" s="120"/>
      <c r="CB2" s="120"/>
      <c r="CC2" s="120"/>
      <c r="CD2" s="120"/>
      <c r="CE2" s="120"/>
      <c r="CF2" s="120"/>
      <c r="CG2" s="120"/>
      <c r="CH2" s="120"/>
      <c r="CI2" s="120"/>
    </row>
    <row r="3" spans="1:87" ht="20.100000000000001" customHeight="1" x14ac:dyDescent="0.3">
      <c r="A3" s="120"/>
      <c r="B3" s="130" t="s">
        <v>3</v>
      </c>
      <c r="C3" s="130" t="s">
        <v>4</v>
      </c>
      <c r="D3" s="213" t="s">
        <v>88</v>
      </c>
      <c r="E3" s="131" t="s">
        <v>89</v>
      </c>
      <c r="F3" s="130" t="s">
        <v>2</v>
      </c>
      <c r="G3" s="131" t="s">
        <v>5</v>
      </c>
      <c r="H3" s="1102" t="s">
        <v>90</v>
      </c>
      <c r="I3" s="1102"/>
      <c r="N3" s="120"/>
      <c r="O3" s="120"/>
      <c r="P3" s="120"/>
      <c r="Q3" s="120"/>
      <c r="R3" s="120"/>
      <c r="S3" s="120"/>
      <c r="T3" s="120"/>
      <c r="V3" s="122"/>
      <c r="W3" s="132" t="e">
        <f>#REF!</f>
        <v>#REF!</v>
      </c>
      <c r="X3" s="133"/>
      <c r="Y3" s="133"/>
      <c r="Z3" s="134" t="s">
        <v>150</v>
      </c>
      <c r="AA3" s="135"/>
      <c r="AC3" s="133"/>
      <c r="AD3" s="133"/>
      <c r="AE3" s="133"/>
      <c r="AF3" s="133"/>
      <c r="AG3" s="133"/>
      <c r="AH3" s="133"/>
      <c r="AI3" s="133"/>
      <c r="AJ3" s="133"/>
      <c r="AK3" s="133"/>
      <c r="AL3" s="133"/>
      <c r="AM3" s="122"/>
      <c r="AN3" s="122"/>
      <c r="AO3" s="122"/>
      <c r="AP3" s="122"/>
      <c r="AQ3" s="122"/>
      <c r="AR3" s="122"/>
      <c r="AS3" s="122"/>
      <c r="AT3" s="122"/>
      <c r="AU3" s="122"/>
      <c r="AV3" s="122"/>
      <c r="AY3" s="129"/>
      <c r="AZ3" s="129"/>
      <c r="BA3" s="129"/>
      <c r="BB3" s="129"/>
      <c r="BC3" s="129"/>
      <c r="BD3" s="129"/>
      <c r="BE3" s="129"/>
      <c r="BF3" s="129"/>
      <c r="BG3" s="129"/>
      <c r="BH3" s="129"/>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row>
    <row r="4" spans="1:87" ht="20.100000000000001" customHeight="1" x14ac:dyDescent="0.3">
      <c r="A4" s="120"/>
      <c r="B4" s="136"/>
      <c r="C4" s="137" t="s">
        <v>6</v>
      </c>
      <c r="D4" s="236" t="s">
        <v>91</v>
      </c>
      <c r="E4" s="136" t="s">
        <v>92</v>
      </c>
      <c r="F4" s="237" t="s">
        <v>189</v>
      </c>
      <c r="G4" s="136" t="s">
        <v>8</v>
      </c>
      <c r="H4" s="137" t="s">
        <v>16</v>
      </c>
      <c r="I4" s="137" t="s">
        <v>7</v>
      </c>
      <c r="J4" s="138" t="s">
        <v>151</v>
      </c>
      <c r="K4" s="138" t="s">
        <v>152</v>
      </c>
      <c r="L4" s="120"/>
      <c r="M4" s="120"/>
      <c r="V4" s="122"/>
      <c r="W4" s="139" t="s">
        <v>93</v>
      </c>
      <c r="X4" s="133"/>
      <c r="Y4" s="133"/>
      <c r="Z4" s="133"/>
      <c r="AA4" s="140"/>
      <c r="AB4" s="133"/>
      <c r="AC4" s="133"/>
      <c r="AD4" s="133"/>
      <c r="AE4" s="133"/>
      <c r="AF4" s="133"/>
      <c r="AG4" s="133"/>
      <c r="AH4" s="133"/>
      <c r="AI4" s="122"/>
      <c r="AJ4" s="133"/>
      <c r="AK4" s="133"/>
      <c r="AL4" s="133"/>
      <c r="AO4" s="122"/>
      <c r="AP4" s="122"/>
      <c r="AQ4" s="141" t="s">
        <v>153</v>
      </c>
      <c r="AS4" s="122"/>
      <c r="AT4" s="122"/>
      <c r="AU4" s="122"/>
      <c r="AV4" s="122"/>
      <c r="AY4" s="129"/>
      <c r="AZ4" s="142"/>
      <c r="BA4" s="142"/>
      <c r="BB4" s="142"/>
      <c r="BC4" s="142"/>
      <c r="BD4" s="142"/>
      <c r="BE4" s="142"/>
      <c r="BF4" s="142"/>
      <c r="BG4" s="142"/>
      <c r="BH4" s="142"/>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row>
    <row r="5" spans="1:87" ht="20.100000000000001" customHeight="1" x14ac:dyDescent="0.3">
      <c r="A5" s="120"/>
      <c r="B5" s="143"/>
      <c r="C5" s="143"/>
      <c r="D5" s="143"/>
      <c r="E5" s="143"/>
      <c r="F5" s="143"/>
      <c r="G5" s="143"/>
      <c r="H5" s="143"/>
      <c r="I5" s="143"/>
      <c r="N5" s="144"/>
      <c r="O5" s="144"/>
      <c r="P5" s="144"/>
      <c r="Q5" s="144"/>
      <c r="R5" s="144"/>
      <c r="V5" s="122"/>
      <c r="W5" s="145" t="s">
        <v>94</v>
      </c>
      <c r="X5" s="235" t="s">
        <v>95</v>
      </c>
      <c r="Y5" s="235" t="s">
        <v>96</v>
      </c>
      <c r="Z5" s="235" t="s">
        <v>97</v>
      </c>
      <c r="AA5" s="235" t="s">
        <v>98</v>
      </c>
      <c r="AB5" s="146" t="s">
        <v>99</v>
      </c>
      <c r="AC5" s="146" t="s">
        <v>100</v>
      </c>
      <c r="AD5" s="146" t="s">
        <v>101</v>
      </c>
      <c r="AE5" s="146" t="s">
        <v>102</v>
      </c>
      <c r="AF5" s="146" t="s">
        <v>103</v>
      </c>
      <c r="AG5" s="146" t="s">
        <v>104</v>
      </c>
      <c r="AH5" s="146" t="s">
        <v>105</v>
      </c>
      <c r="AI5" s="146" t="s">
        <v>106</v>
      </c>
      <c r="AJ5" s="146" t="s">
        <v>107</v>
      </c>
      <c r="AK5" s="146" t="s">
        <v>108</v>
      </c>
      <c r="AL5" s="146" t="s">
        <v>109</v>
      </c>
      <c r="AM5" s="146" t="s">
        <v>110</v>
      </c>
      <c r="AN5" s="146" t="s">
        <v>111</v>
      </c>
      <c r="AO5" s="146" t="s">
        <v>112</v>
      </c>
      <c r="AP5" s="146" t="s">
        <v>113</v>
      </c>
      <c r="AQ5" s="146" t="s">
        <v>114</v>
      </c>
      <c r="AR5" s="146" t="s">
        <v>115</v>
      </c>
      <c r="AS5" s="146" t="s">
        <v>116</v>
      </c>
      <c r="AT5" s="146" t="s">
        <v>117</v>
      </c>
      <c r="AU5" s="147"/>
      <c r="AV5" s="147"/>
      <c r="AY5" s="129"/>
      <c r="AZ5" s="148" t="s">
        <v>154</v>
      </c>
      <c r="BA5" s="149"/>
      <c r="BB5" s="115"/>
      <c r="BC5" s="150"/>
      <c r="BD5" s="150"/>
      <c r="BE5" s="150"/>
      <c r="BF5" s="150"/>
      <c r="BG5" s="150"/>
      <c r="BH5" s="150"/>
      <c r="BI5" s="150"/>
      <c r="BJ5" s="150"/>
      <c r="BK5" s="151"/>
      <c r="BL5" s="151"/>
      <c r="BM5" s="151"/>
      <c r="BN5" s="151"/>
      <c r="BO5" s="151"/>
      <c r="BP5" s="151"/>
      <c r="BQ5" s="151"/>
      <c r="BR5" s="151"/>
      <c r="BS5" s="151"/>
      <c r="BT5" s="151"/>
      <c r="BU5" s="120"/>
      <c r="BV5" s="120"/>
      <c r="BW5" s="120"/>
      <c r="BX5" s="120"/>
      <c r="BY5" s="120"/>
      <c r="BZ5" s="120"/>
      <c r="CA5" s="120"/>
      <c r="CB5" s="120"/>
      <c r="CC5" s="120"/>
      <c r="CD5" s="120"/>
      <c r="CE5" s="120"/>
      <c r="CF5" s="120"/>
      <c r="CG5" s="120"/>
      <c r="CH5" s="120"/>
      <c r="CI5" s="120"/>
    </row>
    <row r="6" spans="1:87" ht="20.100000000000001" customHeight="1" x14ac:dyDescent="0.3">
      <c r="A6" s="64"/>
      <c r="B6" s="131"/>
      <c r="C6" s="152" t="e">
        <f>#REF!</f>
        <v>#REF!</v>
      </c>
      <c r="D6" s="144"/>
      <c r="E6" s="131"/>
      <c r="F6" s="131"/>
      <c r="G6" s="152"/>
      <c r="H6" s="152"/>
      <c r="I6" s="152"/>
      <c r="J6" s="144"/>
      <c r="K6" s="144"/>
      <c r="L6" s="144"/>
      <c r="M6" s="144"/>
      <c r="N6" s="144"/>
      <c r="O6" s="144"/>
      <c r="P6" s="144"/>
      <c r="Q6" s="144"/>
      <c r="R6" s="144"/>
      <c r="V6" s="122"/>
      <c r="W6" s="153" t="s">
        <v>118</v>
      </c>
      <c r="X6" s="154"/>
      <c r="Y6" s="116"/>
      <c r="Z6" s="116">
        <v>0.4</v>
      </c>
      <c r="AA6" s="116">
        <v>1</v>
      </c>
      <c r="AB6" s="116">
        <v>1</v>
      </c>
      <c r="AC6" s="116">
        <v>1</v>
      </c>
      <c r="AD6" s="116">
        <f>+$AC$6</f>
        <v>1</v>
      </c>
      <c r="AE6" s="116">
        <f t="shared" ref="AE6:AS6" si="0">+$AC$6</f>
        <v>1</v>
      </c>
      <c r="AF6" s="116">
        <f t="shared" si="0"/>
        <v>1</v>
      </c>
      <c r="AG6" s="116">
        <f t="shared" si="0"/>
        <v>1</v>
      </c>
      <c r="AH6" s="116">
        <f t="shared" si="0"/>
        <v>1</v>
      </c>
      <c r="AI6" s="116">
        <f t="shared" si="0"/>
        <v>1</v>
      </c>
      <c r="AJ6" s="116">
        <f t="shared" si="0"/>
        <v>1</v>
      </c>
      <c r="AK6" s="116">
        <f t="shared" si="0"/>
        <v>1</v>
      </c>
      <c r="AL6" s="116">
        <f t="shared" si="0"/>
        <v>1</v>
      </c>
      <c r="AM6" s="116">
        <f t="shared" si="0"/>
        <v>1</v>
      </c>
      <c r="AN6" s="116">
        <f t="shared" si="0"/>
        <v>1</v>
      </c>
      <c r="AO6" s="116">
        <f t="shared" si="0"/>
        <v>1</v>
      </c>
      <c r="AP6" s="116">
        <f t="shared" si="0"/>
        <v>1</v>
      </c>
      <c r="AQ6" s="116">
        <f t="shared" si="0"/>
        <v>1</v>
      </c>
      <c r="AR6" s="116">
        <f t="shared" si="0"/>
        <v>1</v>
      </c>
      <c r="AS6" s="116">
        <f t="shared" si="0"/>
        <v>1</v>
      </c>
      <c r="AT6" s="116">
        <f>+$AC$6/2</f>
        <v>0.5</v>
      </c>
      <c r="AU6" s="155"/>
      <c r="AV6" s="155"/>
      <c r="AY6" s="129"/>
      <c r="AZ6" s="148" t="s">
        <v>155</v>
      </c>
      <c r="BA6" s="156">
        <v>0.15</v>
      </c>
      <c r="BB6" s="150"/>
      <c r="BC6" s="150"/>
      <c r="BD6" s="150"/>
      <c r="BE6" s="150"/>
      <c r="BF6" s="150"/>
      <c r="BG6" s="150"/>
      <c r="BH6" s="150"/>
      <c r="BI6" s="150"/>
      <c r="BJ6" s="150"/>
      <c r="BK6" s="151"/>
      <c r="BL6" s="151"/>
      <c r="BM6" s="151"/>
      <c r="BN6" s="151"/>
      <c r="BO6" s="151"/>
      <c r="BP6" s="151"/>
      <c r="BQ6" s="151"/>
      <c r="BR6" s="151"/>
      <c r="BS6" s="151"/>
      <c r="BT6" s="151"/>
      <c r="BU6" s="120"/>
      <c r="BV6" s="120"/>
      <c r="BW6" s="120"/>
      <c r="BX6" s="120"/>
      <c r="BY6" s="120"/>
      <c r="BZ6" s="120"/>
      <c r="CA6" s="120"/>
      <c r="CB6" s="120"/>
      <c r="CC6" s="120"/>
      <c r="CD6" s="120"/>
      <c r="CE6" s="120"/>
      <c r="CF6" s="120"/>
      <c r="CG6" s="120"/>
      <c r="CH6" s="120"/>
      <c r="CI6" s="120"/>
    </row>
    <row r="7" spans="1:87" ht="20.100000000000001" customHeight="1" x14ac:dyDescent="0.3">
      <c r="A7" s="64"/>
      <c r="B7" s="130" t="s">
        <v>156</v>
      </c>
      <c r="C7" s="152" t="e">
        <f>#REF!</f>
        <v>#REF!</v>
      </c>
      <c r="D7" s="131">
        <v>0</v>
      </c>
      <c r="E7" s="131" t="e">
        <f>#REF!</f>
        <v>#REF!</v>
      </c>
      <c r="F7" s="152" t="e">
        <f>#REF!</f>
        <v>#REF!</v>
      </c>
      <c r="G7" s="152" t="e">
        <f>D7+E7+F7</f>
        <v>#REF!</v>
      </c>
      <c r="H7" s="152">
        <f>D7</f>
        <v>0</v>
      </c>
      <c r="I7" s="152" t="e">
        <f>E7+F7</f>
        <v>#REF!</v>
      </c>
      <c r="J7" s="144"/>
      <c r="K7" s="144" t="e">
        <f>+J7+I7</f>
        <v>#REF!</v>
      </c>
      <c r="L7" s="144"/>
      <c r="M7" s="144"/>
      <c r="N7" s="144"/>
      <c r="O7" s="144"/>
      <c r="P7" s="144"/>
      <c r="Q7" s="144"/>
      <c r="R7" s="144"/>
      <c r="V7" s="122"/>
      <c r="W7" s="157" t="s">
        <v>157</v>
      </c>
      <c r="X7" s="157"/>
      <c r="Y7" s="158"/>
      <c r="Z7" s="158" t="e">
        <f>$D$14*Z6</f>
        <v>#REF!</v>
      </c>
      <c r="AA7" s="158" t="e">
        <f t="shared" ref="AA7:AS7" si="1">$D$14*AA6</f>
        <v>#REF!</v>
      </c>
      <c r="AB7" s="158" t="e">
        <f t="shared" si="1"/>
        <v>#REF!</v>
      </c>
      <c r="AC7" s="158" t="e">
        <f t="shared" si="1"/>
        <v>#REF!</v>
      </c>
      <c r="AD7" s="158" t="e">
        <f t="shared" si="1"/>
        <v>#REF!</v>
      </c>
      <c r="AE7" s="158" t="e">
        <f t="shared" si="1"/>
        <v>#REF!</v>
      </c>
      <c r="AF7" s="158" t="e">
        <f t="shared" si="1"/>
        <v>#REF!</v>
      </c>
      <c r="AG7" s="158" t="e">
        <f t="shared" si="1"/>
        <v>#REF!</v>
      </c>
      <c r="AH7" s="158" t="e">
        <f t="shared" si="1"/>
        <v>#REF!</v>
      </c>
      <c r="AI7" s="158" t="e">
        <f t="shared" si="1"/>
        <v>#REF!</v>
      </c>
      <c r="AJ7" s="158" t="e">
        <f t="shared" si="1"/>
        <v>#REF!</v>
      </c>
      <c r="AK7" s="158" t="e">
        <f t="shared" si="1"/>
        <v>#REF!</v>
      </c>
      <c r="AL7" s="158" t="e">
        <f t="shared" si="1"/>
        <v>#REF!</v>
      </c>
      <c r="AM7" s="158" t="e">
        <f t="shared" si="1"/>
        <v>#REF!</v>
      </c>
      <c r="AN7" s="158" t="e">
        <f t="shared" si="1"/>
        <v>#REF!</v>
      </c>
      <c r="AO7" s="158" t="e">
        <f t="shared" si="1"/>
        <v>#REF!</v>
      </c>
      <c r="AP7" s="158" t="e">
        <f t="shared" si="1"/>
        <v>#REF!</v>
      </c>
      <c r="AQ7" s="158" t="e">
        <f t="shared" si="1"/>
        <v>#REF!</v>
      </c>
      <c r="AR7" s="158" t="e">
        <f t="shared" si="1"/>
        <v>#REF!</v>
      </c>
      <c r="AS7" s="158" t="e">
        <f t="shared" si="1"/>
        <v>#REF!</v>
      </c>
      <c r="AT7" s="158" t="e">
        <f>$D$14*AT6</f>
        <v>#REF!</v>
      </c>
      <c r="AU7" s="133"/>
      <c r="AV7" s="133"/>
      <c r="AY7" s="129"/>
      <c r="AZ7" s="159" t="s">
        <v>158</v>
      </c>
      <c r="BA7" s="159" t="s">
        <v>159</v>
      </c>
      <c r="BB7" s="159">
        <v>2</v>
      </c>
      <c r="BC7" s="159">
        <v>3</v>
      </c>
      <c r="BD7" s="159">
        <v>4</v>
      </c>
      <c r="BE7" s="159">
        <v>5</v>
      </c>
      <c r="BF7" s="159">
        <v>6</v>
      </c>
      <c r="BG7" s="159">
        <v>7</v>
      </c>
      <c r="BH7" s="159">
        <v>8</v>
      </c>
      <c r="BI7" s="159">
        <v>9</v>
      </c>
      <c r="BJ7" s="159">
        <v>10</v>
      </c>
      <c r="BK7" s="159">
        <v>11</v>
      </c>
      <c r="BL7" s="159">
        <v>12</v>
      </c>
      <c r="BM7" s="159">
        <v>13</v>
      </c>
      <c r="BN7" s="159">
        <v>14</v>
      </c>
      <c r="BO7" s="159">
        <v>15</v>
      </c>
      <c r="BP7" s="159">
        <v>16</v>
      </c>
      <c r="BQ7" s="159">
        <v>17</v>
      </c>
      <c r="BR7" s="159">
        <v>18</v>
      </c>
      <c r="BS7" s="159">
        <v>19</v>
      </c>
      <c r="BT7" s="160">
        <v>20</v>
      </c>
      <c r="BU7" s="120"/>
      <c r="BV7" s="120"/>
      <c r="BW7" s="120"/>
      <c r="BX7" s="120"/>
      <c r="BY7" s="120"/>
      <c r="BZ7" s="120"/>
      <c r="CA7" s="120"/>
      <c r="CB7" s="120"/>
      <c r="CC7" s="120"/>
      <c r="CD7" s="120"/>
      <c r="CE7" s="120"/>
      <c r="CF7" s="120"/>
      <c r="CG7" s="120"/>
      <c r="CH7" s="120"/>
      <c r="CI7" s="120"/>
    </row>
    <row r="8" spans="1:87" ht="20.100000000000001" customHeight="1" x14ac:dyDescent="0.3">
      <c r="B8" s="130" t="s">
        <v>160</v>
      </c>
      <c r="C8" s="152" t="e">
        <f>#REF!</f>
        <v>#REF!</v>
      </c>
      <c r="D8" s="131">
        <v>0</v>
      </c>
      <c r="E8" s="131" t="e">
        <f>#REF!</f>
        <v>#REF!</v>
      </c>
      <c r="F8" s="152" t="e">
        <f>#REF!</f>
        <v>#REF!</v>
      </c>
      <c r="G8" s="152" t="e">
        <f>D8+E8+F8</f>
        <v>#REF!</v>
      </c>
      <c r="H8" s="152">
        <f>D8</f>
        <v>0</v>
      </c>
      <c r="I8" s="152" t="e">
        <f>E8+F8</f>
        <v>#REF!</v>
      </c>
      <c r="J8" s="144">
        <v>0</v>
      </c>
      <c r="K8" s="144" t="e">
        <f>+J8+I8</f>
        <v>#REF!</v>
      </c>
      <c r="L8" s="144"/>
      <c r="M8" s="144"/>
      <c r="N8" s="144"/>
      <c r="O8" s="144"/>
      <c r="P8" s="144"/>
      <c r="Q8" s="144"/>
      <c r="R8" s="144"/>
      <c r="V8" s="122"/>
      <c r="W8" s="157" t="s">
        <v>161</v>
      </c>
      <c r="X8" s="157"/>
      <c r="Y8" s="158">
        <f>+Y30+Y31</f>
        <v>0</v>
      </c>
      <c r="Z8" s="158" t="e">
        <f t="shared" ref="Z8:AS8" si="2">+Z30+Z31</f>
        <v>#REF!</v>
      </c>
      <c r="AA8" s="158" t="e">
        <f t="shared" si="2"/>
        <v>#REF!</v>
      </c>
      <c r="AB8" s="158" t="e">
        <f t="shared" si="2"/>
        <v>#REF!</v>
      </c>
      <c r="AC8" s="158" t="e">
        <f t="shared" si="2"/>
        <v>#REF!</v>
      </c>
      <c r="AD8" s="158" t="e">
        <f t="shared" si="2"/>
        <v>#REF!</v>
      </c>
      <c r="AE8" s="158" t="e">
        <f t="shared" si="2"/>
        <v>#REF!</v>
      </c>
      <c r="AF8" s="158" t="e">
        <f t="shared" si="2"/>
        <v>#REF!</v>
      </c>
      <c r="AG8" s="158" t="e">
        <f t="shared" si="2"/>
        <v>#REF!</v>
      </c>
      <c r="AH8" s="158" t="e">
        <f t="shared" si="2"/>
        <v>#REF!</v>
      </c>
      <c r="AI8" s="158" t="e">
        <f t="shared" si="2"/>
        <v>#REF!</v>
      </c>
      <c r="AJ8" s="158" t="e">
        <f t="shared" si="2"/>
        <v>#REF!</v>
      </c>
      <c r="AK8" s="158" t="e">
        <f t="shared" si="2"/>
        <v>#REF!</v>
      </c>
      <c r="AL8" s="158" t="e">
        <f t="shared" si="2"/>
        <v>#REF!</v>
      </c>
      <c r="AM8" s="158" t="e">
        <f t="shared" si="2"/>
        <v>#REF!</v>
      </c>
      <c r="AN8" s="158" t="e">
        <f t="shared" si="2"/>
        <v>#REF!</v>
      </c>
      <c r="AO8" s="158" t="e">
        <f t="shared" si="2"/>
        <v>#REF!</v>
      </c>
      <c r="AP8" s="158" t="e">
        <f t="shared" si="2"/>
        <v>#REF!</v>
      </c>
      <c r="AQ8" s="158" t="e">
        <f t="shared" si="2"/>
        <v>#REF!</v>
      </c>
      <c r="AR8" s="158" t="e">
        <f t="shared" si="2"/>
        <v>#REF!</v>
      </c>
      <c r="AS8" s="158" t="e">
        <f t="shared" si="2"/>
        <v>#REF!</v>
      </c>
      <c r="AT8" s="158" t="e">
        <f>+AT30+AT31</f>
        <v>#REF!</v>
      </c>
      <c r="AU8" s="133"/>
      <c r="AV8" s="133" t="s">
        <v>162</v>
      </c>
      <c r="AY8" s="129"/>
      <c r="AZ8" s="148" t="s">
        <v>163</v>
      </c>
      <c r="BA8" s="142" t="e">
        <f>D17</f>
        <v>#REF!</v>
      </c>
      <c r="BB8" s="142" t="e">
        <f t="shared" ref="BB8:BT8" si="3">+BA10</f>
        <v>#REF!</v>
      </c>
      <c r="BC8" s="142" t="e">
        <f t="shared" si="3"/>
        <v>#REF!</v>
      </c>
      <c r="BD8" s="142" t="e">
        <f t="shared" si="3"/>
        <v>#REF!</v>
      </c>
      <c r="BE8" s="142" t="e">
        <f t="shared" si="3"/>
        <v>#REF!</v>
      </c>
      <c r="BF8" s="142" t="e">
        <f t="shared" si="3"/>
        <v>#REF!</v>
      </c>
      <c r="BG8" s="142" t="e">
        <f t="shared" si="3"/>
        <v>#REF!</v>
      </c>
      <c r="BH8" s="142" t="e">
        <f t="shared" si="3"/>
        <v>#REF!</v>
      </c>
      <c r="BI8" s="142" t="e">
        <f t="shared" si="3"/>
        <v>#REF!</v>
      </c>
      <c r="BJ8" s="142" t="e">
        <f t="shared" si="3"/>
        <v>#REF!</v>
      </c>
      <c r="BK8" s="142" t="e">
        <f t="shared" si="3"/>
        <v>#REF!</v>
      </c>
      <c r="BL8" s="142" t="e">
        <f t="shared" si="3"/>
        <v>#REF!</v>
      </c>
      <c r="BM8" s="142" t="e">
        <f t="shared" si="3"/>
        <v>#REF!</v>
      </c>
      <c r="BN8" s="142" t="e">
        <f t="shared" si="3"/>
        <v>#REF!</v>
      </c>
      <c r="BO8" s="142" t="e">
        <f t="shared" si="3"/>
        <v>#REF!</v>
      </c>
      <c r="BP8" s="142" t="e">
        <f t="shared" si="3"/>
        <v>#REF!</v>
      </c>
      <c r="BQ8" s="142" t="e">
        <f t="shared" si="3"/>
        <v>#REF!</v>
      </c>
      <c r="BR8" s="142" t="e">
        <f t="shared" si="3"/>
        <v>#REF!</v>
      </c>
      <c r="BS8" s="142" t="e">
        <f t="shared" si="3"/>
        <v>#REF!</v>
      </c>
      <c r="BT8" s="142" t="e">
        <f t="shared" si="3"/>
        <v>#REF!</v>
      </c>
      <c r="BU8" s="120"/>
      <c r="BV8" s="120"/>
      <c r="BW8" s="120"/>
      <c r="BX8" s="120"/>
      <c r="BY8" s="120"/>
      <c r="BZ8" s="120"/>
      <c r="CA8" s="120"/>
      <c r="CB8" s="120"/>
      <c r="CC8" s="120"/>
      <c r="CD8" s="120"/>
      <c r="CE8" s="120"/>
      <c r="CF8" s="120"/>
      <c r="CG8" s="120"/>
      <c r="CH8" s="120"/>
      <c r="CI8" s="120"/>
    </row>
    <row r="9" spans="1:87" ht="20.100000000000001" customHeight="1" x14ac:dyDescent="0.3">
      <c r="B9" s="161" t="s">
        <v>164</v>
      </c>
      <c r="C9" s="152" t="e">
        <f>#REF!</f>
        <v>#REF!</v>
      </c>
      <c r="D9" s="131">
        <v>0</v>
      </c>
      <c r="E9" s="131" t="e">
        <f>#REF!</f>
        <v>#REF!</v>
      </c>
      <c r="F9" s="152" t="e">
        <f>#REF!</f>
        <v>#REF!</v>
      </c>
      <c r="G9" s="152" t="e">
        <f>D9+E9+F9</f>
        <v>#REF!</v>
      </c>
      <c r="H9" s="152">
        <f>D9</f>
        <v>0</v>
      </c>
      <c r="I9" s="152" t="e">
        <f>E9+F9</f>
        <v>#REF!</v>
      </c>
      <c r="K9" s="144" t="e">
        <f>+J9+I9</f>
        <v>#REF!</v>
      </c>
      <c r="L9" s="144"/>
      <c r="M9" s="144"/>
      <c r="N9" s="144"/>
      <c r="O9" s="144"/>
      <c r="P9" s="144"/>
      <c r="Q9" s="144"/>
      <c r="R9" s="144"/>
      <c r="V9" s="122"/>
      <c r="W9" s="157" t="s">
        <v>165</v>
      </c>
      <c r="X9" s="157"/>
      <c r="Y9" s="162"/>
      <c r="Z9" s="162" t="e">
        <f t="shared" ref="Z9:AT9" si="4">BA9</f>
        <v>#REF!</v>
      </c>
      <c r="AA9" s="162" t="e">
        <f t="shared" si="4"/>
        <v>#REF!</v>
      </c>
      <c r="AB9" s="162" t="e">
        <f t="shared" si="4"/>
        <v>#REF!</v>
      </c>
      <c r="AC9" s="162" t="e">
        <f t="shared" si="4"/>
        <v>#REF!</v>
      </c>
      <c r="AD9" s="162" t="e">
        <f t="shared" si="4"/>
        <v>#REF!</v>
      </c>
      <c r="AE9" s="162" t="e">
        <f t="shared" si="4"/>
        <v>#REF!</v>
      </c>
      <c r="AF9" s="162" t="e">
        <f t="shared" si="4"/>
        <v>#REF!</v>
      </c>
      <c r="AG9" s="162" t="e">
        <f t="shared" si="4"/>
        <v>#REF!</v>
      </c>
      <c r="AH9" s="162" t="e">
        <f t="shared" si="4"/>
        <v>#REF!</v>
      </c>
      <c r="AI9" s="162" t="e">
        <f t="shared" si="4"/>
        <v>#REF!</v>
      </c>
      <c r="AJ9" s="162" t="e">
        <f t="shared" si="4"/>
        <v>#REF!</v>
      </c>
      <c r="AK9" s="162" t="e">
        <f t="shared" si="4"/>
        <v>#REF!</v>
      </c>
      <c r="AL9" s="162" t="e">
        <f t="shared" si="4"/>
        <v>#REF!</v>
      </c>
      <c r="AM9" s="162" t="e">
        <f t="shared" si="4"/>
        <v>#REF!</v>
      </c>
      <c r="AN9" s="162" t="e">
        <f t="shared" si="4"/>
        <v>#REF!</v>
      </c>
      <c r="AO9" s="162" t="e">
        <f t="shared" si="4"/>
        <v>#REF!</v>
      </c>
      <c r="AP9" s="162" t="e">
        <f t="shared" si="4"/>
        <v>#REF!</v>
      </c>
      <c r="AQ9" s="162" t="e">
        <f t="shared" si="4"/>
        <v>#REF!</v>
      </c>
      <c r="AR9" s="162" t="e">
        <f t="shared" si="4"/>
        <v>#REF!</v>
      </c>
      <c r="AS9" s="162" t="e">
        <f t="shared" si="4"/>
        <v>#REF!</v>
      </c>
      <c r="AT9" s="162">
        <f t="shared" si="4"/>
        <v>0</v>
      </c>
      <c r="AU9" s="163" t="e">
        <f>SUM(X9:AS9)</f>
        <v>#REF!</v>
      </c>
      <c r="AV9" s="163" t="e">
        <f>+D17*0.95</f>
        <v>#REF!</v>
      </c>
      <c r="AY9" s="129"/>
      <c r="AZ9" s="148" t="s">
        <v>29</v>
      </c>
      <c r="BA9" s="142" t="e">
        <f>+BA8*$BA$6*0.5</f>
        <v>#REF!</v>
      </c>
      <c r="BB9" s="142" t="e">
        <f t="shared" ref="BB9:BR9" si="5">+BB8*$BA$6</f>
        <v>#REF!</v>
      </c>
      <c r="BC9" s="142" t="e">
        <f t="shared" si="5"/>
        <v>#REF!</v>
      </c>
      <c r="BD9" s="142" t="e">
        <f t="shared" si="5"/>
        <v>#REF!</v>
      </c>
      <c r="BE9" s="142" t="e">
        <f t="shared" si="5"/>
        <v>#REF!</v>
      </c>
      <c r="BF9" s="142" t="e">
        <f t="shared" si="5"/>
        <v>#REF!</v>
      </c>
      <c r="BG9" s="142" t="e">
        <f t="shared" si="5"/>
        <v>#REF!</v>
      </c>
      <c r="BH9" s="142" t="e">
        <f t="shared" si="5"/>
        <v>#REF!</v>
      </c>
      <c r="BI9" s="142" t="e">
        <f t="shared" si="5"/>
        <v>#REF!</v>
      </c>
      <c r="BJ9" s="142" t="e">
        <f t="shared" si="5"/>
        <v>#REF!</v>
      </c>
      <c r="BK9" s="142" t="e">
        <f t="shared" si="5"/>
        <v>#REF!</v>
      </c>
      <c r="BL9" s="142" t="e">
        <f t="shared" si="5"/>
        <v>#REF!</v>
      </c>
      <c r="BM9" s="142" t="e">
        <f t="shared" si="5"/>
        <v>#REF!</v>
      </c>
      <c r="BN9" s="142" t="e">
        <f t="shared" si="5"/>
        <v>#REF!</v>
      </c>
      <c r="BO9" s="142" t="e">
        <f t="shared" si="5"/>
        <v>#REF!</v>
      </c>
      <c r="BP9" s="142" t="e">
        <f t="shared" si="5"/>
        <v>#REF!</v>
      </c>
      <c r="BQ9" s="142" t="e">
        <f t="shared" si="5"/>
        <v>#REF!</v>
      </c>
      <c r="BR9" s="142" t="e">
        <f t="shared" si="5"/>
        <v>#REF!</v>
      </c>
      <c r="BS9" s="142" t="e">
        <f>$BA$8*0.95-SUM($BA$9:BR9)</f>
        <v>#REF!</v>
      </c>
      <c r="BT9" s="142" t="e">
        <f>$BA$8*0.95-SUM($BA$9:BS9)</f>
        <v>#REF!</v>
      </c>
      <c r="BU9" s="120"/>
      <c r="BV9" s="120"/>
      <c r="BW9" s="120"/>
      <c r="BX9" s="120"/>
      <c r="BY9" s="120"/>
      <c r="BZ9" s="120"/>
      <c r="CA9" s="120"/>
      <c r="CB9" s="120"/>
      <c r="CC9" s="120"/>
      <c r="CD9" s="120"/>
      <c r="CE9" s="120"/>
      <c r="CF9" s="120"/>
      <c r="CG9" s="120"/>
      <c r="CH9" s="120"/>
      <c r="CI9" s="120"/>
    </row>
    <row r="10" spans="1:87" ht="20.100000000000001" customHeight="1" x14ac:dyDescent="0.3">
      <c r="B10" s="130" t="s">
        <v>166</v>
      </c>
      <c r="C10" s="152" t="e">
        <f>#REF!</f>
        <v>#REF!</v>
      </c>
      <c r="D10" s="131">
        <v>0</v>
      </c>
      <c r="E10" s="131" t="e">
        <f>#REF!</f>
        <v>#REF!</v>
      </c>
      <c r="F10" s="152">
        <v>0</v>
      </c>
      <c r="G10" s="152" t="e">
        <f>D10+E10+F10</f>
        <v>#REF!</v>
      </c>
      <c r="H10" s="152">
        <f>D10</f>
        <v>0</v>
      </c>
      <c r="I10" s="152" t="e">
        <f>E10+F10</f>
        <v>#REF!</v>
      </c>
      <c r="J10" s="144"/>
      <c r="K10" s="144" t="e">
        <f>+J10+I10</f>
        <v>#REF!</v>
      </c>
      <c r="L10" s="131"/>
      <c r="M10" s="144" t="e">
        <f>+K11+H11</f>
        <v>#REF!</v>
      </c>
      <c r="N10" s="143"/>
      <c r="O10" s="143"/>
      <c r="P10" s="143"/>
      <c r="Q10" s="143"/>
      <c r="R10" s="143"/>
      <c r="S10" s="143"/>
      <c r="T10" s="143"/>
      <c r="V10" s="122"/>
      <c r="W10" s="157" t="s">
        <v>119</v>
      </c>
      <c r="X10" s="157"/>
      <c r="Y10" s="164">
        <f>+Y7-Y8-Y9</f>
        <v>0</v>
      </c>
      <c r="Z10" s="164" t="e">
        <f t="shared" ref="Z10:AS10" si="6">+Z7-Z8-Z9</f>
        <v>#REF!</v>
      </c>
      <c r="AA10" s="164" t="e">
        <f t="shared" si="6"/>
        <v>#REF!</v>
      </c>
      <c r="AB10" s="164" t="e">
        <f t="shared" si="6"/>
        <v>#REF!</v>
      </c>
      <c r="AC10" s="164" t="e">
        <f t="shared" si="6"/>
        <v>#REF!</v>
      </c>
      <c r="AD10" s="164" t="e">
        <f t="shared" si="6"/>
        <v>#REF!</v>
      </c>
      <c r="AE10" s="164" t="e">
        <f t="shared" si="6"/>
        <v>#REF!</v>
      </c>
      <c r="AF10" s="164" t="e">
        <f t="shared" si="6"/>
        <v>#REF!</v>
      </c>
      <c r="AG10" s="164" t="e">
        <f t="shared" si="6"/>
        <v>#REF!</v>
      </c>
      <c r="AH10" s="164" t="e">
        <f t="shared" si="6"/>
        <v>#REF!</v>
      </c>
      <c r="AI10" s="164" t="e">
        <f t="shared" si="6"/>
        <v>#REF!</v>
      </c>
      <c r="AJ10" s="164" t="e">
        <f t="shared" si="6"/>
        <v>#REF!</v>
      </c>
      <c r="AK10" s="164" t="e">
        <f t="shared" si="6"/>
        <v>#REF!</v>
      </c>
      <c r="AL10" s="164" t="e">
        <f t="shared" si="6"/>
        <v>#REF!</v>
      </c>
      <c r="AM10" s="164" t="e">
        <f t="shared" si="6"/>
        <v>#REF!</v>
      </c>
      <c r="AN10" s="164" t="e">
        <f t="shared" si="6"/>
        <v>#REF!</v>
      </c>
      <c r="AO10" s="164" t="e">
        <f t="shared" si="6"/>
        <v>#REF!</v>
      </c>
      <c r="AP10" s="164" t="e">
        <f t="shared" si="6"/>
        <v>#REF!</v>
      </c>
      <c r="AQ10" s="164" t="e">
        <f t="shared" si="6"/>
        <v>#REF!</v>
      </c>
      <c r="AR10" s="164" t="e">
        <f t="shared" si="6"/>
        <v>#REF!</v>
      </c>
      <c r="AS10" s="164" t="e">
        <f t="shared" si="6"/>
        <v>#REF!</v>
      </c>
      <c r="AT10" s="164" t="e">
        <f>+AT7-AT8-AT9</f>
        <v>#REF!</v>
      </c>
      <c r="AU10" s="163"/>
      <c r="AV10" s="163"/>
      <c r="AY10" s="129"/>
      <c r="AZ10" s="148" t="s">
        <v>167</v>
      </c>
      <c r="BA10" s="142" t="e">
        <f t="shared" ref="BA10:BT10" si="7">+BA8-BA9</f>
        <v>#REF!</v>
      </c>
      <c r="BB10" s="142" t="e">
        <f t="shared" si="7"/>
        <v>#REF!</v>
      </c>
      <c r="BC10" s="142" t="e">
        <f t="shared" si="7"/>
        <v>#REF!</v>
      </c>
      <c r="BD10" s="142" t="e">
        <f t="shared" si="7"/>
        <v>#REF!</v>
      </c>
      <c r="BE10" s="142" t="e">
        <f t="shared" si="7"/>
        <v>#REF!</v>
      </c>
      <c r="BF10" s="142" t="e">
        <f t="shared" si="7"/>
        <v>#REF!</v>
      </c>
      <c r="BG10" s="142" t="e">
        <f t="shared" si="7"/>
        <v>#REF!</v>
      </c>
      <c r="BH10" s="142" t="e">
        <f t="shared" si="7"/>
        <v>#REF!</v>
      </c>
      <c r="BI10" s="142" t="e">
        <f t="shared" si="7"/>
        <v>#REF!</v>
      </c>
      <c r="BJ10" s="142" t="e">
        <f t="shared" si="7"/>
        <v>#REF!</v>
      </c>
      <c r="BK10" s="142" t="e">
        <f t="shared" si="7"/>
        <v>#REF!</v>
      </c>
      <c r="BL10" s="142" t="e">
        <f t="shared" si="7"/>
        <v>#REF!</v>
      </c>
      <c r="BM10" s="142" t="e">
        <f t="shared" si="7"/>
        <v>#REF!</v>
      </c>
      <c r="BN10" s="142" t="e">
        <f t="shared" si="7"/>
        <v>#REF!</v>
      </c>
      <c r="BO10" s="142" t="e">
        <f t="shared" si="7"/>
        <v>#REF!</v>
      </c>
      <c r="BP10" s="142" t="e">
        <f t="shared" si="7"/>
        <v>#REF!</v>
      </c>
      <c r="BQ10" s="142" t="e">
        <f t="shared" si="7"/>
        <v>#REF!</v>
      </c>
      <c r="BR10" s="142" t="e">
        <f t="shared" si="7"/>
        <v>#REF!</v>
      </c>
      <c r="BS10" s="142" t="e">
        <f t="shared" si="7"/>
        <v>#REF!</v>
      </c>
      <c r="BT10" s="142" t="e">
        <f t="shared" si="7"/>
        <v>#REF!</v>
      </c>
      <c r="BU10" s="120"/>
      <c r="BV10" s="120"/>
      <c r="BW10" s="120"/>
      <c r="BX10" s="120"/>
      <c r="BY10" s="120"/>
      <c r="BZ10" s="120"/>
      <c r="CA10" s="120"/>
      <c r="CB10" s="120"/>
      <c r="CC10" s="120"/>
      <c r="CD10" s="120"/>
      <c r="CE10" s="120"/>
      <c r="CF10" s="120"/>
      <c r="CG10" s="120"/>
      <c r="CH10" s="120"/>
      <c r="CI10" s="120"/>
    </row>
    <row r="11" spans="1:87" ht="20.100000000000001" customHeight="1" x14ac:dyDescent="0.3">
      <c r="B11" s="165" t="s">
        <v>1</v>
      </c>
      <c r="C11" s="165" t="e">
        <f t="shared" ref="C11:K11" si="8">SUM(C7:C10)</f>
        <v>#REF!</v>
      </c>
      <c r="D11" s="165">
        <f t="shared" si="8"/>
        <v>0</v>
      </c>
      <c r="E11" s="165" t="e">
        <f t="shared" si="8"/>
        <v>#REF!</v>
      </c>
      <c r="F11" s="165" t="e">
        <f t="shared" si="8"/>
        <v>#REF!</v>
      </c>
      <c r="G11" s="165" t="e">
        <f t="shared" si="8"/>
        <v>#REF!</v>
      </c>
      <c r="H11" s="165">
        <f t="shared" si="8"/>
        <v>0</v>
      </c>
      <c r="I11" s="165" t="e">
        <f t="shared" si="8"/>
        <v>#REF!</v>
      </c>
      <c r="J11" s="165">
        <f t="shared" si="8"/>
        <v>0</v>
      </c>
      <c r="K11" s="165" t="e">
        <f t="shared" si="8"/>
        <v>#REF!</v>
      </c>
      <c r="M11" s="131"/>
      <c r="N11" s="131"/>
      <c r="O11" s="131"/>
      <c r="P11" s="131"/>
      <c r="Q11" s="131"/>
      <c r="R11" s="131"/>
      <c r="S11" s="131"/>
      <c r="T11" s="131"/>
      <c r="U11" s="131"/>
      <c r="V11" s="166" t="e">
        <f>30*1.12*(1+#REF!)%</f>
        <v>#REF!</v>
      </c>
      <c r="W11" s="157" t="s">
        <v>168</v>
      </c>
      <c r="X11" s="164"/>
      <c r="Y11" s="164">
        <f>IF(Y10&gt;0,Y10*$V$11,0)*$V$12</f>
        <v>0</v>
      </c>
      <c r="Z11" s="164" t="e">
        <f t="shared" ref="Z11:AS11" si="9">IF(Z10&gt;0,Z10*$V$11,0)*$V$12</f>
        <v>#REF!</v>
      </c>
      <c r="AA11" s="164" t="e">
        <f t="shared" si="9"/>
        <v>#REF!</v>
      </c>
      <c r="AB11" s="164" t="e">
        <f t="shared" si="9"/>
        <v>#REF!</v>
      </c>
      <c r="AC11" s="164" t="e">
        <f t="shared" si="9"/>
        <v>#REF!</v>
      </c>
      <c r="AD11" s="164" t="e">
        <f t="shared" si="9"/>
        <v>#REF!</v>
      </c>
      <c r="AE11" s="164" t="e">
        <f t="shared" si="9"/>
        <v>#REF!</v>
      </c>
      <c r="AF11" s="164" t="e">
        <f t="shared" si="9"/>
        <v>#REF!</v>
      </c>
      <c r="AG11" s="164" t="e">
        <f t="shared" si="9"/>
        <v>#REF!</v>
      </c>
      <c r="AH11" s="164" t="e">
        <f t="shared" si="9"/>
        <v>#REF!</v>
      </c>
      <c r="AI11" s="164" t="e">
        <f t="shared" si="9"/>
        <v>#REF!</v>
      </c>
      <c r="AJ11" s="164" t="e">
        <f t="shared" si="9"/>
        <v>#REF!</v>
      </c>
      <c r="AK11" s="164" t="e">
        <f t="shared" si="9"/>
        <v>#REF!</v>
      </c>
      <c r="AL11" s="164" t="e">
        <f t="shared" si="9"/>
        <v>#REF!</v>
      </c>
      <c r="AM11" s="164" t="e">
        <f t="shared" si="9"/>
        <v>#REF!</v>
      </c>
      <c r="AN11" s="164" t="e">
        <f t="shared" si="9"/>
        <v>#REF!</v>
      </c>
      <c r="AO11" s="164" t="e">
        <f t="shared" si="9"/>
        <v>#REF!</v>
      </c>
      <c r="AP11" s="164" t="e">
        <f t="shared" si="9"/>
        <v>#REF!</v>
      </c>
      <c r="AQ11" s="164" t="e">
        <f t="shared" si="9"/>
        <v>#REF!</v>
      </c>
      <c r="AR11" s="164" t="e">
        <f t="shared" si="9"/>
        <v>#REF!</v>
      </c>
      <c r="AS11" s="164" t="e">
        <f t="shared" si="9"/>
        <v>#REF!</v>
      </c>
      <c r="AT11" s="164" t="e">
        <f>IF(AT10&gt;0,AT10*$V$11,0)*$V$12</f>
        <v>#REF!</v>
      </c>
      <c r="AU11" s="167"/>
      <c r="AV11" s="163" t="e">
        <f>AU9-AV9</f>
        <v>#REF!</v>
      </c>
      <c r="AY11" s="129"/>
      <c r="AZ11" s="148"/>
      <c r="BA11" s="142"/>
      <c r="BB11" s="142"/>
      <c r="BC11" s="142"/>
      <c r="BD11" s="142"/>
      <c r="BE11" s="142"/>
      <c r="BF11" s="142"/>
      <c r="BG11" s="142"/>
      <c r="BH11" s="142"/>
      <c r="BI11" s="142"/>
      <c r="BJ11" s="142"/>
      <c r="BK11" s="168"/>
      <c r="BL11" s="168"/>
      <c r="BM11" s="168"/>
      <c r="BN11" s="168"/>
      <c r="BO11" s="168"/>
      <c r="BP11" s="151"/>
      <c r="BQ11" s="151"/>
      <c r="BR11" s="151"/>
      <c r="BS11" s="151"/>
      <c r="BT11" s="151"/>
      <c r="BU11" s="120"/>
      <c r="BV11" s="120"/>
      <c r="BW11" s="120"/>
      <c r="BX11" s="120"/>
      <c r="BY11" s="120"/>
      <c r="BZ11" s="120"/>
      <c r="CA11" s="120"/>
      <c r="CB11" s="120"/>
      <c r="CC11" s="120"/>
      <c r="CD11" s="120"/>
      <c r="CE11" s="120"/>
      <c r="CF11" s="120"/>
      <c r="CG11" s="120"/>
      <c r="CH11" s="120"/>
      <c r="CI11" s="120"/>
    </row>
    <row r="12" spans="1:87" ht="20.100000000000001" customHeight="1" x14ac:dyDescent="0.3">
      <c r="A12" s="120"/>
      <c r="B12" s="169"/>
      <c r="C12" s="170"/>
      <c r="D12" s="170"/>
      <c r="E12" s="170"/>
      <c r="F12" s="170"/>
      <c r="G12" s="170"/>
      <c r="H12" s="170"/>
      <c r="I12" s="170"/>
      <c r="J12" s="171"/>
      <c r="K12" s="171"/>
      <c r="V12" s="122">
        <v>1</v>
      </c>
      <c r="W12" s="172"/>
      <c r="X12" s="157"/>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3"/>
      <c r="AV12" s="163"/>
      <c r="AY12" s="129"/>
      <c r="AZ12" s="148" t="s">
        <v>169</v>
      </c>
      <c r="BA12" s="142" t="e">
        <f>D17*0.95</f>
        <v>#REF!</v>
      </c>
      <c r="BB12" s="142"/>
      <c r="BC12" s="142"/>
      <c r="BD12" s="150"/>
      <c r="BE12" s="150"/>
      <c r="BF12" s="150"/>
      <c r="BG12" s="142" t="e">
        <f>SUM(BA9:BT9)</f>
        <v>#REF!</v>
      </c>
      <c r="BH12" s="150"/>
      <c r="BI12" s="150"/>
      <c r="BJ12" s="150"/>
      <c r="BK12" s="151"/>
      <c r="BL12" s="151"/>
      <c r="BM12" s="151"/>
      <c r="BN12" s="151"/>
      <c r="BO12" s="151"/>
      <c r="BP12" s="151"/>
      <c r="BQ12" s="151"/>
      <c r="BR12" s="151"/>
      <c r="BS12" s="151"/>
      <c r="BT12" s="151"/>
      <c r="BU12" s="120"/>
      <c r="BV12" s="120"/>
      <c r="BW12" s="120"/>
      <c r="BX12" s="120"/>
      <c r="BY12" s="120"/>
      <c r="BZ12" s="120"/>
      <c r="CA12" s="120"/>
      <c r="CB12" s="120"/>
      <c r="CC12" s="120"/>
      <c r="CD12" s="120"/>
      <c r="CE12" s="120"/>
      <c r="CF12" s="120"/>
      <c r="CG12" s="120"/>
      <c r="CH12" s="120"/>
      <c r="CI12" s="120"/>
    </row>
    <row r="13" spans="1:87" ht="20.100000000000001" customHeight="1" x14ac:dyDescent="0.3">
      <c r="B13" s="173" t="s">
        <v>170</v>
      </c>
      <c r="C13" s="173" t="s">
        <v>171</v>
      </c>
      <c r="D13" s="173">
        <f>302.5429607*0</f>
        <v>0</v>
      </c>
      <c r="V13" s="122"/>
      <c r="W13" s="157" t="s">
        <v>120</v>
      </c>
      <c r="X13" s="157"/>
      <c r="Y13" s="164">
        <f>+Y10-Y11</f>
        <v>0</v>
      </c>
      <c r="Z13" s="164" t="e">
        <f t="shared" ref="Z13:AS13" si="10">+Z10-Z11</f>
        <v>#REF!</v>
      </c>
      <c r="AA13" s="164" t="e">
        <f t="shared" si="10"/>
        <v>#REF!</v>
      </c>
      <c r="AB13" s="164" t="e">
        <f t="shared" si="10"/>
        <v>#REF!</v>
      </c>
      <c r="AC13" s="164" t="e">
        <f t="shared" si="10"/>
        <v>#REF!</v>
      </c>
      <c r="AD13" s="164" t="e">
        <f t="shared" si="10"/>
        <v>#REF!</v>
      </c>
      <c r="AE13" s="164" t="e">
        <f t="shared" si="10"/>
        <v>#REF!</v>
      </c>
      <c r="AF13" s="164" t="e">
        <f t="shared" si="10"/>
        <v>#REF!</v>
      </c>
      <c r="AG13" s="164" t="e">
        <f t="shared" si="10"/>
        <v>#REF!</v>
      </c>
      <c r="AH13" s="164" t="e">
        <f t="shared" si="10"/>
        <v>#REF!</v>
      </c>
      <c r="AI13" s="164" t="e">
        <f t="shared" si="10"/>
        <v>#REF!</v>
      </c>
      <c r="AJ13" s="164" t="e">
        <f t="shared" si="10"/>
        <v>#REF!</v>
      </c>
      <c r="AK13" s="164" t="e">
        <f t="shared" si="10"/>
        <v>#REF!</v>
      </c>
      <c r="AL13" s="164" t="e">
        <f t="shared" si="10"/>
        <v>#REF!</v>
      </c>
      <c r="AM13" s="164" t="e">
        <f t="shared" si="10"/>
        <v>#REF!</v>
      </c>
      <c r="AN13" s="164" t="e">
        <f t="shared" si="10"/>
        <v>#REF!</v>
      </c>
      <c r="AO13" s="164" t="e">
        <f t="shared" si="10"/>
        <v>#REF!</v>
      </c>
      <c r="AP13" s="164" t="e">
        <f t="shared" si="10"/>
        <v>#REF!</v>
      </c>
      <c r="AQ13" s="164" t="e">
        <f t="shared" si="10"/>
        <v>#REF!</v>
      </c>
      <c r="AR13" s="164" t="e">
        <f t="shared" si="10"/>
        <v>#REF!</v>
      </c>
      <c r="AS13" s="164" t="e">
        <f t="shared" si="10"/>
        <v>#REF!</v>
      </c>
      <c r="AT13" s="164" t="e">
        <f>+AT10-AT11</f>
        <v>#REF!</v>
      </c>
      <c r="AU13" s="163"/>
      <c r="AV13" s="163"/>
      <c r="AY13" s="129"/>
      <c r="AZ13" s="142"/>
      <c r="BA13" s="142"/>
      <c r="BB13" s="142"/>
      <c r="BC13" s="142"/>
      <c r="BD13" s="142"/>
      <c r="BE13" s="142"/>
      <c r="BF13" s="142"/>
      <c r="BG13" s="142"/>
      <c r="BH13" s="142"/>
      <c r="BI13" s="151"/>
      <c r="BJ13" s="151"/>
      <c r="BK13" s="151"/>
      <c r="BL13" s="151"/>
      <c r="BM13" s="151"/>
      <c r="BN13" s="151"/>
      <c r="BO13" s="151"/>
      <c r="BP13" s="151"/>
      <c r="BQ13" s="151"/>
      <c r="BR13" s="151"/>
      <c r="BS13" s="151"/>
      <c r="BT13" s="151"/>
      <c r="BU13" s="120"/>
      <c r="BV13" s="120"/>
      <c r="BW13" s="120"/>
      <c r="BX13" s="120"/>
      <c r="BY13" s="120"/>
      <c r="BZ13" s="120"/>
      <c r="CA13" s="120"/>
      <c r="CB13" s="120"/>
      <c r="CC13" s="120"/>
      <c r="CD13" s="120"/>
      <c r="CE13" s="120"/>
      <c r="CF13" s="120"/>
      <c r="CG13" s="120"/>
      <c r="CH13" s="120"/>
      <c r="CI13" s="120"/>
    </row>
    <row r="14" spans="1:87" ht="20.100000000000001" customHeight="1" x14ac:dyDescent="0.3">
      <c r="A14" s="120"/>
      <c r="B14" s="173" t="s">
        <v>24</v>
      </c>
      <c r="C14" s="173" t="s">
        <v>171</v>
      </c>
      <c r="D14" s="173" t="e">
        <f>GM!G27*#REF!</f>
        <v>#REF!</v>
      </c>
      <c r="E14" s="120"/>
      <c r="V14" s="122"/>
      <c r="W14" s="174" t="s">
        <v>121</v>
      </c>
      <c r="X14" s="174"/>
      <c r="Y14" s="175">
        <f>+Y13+X14</f>
        <v>0</v>
      </c>
      <c r="Z14" s="175" t="e">
        <f>+Z13+Y14</f>
        <v>#REF!</v>
      </c>
      <c r="AA14" s="175" t="e">
        <f t="shared" ref="AA14:AT14" si="11">+AA13+Z14</f>
        <v>#REF!</v>
      </c>
      <c r="AB14" s="175" t="e">
        <f t="shared" si="11"/>
        <v>#REF!</v>
      </c>
      <c r="AC14" s="175" t="e">
        <f t="shared" si="11"/>
        <v>#REF!</v>
      </c>
      <c r="AD14" s="175" t="e">
        <f t="shared" si="11"/>
        <v>#REF!</v>
      </c>
      <c r="AE14" s="175" t="e">
        <f t="shared" si="11"/>
        <v>#REF!</v>
      </c>
      <c r="AF14" s="175" t="e">
        <f t="shared" si="11"/>
        <v>#REF!</v>
      </c>
      <c r="AG14" s="175" t="e">
        <f t="shared" si="11"/>
        <v>#REF!</v>
      </c>
      <c r="AH14" s="175" t="e">
        <f t="shared" si="11"/>
        <v>#REF!</v>
      </c>
      <c r="AI14" s="175" t="e">
        <f t="shared" si="11"/>
        <v>#REF!</v>
      </c>
      <c r="AJ14" s="175" t="e">
        <f t="shared" si="11"/>
        <v>#REF!</v>
      </c>
      <c r="AK14" s="175" t="e">
        <f t="shared" si="11"/>
        <v>#REF!</v>
      </c>
      <c r="AL14" s="175" t="e">
        <f t="shared" si="11"/>
        <v>#REF!</v>
      </c>
      <c r="AM14" s="175" t="e">
        <f t="shared" si="11"/>
        <v>#REF!</v>
      </c>
      <c r="AN14" s="175" t="e">
        <f t="shared" si="11"/>
        <v>#REF!</v>
      </c>
      <c r="AO14" s="175" t="e">
        <f t="shared" si="11"/>
        <v>#REF!</v>
      </c>
      <c r="AP14" s="175" t="e">
        <f t="shared" si="11"/>
        <v>#REF!</v>
      </c>
      <c r="AQ14" s="175" t="e">
        <f t="shared" si="11"/>
        <v>#REF!</v>
      </c>
      <c r="AR14" s="175" t="e">
        <f t="shared" si="11"/>
        <v>#REF!</v>
      </c>
      <c r="AS14" s="175" t="e">
        <f t="shared" si="11"/>
        <v>#REF!</v>
      </c>
      <c r="AT14" s="175" t="e">
        <f t="shared" si="11"/>
        <v>#REF!</v>
      </c>
      <c r="AU14" s="176"/>
      <c r="AV14" s="176"/>
      <c r="AY14" s="129"/>
      <c r="AZ14" s="142"/>
      <c r="BA14" s="142"/>
      <c r="BB14" s="142"/>
      <c r="BC14" s="142"/>
      <c r="BD14" s="142"/>
      <c r="BE14" s="142"/>
      <c r="BF14" s="142"/>
      <c r="BG14" s="142"/>
      <c r="BH14" s="142"/>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row>
    <row r="15" spans="1:87" ht="20.100000000000001" customHeight="1" x14ac:dyDescent="0.3">
      <c r="A15" s="120"/>
      <c r="B15" s="177" t="s">
        <v>172</v>
      </c>
      <c r="C15" s="177" t="s">
        <v>171</v>
      </c>
      <c r="D15" s="177" t="e">
        <f>#REF!</f>
        <v>#REF!</v>
      </c>
      <c r="E15" s="120"/>
      <c r="V15" s="122"/>
      <c r="W15" s="178"/>
      <c r="X15" s="178"/>
      <c r="Y15" s="179"/>
      <c r="Z15" s="179"/>
      <c r="AA15" s="179"/>
      <c r="AB15" s="179"/>
      <c r="AC15" s="179"/>
      <c r="AD15" s="179"/>
      <c r="AE15" s="179"/>
      <c r="AF15" s="179"/>
      <c r="AG15" s="179"/>
      <c r="AH15" s="179"/>
      <c r="AI15" s="179"/>
      <c r="AJ15" s="179"/>
      <c r="AK15" s="179"/>
      <c r="AL15" s="179"/>
      <c r="AM15" s="179"/>
      <c r="AN15" s="179"/>
      <c r="AO15" s="179"/>
      <c r="AP15" s="179"/>
      <c r="AQ15" s="179"/>
      <c r="AR15" s="179"/>
      <c r="AS15" s="179"/>
      <c r="AT15" s="179"/>
      <c r="AU15" s="176"/>
      <c r="AV15" s="176"/>
      <c r="AY15" s="129"/>
      <c r="AZ15" s="142"/>
      <c r="BA15" s="142"/>
      <c r="BB15" s="142"/>
      <c r="BC15" s="142"/>
      <c r="BD15" s="142"/>
      <c r="BE15" s="142"/>
      <c r="BF15" s="142"/>
      <c r="BG15" s="142"/>
      <c r="BH15" s="142"/>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row>
    <row r="16" spans="1:87" ht="20.100000000000001" customHeight="1" x14ac:dyDescent="0.3">
      <c r="A16" s="120"/>
      <c r="B16" s="177" t="s">
        <v>190</v>
      </c>
      <c r="C16" s="177" t="s">
        <v>171</v>
      </c>
      <c r="D16" s="180" t="e">
        <f>#REF!</f>
        <v>#REF!</v>
      </c>
      <c r="E16" s="120"/>
      <c r="V16" s="122"/>
      <c r="W16" s="178"/>
      <c r="X16" s="178"/>
      <c r="Y16" s="179"/>
      <c r="Z16" s="179"/>
      <c r="AA16" s="179"/>
      <c r="AB16" s="179"/>
      <c r="AC16" s="179"/>
      <c r="AD16" s="179"/>
      <c r="AE16" s="179"/>
      <c r="AF16" s="179"/>
      <c r="AG16" s="179"/>
      <c r="AH16" s="179"/>
      <c r="AI16" s="179"/>
      <c r="AJ16" s="179"/>
      <c r="AK16" s="179"/>
      <c r="AL16" s="179"/>
      <c r="AM16" s="179"/>
      <c r="AN16" s="179"/>
      <c r="AO16" s="179"/>
      <c r="AP16" s="179"/>
      <c r="AQ16" s="179"/>
      <c r="AR16" s="179"/>
      <c r="AS16" s="179"/>
      <c r="AT16" s="179"/>
      <c r="AU16" s="176"/>
      <c r="AV16" s="176"/>
      <c r="AY16" s="129"/>
      <c r="AZ16" s="142"/>
      <c r="BA16" s="142"/>
      <c r="BB16" s="142"/>
      <c r="BC16" s="142"/>
      <c r="BD16" s="142"/>
      <c r="BE16" s="142"/>
      <c r="BF16" s="142"/>
      <c r="BG16" s="142"/>
      <c r="BH16" s="142"/>
      <c r="BI16" s="120"/>
      <c r="BJ16" s="120"/>
      <c r="BK16" s="120"/>
      <c r="BL16" s="120"/>
      <c r="BM16" s="120"/>
      <c r="BN16" s="120"/>
      <c r="BO16" s="120"/>
      <c r="BP16" s="120"/>
      <c r="BQ16" s="120"/>
      <c r="BR16" s="120"/>
      <c r="BS16" s="120"/>
      <c r="BT16" s="120"/>
      <c r="BU16" s="120"/>
      <c r="BV16" s="120"/>
      <c r="BW16" s="120"/>
      <c r="BX16" s="120"/>
      <c r="BY16" s="120"/>
      <c r="BZ16" s="120"/>
      <c r="CA16" s="120"/>
      <c r="CB16" s="120"/>
      <c r="CC16" s="120"/>
      <c r="CD16" s="120"/>
      <c r="CE16" s="120"/>
      <c r="CF16" s="120"/>
      <c r="CG16" s="120"/>
      <c r="CH16" s="120"/>
      <c r="CI16" s="120"/>
    </row>
    <row r="17" spans="1:87" ht="20.100000000000001" customHeight="1" x14ac:dyDescent="0.3">
      <c r="A17" s="120"/>
      <c r="B17" s="177" t="s">
        <v>191</v>
      </c>
      <c r="C17" s="177" t="s">
        <v>171</v>
      </c>
      <c r="D17" s="177" t="e">
        <f>#REF!</f>
        <v>#REF!</v>
      </c>
      <c r="E17" s="120"/>
      <c r="V17" s="122"/>
      <c r="W17" s="172"/>
      <c r="X17" s="172"/>
      <c r="Y17" s="157"/>
      <c r="Z17" s="181" t="s">
        <v>173</v>
      </c>
      <c r="AB17" s="172"/>
      <c r="AC17" s="172"/>
      <c r="AD17" s="172"/>
      <c r="AE17" s="172"/>
      <c r="AF17" s="172"/>
      <c r="AG17" s="172"/>
      <c r="AH17" s="172"/>
      <c r="AI17" s="172"/>
      <c r="AJ17" s="172"/>
      <c r="AK17" s="172"/>
      <c r="AL17" s="172"/>
      <c r="AM17" s="172"/>
      <c r="AN17" s="172"/>
      <c r="AO17" s="172"/>
      <c r="AP17" s="172"/>
      <c r="AQ17" s="172"/>
      <c r="AR17" s="172"/>
      <c r="AS17" s="182"/>
      <c r="AT17" s="182"/>
      <c r="AU17" s="122"/>
      <c r="AV17" s="122"/>
      <c r="AY17" s="129"/>
      <c r="AZ17" s="142"/>
      <c r="BA17" s="142"/>
      <c r="BB17" s="142"/>
      <c r="BC17" s="142"/>
      <c r="BD17" s="142"/>
      <c r="BE17" s="142"/>
      <c r="BF17" s="129"/>
      <c r="BG17" s="129"/>
      <c r="BH17" s="129"/>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row>
    <row r="18" spans="1:87" ht="20.100000000000001" customHeight="1" x14ac:dyDescent="0.3">
      <c r="A18" s="120"/>
      <c r="B18" s="183" t="s">
        <v>174</v>
      </c>
      <c r="C18" s="177" t="s">
        <v>171</v>
      </c>
      <c r="D18" s="180">
        <v>0</v>
      </c>
      <c r="E18" s="120"/>
      <c r="V18" s="122"/>
      <c r="W18" s="184" t="s">
        <v>122</v>
      </c>
      <c r="X18" s="157"/>
      <c r="Y18" s="157"/>
      <c r="Z18" s="157"/>
      <c r="AA18" s="185"/>
      <c r="AB18" s="164"/>
      <c r="AC18" s="164"/>
      <c r="AD18" s="164"/>
      <c r="AE18" s="164"/>
      <c r="AF18" s="164"/>
      <c r="AG18" s="164"/>
      <c r="AH18" s="164"/>
      <c r="AI18" s="164"/>
      <c r="AJ18" s="164"/>
      <c r="AK18" s="164"/>
      <c r="AL18" s="164"/>
      <c r="AM18" s="186"/>
      <c r="AN18" s="186"/>
      <c r="AO18" s="186"/>
      <c r="AP18" s="186"/>
      <c r="AQ18" s="186"/>
      <c r="AR18" s="186"/>
      <c r="AS18" s="186"/>
      <c r="AT18" s="186"/>
      <c r="AU18" s="187"/>
      <c r="AV18" s="187"/>
      <c r="AY18" s="129"/>
      <c r="AZ18" s="142"/>
      <c r="BA18" s="142"/>
      <c r="BB18" s="142"/>
      <c r="BC18" s="142"/>
      <c r="BD18" s="142"/>
      <c r="BE18" s="142"/>
      <c r="BF18" s="142"/>
      <c r="BG18" s="142"/>
      <c r="BH18" s="142"/>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row>
    <row r="19" spans="1:87" ht="20.100000000000001" customHeight="1" x14ac:dyDescent="0.3">
      <c r="A19" s="120"/>
      <c r="B19" s="183" t="s">
        <v>175</v>
      </c>
      <c r="C19" s="177" t="s">
        <v>171</v>
      </c>
      <c r="D19" s="173">
        <v>0</v>
      </c>
      <c r="V19" s="122"/>
      <c r="W19" s="188" t="s">
        <v>176</v>
      </c>
      <c r="X19" s="189" t="str">
        <f t="shared" ref="X19:AS19" si="12">+X5</f>
        <v>Yr 1</v>
      </c>
      <c r="Y19" s="189" t="str">
        <f t="shared" si="12"/>
        <v>Yr 2</v>
      </c>
      <c r="Z19" s="189" t="str">
        <f t="shared" si="12"/>
        <v>Yr 3</v>
      </c>
      <c r="AA19" s="189" t="str">
        <f t="shared" si="12"/>
        <v>Yr 4</v>
      </c>
      <c r="AB19" s="189" t="str">
        <f t="shared" si="12"/>
        <v>Yr 5</v>
      </c>
      <c r="AC19" s="189" t="str">
        <f t="shared" si="12"/>
        <v>Yr 6</v>
      </c>
      <c r="AD19" s="189" t="str">
        <f t="shared" si="12"/>
        <v>Yr 7</v>
      </c>
      <c r="AE19" s="189" t="str">
        <f t="shared" si="12"/>
        <v>Yr 8</v>
      </c>
      <c r="AF19" s="189" t="str">
        <f t="shared" si="12"/>
        <v>Yr 9</v>
      </c>
      <c r="AG19" s="189" t="str">
        <f t="shared" si="12"/>
        <v>Yr 10</v>
      </c>
      <c r="AH19" s="189" t="str">
        <f t="shared" si="12"/>
        <v>Yr 11</v>
      </c>
      <c r="AI19" s="189" t="str">
        <f t="shared" si="12"/>
        <v>Yr 12</v>
      </c>
      <c r="AJ19" s="189" t="str">
        <f t="shared" si="12"/>
        <v>Yr 13</v>
      </c>
      <c r="AK19" s="189" t="str">
        <f t="shared" si="12"/>
        <v>Yr 14</v>
      </c>
      <c r="AL19" s="189" t="str">
        <f t="shared" si="12"/>
        <v>Yr 15</v>
      </c>
      <c r="AM19" s="189" t="str">
        <f t="shared" si="12"/>
        <v>Yr 16</v>
      </c>
      <c r="AN19" s="189" t="str">
        <f t="shared" si="12"/>
        <v>Yr 17</v>
      </c>
      <c r="AO19" s="189" t="str">
        <f t="shared" si="12"/>
        <v>Yr 18</v>
      </c>
      <c r="AP19" s="189" t="str">
        <f t="shared" si="12"/>
        <v>Yr 19</v>
      </c>
      <c r="AQ19" s="189" t="str">
        <f t="shared" si="12"/>
        <v>Yr 20</v>
      </c>
      <c r="AR19" s="189" t="str">
        <f t="shared" si="12"/>
        <v>Yr 21</v>
      </c>
      <c r="AS19" s="190" t="str">
        <f t="shared" si="12"/>
        <v>Yr 22</v>
      </c>
      <c r="AT19" s="190" t="str">
        <f>+AT5</f>
        <v>Yr 23</v>
      </c>
      <c r="AU19" s="191"/>
      <c r="AV19" s="191"/>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row>
    <row r="20" spans="1:87" ht="20.100000000000001" customHeight="1" x14ac:dyDescent="0.3">
      <c r="A20" s="120"/>
      <c r="V20" s="122"/>
      <c r="W20" s="157" t="s">
        <v>123</v>
      </c>
      <c r="X20" s="157">
        <f>+X7</f>
        <v>0</v>
      </c>
      <c r="Y20" s="157">
        <f t="shared" ref="Y20:AS20" si="13">+Y7</f>
        <v>0</v>
      </c>
      <c r="Z20" s="157" t="e">
        <f t="shared" si="13"/>
        <v>#REF!</v>
      </c>
      <c r="AA20" s="157" t="e">
        <f t="shared" si="13"/>
        <v>#REF!</v>
      </c>
      <c r="AB20" s="157" t="e">
        <f t="shared" si="13"/>
        <v>#REF!</v>
      </c>
      <c r="AC20" s="157" t="e">
        <f t="shared" si="13"/>
        <v>#REF!</v>
      </c>
      <c r="AD20" s="157" t="e">
        <f t="shared" si="13"/>
        <v>#REF!</v>
      </c>
      <c r="AE20" s="157" t="e">
        <f t="shared" si="13"/>
        <v>#REF!</v>
      </c>
      <c r="AF20" s="157" t="e">
        <f t="shared" si="13"/>
        <v>#REF!</v>
      </c>
      <c r="AG20" s="157" t="e">
        <f t="shared" si="13"/>
        <v>#REF!</v>
      </c>
      <c r="AH20" s="157" t="e">
        <f t="shared" si="13"/>
        <v>#REF!</v>
      </c>
      <c r="AI20" s="157" t="e">
        <f t="shared" si="13"/>
        <v>#REF!</v>
      </c>
      <c r="AJ20" s="157" t="e">
        <f t="shared" si="13"/>
        <v>#REF!</v>
      </c>
      <c r="AK20" s="157" t="e">
        <f t="shared" si="13"/>
        <v>#REF!</v>
      </c>
      <c r="AL20" s="157" t="e">
        <f t="shared" si="13"/>
        <v>#REF!</v>
      </c>
      <c r="AM20" s="157" t="e">
        <f t="shared" si="13"/>
        <v>#REF!</v>
      </c>
      <c r="AN20" s="157" t="e">
        <f t="shared" si="13"/>
        <v>#REF!</v>
      </c>
      <c r="AO20" s="157" t="e">
        <f t="shared" si="13"/>
        <v>#REF!</v>
      </c>
      <c r="AP20" s="157" t="e">
        <f t="shared" si="13"/>
        <v>#REF!</v>
      </c>
      <c r="AQ20" s="157" t="e">
        <f t="shared" si="13"/>
        <v>#REF!</v>
      </c>
      <c r="AR20" s="157" t="e">
        <f t="shared" si="13"/>
        <v>#REF!</v>
      </c>
      <c r="AS20" s="157" t="e">
        <f t="shared" si="13"/>
        <v>#REF!</v>
      </c>
      <c r="AT20" s="157" t="e">
        <f>+AT7</f>
        <v>#REF!</v>
      </c>
      <c r="AU20" s="133"/>
      <c r="AV20" s="133"/>
    </row>
    <row r="21" spans="1:87" ht="20.100000000000001" customHeight="1" x14ac:dyDescent="0.3">
      <c r="A21" s="120"/>
      <c r="V21" s="187">
        <f>SUM(X21:AA21)</f>
        <v>0</v>
      </c>
      <c r="W21" s="157" t="s">
        <v>124</v>
      </c>
      <c r="X21" s="164">
        <f>H7</f>
        <v>0</v>
      </c>
      <c r="Y21" s="164">
        <f>H8</f>
        <v>0</v>
      </c>
      <c r="Z21" s="164">
        <f>H9+H10</f>
        <v>0</v>
      </c>
      <c r="AA21" s="164"/>
      <c r="AB21" s="164">
        <v>0</v>
      </c>
      <c r="AC21" s="164">
        <v>0</v>
      </c>
      <c r="AD21" s="164">
        <v>0</v>
      </c>
      <c r="AE21" s="164">
        <v>0</v>
      </c>
      <c r="AF21" s="164">
        <v>0</v>
      </c>
      <c r="AG21" s="164">
        <v>0</v>
      </c>
      <c r="AH21" s="164">
        <v>0</v>
      </c>
      <c r="AI21" s="164">
        <v>0</v>
      </c>
      <c r="AJ21" s="164">
        <v>0</v>
      </c>
      <c r="AK21" s="164">
        <v>0</v>
      </c>
      <c r="AL21" s="164">
        <v>0</v>
      </c>
      <c r="AM21" s="164">
        <v>0</v>
      </c>
      <c r="AN21" s="164">
        <v>0</v>
      </c>
      <c r="AO21" s="164">
        <v>0</v>
      </c>
      <c r="AP21" s="164">
        <v>0</v>
      </c>
      <c r="AQ21" s="164">
        <v>0</v>
      </c>
      <c r="AR21" s="164">
        <v>0</v>
      </c>
      <c r="AS21" s="164">
        <v>0</v>
      </c>
      <c r="AT21" s="164">
        <v>0</v>
      </c>
      <c r="AU21" s="163"/>
      <c r="AV21" s="163"/>
    </row>
    <row r="22" spans="1:87" ht="20.100000000000001" customHeight="1" x14ac:dyDescent="0.3">
      <c r="A22" s="120"/>
      <c r="B22" s="120"/>
      <c r="C22" s="120"/>
      <c r="D22" s="120"/>
      <c r="E22" s="120"/>
      <c r="F22" s="120"/>
      <c r="G22" s="120"/>
      <c r="H22" s="120"/>
      <c r="I22" s="120"/>
      <c r="J22" s="120"/>
      <c r="K22" s="120"/>
      <c r="L22" s="120"/>
      <c r="M22" s="120"/>
      <c r="N22" s="120"/>
      <c r="V22" s="187" t="e">
        <f>SUM(X22:AA22)</f>
        <v>#REF!</v>
      </c>
      <c r="W22" s="157" t="s">
        <v>177</v>
      </c>
      <c r="X22" s="164" t="e">
        <f>I7</f>
        <v>#REF!</v>
      </c>
      <c r="Y22" s="164" t="e">
        <f>I8</f>
        <v>#REF!</v>
      </c>
      <c r="Z22" s="164" t="e">
        <f>I9+I10</f>
        <v>#REF!</v>
      </c>
      <c r="AA22" s="164"/>
      <c r="AB22" s="164">
        <v>0</v>
      </c>
      <c r="AC22" s="164">
        <v>0</v>
      </c>
      <c r="AD22" s="164">
        <v>0</v>
      </c>
      <c r="AE22" s="164">
        <v>0</v>
      </c>
      <c r="AF22" s="164">
        <v>0</v>
      </c>
      <c r="AG22" s="164">
        <v>0</v>
      </c>
      <c r="AH22" s="164">
        <v>0</v>
      </c>
      <c r="AI22" s="164">
        <v>0</v>
      </c>
      <c r="AJ22" s="164">
        <v>0</v>
      </c>
      <c r="AK22" s="164">
        <v>0</v>
      </c>
      <c r="AL22" s="164">
        <v>0</v>
      </c>
      <c r="AM22" s="164">
        <v>0</v>
      </c>
      <c r="AN22" s="164">
        <v>0</v>
      </c>
      <c r="AO22" s="164">
        <v>0</v>
      </c>
      <c r="AP22" s="164">
        <v>0</v>
      </c>
      <c r="AQ22" s="164">
        <v>0</v>
      </c>
      <c r="AR22" s="164">
        <v>0</v>
      </c>
      <c r="AS22" s="164">
        <v>0</v>
      </c>
      <c r="AT22" s="164">
        <v>0</v>
      </c>
      <c r="AU22" s="163"/>
      <c r="AV22" s="163"/>
    </row>
    <row r="23" spans="1:87" ht="20.100000000000001" customHeight="1" x14ac:dyDescent="0.3">
      <c r="A23" s="120"/>
      <c r="B23" s="177"/>
      <c r="C23" s="192"/>
      <c r="D23" s="192"/>
      <c r="E23" s="192"/>
      <c r="F23" s="120"/>
      <c r="G23" s="120"/>
      <c r="H23" s="120"/>
      <c r="I23" s="120"/>
      <c r="J23" s="120"/>
      <c r="K23" s="120"/>
      <c r="L23" s="120"/>
      <c r="M23" s="120"/>
      <c r="N23" s="120"/>
      <c r="V23" s="193" t="e">
        <f>+V22+V21</f>
        <v>#REF!</v>
      </c>
      <c r="W23" s="153" t="s">
        <v>1</v>
      </c>
      <c r="X23" s="194" t="e">
        <f>SUM(X20:X22)</f>
        <v>#REF!</v>
      </c>
      <c r="Y23" s="194" t="e">
        <f t="shared" ref="Y23:AS23" si="14">SUM(Y20:Y22)</f>
        <v>#REF!</v>
      </c>
      <c r="Z23" s="194" t="e">
        <f t="shared" si="14"/>
        <v>#REF!</v>
      </c>
      <c r="AA23" s="194" t="e">
        <f t="shared" si="14"/>
        <v>#REF!</v>
      </c>
      <c r="AB23" s="194" t="e">
        <f t="shared" si="14"/>
        <v>#REF!</v>
      </c>
      <c r="AC23" s="194" t="e">
        <f t="shared" si="14"/>
        <v>#REF!</v>
      </c>
      <c r="AD23" s="194" t="e">
        <f t="shared" si="14"/>
        <v>#REF!</v>
      </c>
      <c r="AE23" s="194" t="e">
        <f t="shared" si="14"/>
        <v>#REF!</v>
      </c>
      <c r="AF23" s="194" t="e">
        <f t="shared" si="14"/>
        <v>#REF!</v>
      </c>
      <c r="AG23" s="194" t="e">
        <f t="shared" si="14"/>
        <v>#REF!</v>
      </c>
      <c r="AH23" s="194" t="e">
        <f t="shared" si="14"/>
        <v>#REF!</v>
      </c>
      <c r="AI23" s="194" t="e">
        <f t="shared" si="14"/>
        <v>#REF!</v>
      </c>
      <c r="AJ23" s="194" t="e">
        <f t="shared" si="14"/>
        <v>#REF!</v>
      </c>
      <c r="AK23" s="194" t="e">
        <f t="shared" si="14"/>
        <v>#REF!</v>
      </c>
      <c r="AL23" s="194" t="e">
        <f t="shared" si="14"/>
        <v>#REF!</v>
      </c>
      <c r="AM23" s="194" t="e">
        <f t="shared" si="14"/>
        <v>#REF!</v>
      </c>
      <c r="AN23" s="194" t="e">
        <f t="shared" si="14"/>
        <v>#REF!</v>
      </c>
      <c r="AO23" s="194" t="e">
        <f t="shared" si="14"/>
        <v>#REF!</v>
      </c>
      <c r="AP23" s="194" t="e">
        <f t="shared" si="14"/>
        <v>#REF!</v>
      </c>
      <c r="AQ23" s="194" t="e">
        <f t="shared" si="14"/>
        <v>#REF!</v>
      </c>
      <c r="AR23" s="194" t="e">
        <f t="shared" si="14"/>
        <v>#REF!</v>
      </c>
      <c r="AS23" s="194" t="e">
        <f t="shared" si="14"/>
        <v>#REF!</v>
      </c>
      <c r="AT23" s="194" t="e">
        <f>SUM(AT20:AT22)</f>
        <v>#REF!</v>
      </c>
      <c r="AU23" s="176"/>
      <c r="AV23" s="176"/>
    </row>
    <row r="24" spans="1:87" ht="20.100000000000001" customHeight="1" x14ac:dyDescent="0.3">
      <c r="A24" s="120"/>
      <c r="B24" s="129"/>
      <c r="C24" s="120"/>
      <c r="D24" s="120"/>
      <c r="E24" s="120"/>
      <c r="F24" s="120"/>
      <c r="G24" s="120"/>
      <c r="H24" s="120"/>
      <c r="I24" s="120"/>
      <c r="J24" s="120"/>
      <c r="K24" s="120"/>
      <c r="L24" s="120"/>
      <c r="M24" s="120"/>
      <c r="N24" s="120"/>
      <c r="V24" s="12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22"/>
      <c r="AV24" s="122"/>
    </row>
    <row r="25" spans="1:87" ht="20.100000000000001" customHeight="1" x14ac:dyDescent="0.3">
      <c r="A25" s="120"/>
      <c r="B25" s="120"/>
      <c r="C25" s="120"/>
      <c r="D25" s="120"/>
      <c r="E25" s="120"/>
      <c r="F25" s="120"/>
      <c r="G25" s="120"/>
      <c r="H25" s="120"/>
      <c r="I25" s="120"/>
      <c r="J25" s="120"/>
      <c r="K25" s="120"/>
      <c r="L25" s="120"/>
      <c r="M25" s="120"/>
      <c r="N25" s="120"/>
      <c r="V25" s="122"/>
      <c r="W25" s="157" t="s">
        <v>125</v>
      </c>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3"/>
      <c r="AV25" s="163"/>
    </row>
    <row r="26" spans="1:87" ht="20.100000000000001" customHeight="1" x14ac:dyDescent="0.3">
      <c r="A26" s="120"/>
      <c r="B26" s="120"/>
      <c r="C26" s="177"/>
      <c r="D26" s="177"/>
      <c r="E26" s="120"/>
      <c r="F26" s="120"/>
      <c r="G26" s="120"/>
      <c r="H26" s="120"/>
      <c r="I26" s="195"/>
      <c r="J26" s="120"/>
      <c r="K26" s="120"/>
      <c r="L26" s="120"/>
      <c r="M26" s="120"/>
      <c r="N26" s="120"/>
      <c r="V26" s="122"/>
      <c r="W26" s="157" t="s">
        <v>126</v>
      </c>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3"/>
      <c r="AV26" s="163"/>
    </row>
    <row r="27" spans="1:87" ht="20.100000000000001" customHeight="1" x14ac:dyDescent="0.3">
      <c r="A27" s="64"/>
      <c r="B27" s="120"/>
      <c r="C27" s="120"/>
      <c r="D27" s="120"/>
      <c r="E27" s="120"/>
      <c r="F27" s="120"/>
      <c r="G27" s="120"/>
      <c r="H27" s="120"/>
      <c r="I27" s="195"/>
      <c r="J27" s="120"/>
      <c r="K27" s="120"/>
      <c r="L27" s="120"/>
      <c r="M27" s="120"/>
      <c r="N27" s="120"/>
      <c r="V27" s="122"/>
      <c r="W27" s="157" t="s">
        <v>127</v>
      </c>
      <c r="X27" s="164">
        <f t="shared" ref="X27:AA28" si="15">+X21</f>
        <v>0</v>
      </c>
      <c r="Y27" s="164">
        <f t="shared" si="15"/>
        <v>0</v>
      </c>
      <c r="Z27" s="164">
        <f t="shared" si="15"/>
        <v>0</v>
      </c>
      <c r="AA27" s="164">
        <f t="shared" si="15"/>
        <v>0</v>
      </c>
      <c r="AB27" s="164">
        <v>0</v>
      </c>
      <c r="AC27" s="164">
        <v>0</v>
      </c>
      <c r="AD27" s="164">
        <v>0</v>
      </c>
      <c r="AE27" s="164">
        <v>0</v>
      </c>
      <c r="AF27" s="164">
        <v>0</v>
      </c>
      <c r="AG27" s="164">
        <v>0</v>
      </c>
      <c r="AH27" s="164">
        <v>0</v>
      </c>
      <c r="AI27" s="164">
        <v>0</v>
      </c>
      <c r="AJ27" s="164">
        <v>0</v>
      </c>
      <c r="AK27" s="164">
        <v>0</v>
      </c>
      <c r="AL27" s="164">
        <v>0</v>
      </c>
      <c r="AM27" s="164">
        <v>0</v>
      </c>
      <c r="AN27" s="164">
        <v>0</v>
      </c>
      <c r="AO27" s="164">
        <v>0</v>
      </c>
      <c r="AP27" s="164">
        <v>0</v>
      </c>
      <c r="AQ27" s="164">
        <v>0</v>
      </c>
      <c r="AR27" s="164">
        <v>0</v>
      </c>
      <c r="AS27" s="164">
        <v>0</v>
      </c>
      <c r="AT27" s="164">
        <v>0</v>
      </c>
      <c r="AU27" s="163"/>
      <c r="AV27" s="163"/>
    </row>
    <row r="28" spans="1:87" ht="20.100000000000001" customHeight="1" x14ac:dyDescent="0.3">
      <c r="A28" s="64"/>
      <c r="B28" s="196"/>
      <c r="C28" s="120"/>
      <c r="D28" s="120"/>
      <c r="E28" s="120"/>
      <c r="F28" s="120"/>
      <c r="G28" s="120"/>
      <c r="H28" s="120"/>
      <c r="I28" s="120"/>
      <c r="J28" s="120"/>
      <c r="K28" s="120"/>
      <c r="L28" s="120"/>
      <c r="M28" s="197"/>
      <c r="N28" s="120"/>
      <c r="V28" s="122"/>
      <c r="W28" s="157" t="s">
        <v>128</v>
      </c>
      <c r="X28" s="164" t="e">
        <f t="shared" si="15"/>
        <v>#REF!</v>
      </c>
      <c r="Y28" s="164" t="e">
        <f t="shared" si="15"/>
        <v>#REF!</v>
      </c>
      <c r="Z28" s="164" t="e">
        <f t="shared" si="15"/>
        <v>#REF!</v>
      </c>
      <c r="AA28" s="164">
        <f t="shared" si="15"/>
        <v>0</v>
      </c>
      <c r="AB28" s="164">
        <v>0</v>
      </c>
      <c r="AC28" s="164">
        <v>0</v>
      </c>
      <c r="AD28" s="164">
        <v>0</v>
      </c>
      <c r="AE28" s="164">
        <v>0</v>
      </c>
      <c r="AF28" s="164">
        <v>0</v>
      </c>
      <c r="AG28" s="164">
        <v>0</v>
      </c>
      <c r="AH28" s="164">
        <v>0</v>
      </c>
      <c r="AI28" s="164">
        <v>0</v>
      </c>
      <c r="AJ28" s="164"/>
      <c r="AK28" s="164">
        <v>0</v>
      </c>
      <c r="AL28" s="164">
        <v>0</v>
      </c>
      <c r="AM28" s="164">
        <v>0</v>
      </c>
      <c r="AN28" s="164">
        <v>0</v>
      </c>
      <c r="AO28" s="164">
        <v>0</v>
      </c>
      <c r="AP28" s="164">
        <v>0</v>
      </c>
      <c r="AQ28" s="164">
        <v>0</v>
      </c>
      <c r="AR28" s="164">
        <v>0</v>
      </c>
      <c r="AS28" s="164">
        <v>0</v>
      </c>
      <c r="AT28" s="164">
        <v>0</v>
      </c>
      <c r="AU28" s="163"/>
      <c r="AV28" s="163"/>
    </row>
    <row r="29" spans="1:87" ht="20.100000000000001" customHeight="1" x14ac:dyDescent="0.3">
      <c r="A29" s="64"/>
      <c r="B29" s="198"/>
      <c r="C29" s="198"/>
      <c r="D29" s="120"/>
      <c r="E29" s="152"/>
      <c r="F29" s="198"/>
      <c r="G29" s="152"/>
      <c r="H29" s="1103"/>
      <c r="I29" s="1103"/>
      <c r="J29" s="120"/>
      <c r="K29" s="120"/>
      <c r="L29" s="120"/>
      <c r="M29" s="197"/>
      <c r="N29" s="120"/>
      <c r="V29" s="122"/>
      <c r="W29" s="157" t="s">
        <v>129</v>
      </c>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3"/>
      <c r="AV29" s="163"/>
    </row>
    <row r="30" spans="1:87" ht="20.100000000000001" customHeight="1" x14ac:dyDescent="0.3">
      <c r="A30" s="64"/>
      <c r="B30" s="152"/>
      <c r="C30" s="198"/>
      <c r="D30" s="120"/>
      <c r="E30" s="152"/>
      <c r="F30" s="199"/>
      <c r="G30" s="152"/>
      <c r="H30" s="198"/>
      <c r="I30" s="198"/>
      <c r="J30" s="120"/>
      <c r="K30" s="120"/>
      <c r="L30" s="120"/>
      <c r="M30" s="197"/>
      <c r="N30" s="120"/>
      <c r="T30" s="121" t="s">
        <v>178</v>
      </c>
      <c r="U30" s="200">
        <v>0.1</v>
      </c>
      <c r="W30" s="201" t="s">
        <v>179</v>
      </c>
      <c r="X30" s="164">
        <f>+AZ11</f>
        <v>0</v>
      </c>
      <c r="Y30" s="164"/>
      <c r="Z30" s="164" t="e">
        <f>+($X$28+$Y$28+$Z$28-SUM($X$32:Y32))*$U$30*1/2</f>
        <v>#REF!</v>
      </c>
      <c r="AA30" s="164" t="e">
        <f>+($X$28+$Y$28+$Z$28-SUM($Y$32:Z32))*$U$30</f>
        <v>#REF!</v>
      </c>
      <c r="AB30" s="164" t="e">
        <f>+($X$28+$Y$28+$Z$28-SUM($Y$32:AA32))*$U$30</f>
        <v>#REF!</v>
      </c>
      <c r="AC30" s="164" t="e">
        <f>+($X$28+$Y$28+$Z$28-SUM($Y$32:AB32))*$U$30</f>
        <v>#REF!</v>
      </c>
      <c r="AD30" s="164" t="e">
        <f>+($X$28+$Y$28+$Z$28-SUM($Y$32:AC32))*$U$30</f>
        <v>#REF!</v>
      </c>
      <c r="AE30" s="164" t="e">
        <f>+($X$28+$Y$28+$Z$28-SUM($Y$32:AD32))*$U$30</f>
        <v>#REF!</v>
      </c>
      <c r="AF30" s="164" t="e">
        <f>+($X$28+$Y$28+$Z$28-SUM($Y$32:AE32))*$U$30</f>
        <v>#REF!</v>
      </c>
      <c r="AG30" s="164" t="e">
        <f>+($X$28+$Y$28+$Z$28-SUM($Y$32:AF32))*$U$30</f>
        <v>#REF!</v>
      </c>
      <c r="AH30" s="164" t="e">
        <f>+($X$28+$Y$28+$Z$28-SUM($Y$32:AG32))*$U$30</f>
        <v>#REF!</v>
      </c>
      <c r="AI30" s="164" t="e">
        <f>+($X$28+$Y$28+$Z$28-SUM($Y$32:AH32))*$U$30</f>
        <v>#REF!</v>
      </c>
      <c r="AJ30" s="164" t="e">
        <f>+($X$28+$Y$28+$Z$28-SUM($Y$32:AI32))*$U$30</f>
        <v>#REF!</v>
      </c>
      <c r="AK30" s="164" t="e">
        <f>+($X$28+$Y$28+$Z$28-SUM($Y$32:AJ32))*$U$30</f>
        <v>#REF!</v>
      </c>
      <c r="AL30" s="164" t="e">
        <f>+($X$28+$Y$28+$Z$28-SUM($Y$32:AK32))*$U$30</f>
        <v>#REF!</v>
      </c>
      <c r="AM30" s="164" t="e">
        <f>+($X$28+$Y$28+$Z$28-SUM($Y$32:AL32))*$U$30</f>
        <v>#REF!</v>
      </c>
      <c r="AN30" s="164" t="e">
        <f>+($X$28+$Y$28+$Z$28-SUM($Y$32:AM32))*$U$30</f>
        <v>#REF!</v>
      </c>
      <c r="AO30" s="164" t="e">
        <f>+($X$28+$Y$28+$Z$28-SUM($Y$32:AN32))*$U$30</f>
        <v>#REF!</v>
      </c>
      <c r="AP30" s="164" t="e">
        <f>+($X$28+$Y$28+$Z$28-SUM($Y$32:AO32))*$U$30</f>
        <v>#REF!</v>
      </c>
      <c r="AQ30" s="164" t="e">
        <f>+($X$28+$Y$28+$Z$28-SUM($Y$32:AP32))*$U$30</f>
        <v>#REF!</v>
      </c>
      <c r="AR30" s="164" t="e">
        <f>+($X$28+$Y$28+$Z$28-SUM($Y$32:AQ32))*$U$30</f>
        <v>#REF!</v>
      </c>
      <c r="AS30" s="164" t="e">
        <f>+($X$28+$Y$28+$Z$28-SUM($Y$32:AR32))*$U$30</f>
        <v>#REF!</v>
      </c>
      <c r="AT30" s="164" t="e">
        <f>+($X$28+$Y$28+$Z$28-SUM($Y$32:AS32))*$U$30</f>
        <v>#REF!</v>
      </c>
      <c r="AU30" s="163"/>
      <c r="AV30" s="163"/>
    </row>
    <row r="31" spans="1:87" ht="20.100000000000001" customHeight="1" x14ac:dyDescent="0.3">
      <c r="A31" s="64"/>
      <c r="B31" s="202"/>
      <c r="C31" s="202"/>
      <c r="D31" s="202"/>
      <c r="E31" s="202"/>
      <c r="F31" s="202"/>
      <c r="G31" s="202"/>
      <c r="H31" s="202"/>
      <c r="I31" s="202"/>
      <c r="J31" s="120"/>
      <c r="K31" s="120"/>
      <c r="L31" s="120"/>
      <c r="M31" s="120"/>
      <c r="N31" s="120"/>
      <c r="T31" s="121" t="s">
        <v>180</v>
      </c>
      <c r="U31" s="203">
        <v>0.1</v>
      </c>
      <c r="V31" s="204"/>
      <c r="W31" s="201"/>
      <c r="X31" s="164"/>
      <c r="Y31" s="164"/>
      <c r="Z31" s="164"/>
      <c r="AA31" s="164">
        <f t="shared" ref="AA31:AT31" si="16">+$D$18*$U$31</f>
        <v>0</v>
      </c>
      <c r="AB31" s="164">
        <f t="shared" si="16"/>
        <v>0</v>
      </c>
      <c r="AC31" s="164">
        <f t="shared" si="16"/>
        <v>0</v>
      </c>
      <c r="AD31" s="164">
        <f t="shared" si="16"/>
        <v>0</v>
      </c>
      <c r="AE31" s="164">
        <f t="shared" si="16"/>
        <v>0</v>
      </c>
      <c r="AF31" s="164">
        <f t="shared" si="16"/>
        <v>0</v>
      </c>
      <c r="AG31" s="164">
        <f t="shared" si="16"/>
        <v>0</v>
      </c>
      <c r="AH31" s="164">
        <f t="shared" si="16"/>
        <v>0</v>
      </c>
      <c r="AI31" s="164">
        <f t="shared" si="16"/>
        <v>0</v>
      </c>
      <c r="AJ31" s="164">
        <f t="shared" si="16"/>
        <v>0</v>
      </c>
      <c r="AK31" s="164">
        <f t="shared" si="16"/>
        <v>0</v>
      </c>
      <c r="AL31" s="164">
        <f t="shared" si="16"/>
        <v>0</v>
      </c>
      <c r="AM31" s="164">
        <f t="shared" si="16"/>
        <v>0</v>
      </c>
      <c r="AN31" s="164">
        <f t="shared" si="16"/>
        <v>0</v>
      </c>
      <c r="AO31" s="164">
        <f t="shared" si="16"/>
        <v>0</v>
      </c>
      <c r="AP31" s="164">
        <f t="shared" si="16"/>
        <v>0</v>
      </c>
      <c r="AQ31" s="164">
        <f t="shared" si="16"/>
        <v>0</v>
      </c>
      <c r="AR31" s="164">
        <f t="shared" si="16"/>
        <v>0</v>
      </c>
      <c r="AS31" s="164">
        <f t="shared" si="16"/>
        <v>0</v>
      </c>
      <c r="AT31" s="164">
        <f t="shared" si="16"/>
        <v>0</v>
      </c>
      <c r="AU31" s="163"/>
      <c r="AV31" s="163"/>
    </row>
    <row r="32" spans="1:87" ht="20.100000000000001" customHeight="1" x14ac:dyDescent="0.3">
      <c r="A32" s="64"/>
      <c r="B32" s="152"/>
      <c r="C32" s="152"/>
      <c r="D32" s="197"/>
      <c r="E32" s="152"/>
      <c r="F32" s="152"/>
      <c r="G32" s="152"/>
      <c r="H32" s="152"/>
      <c r="I32" s="152"/>
      <c r="J32" s="197"/>
      <c r="K32" s="197"/>
      <c r="L32" s="120"/>
      <c r="M32" s="120"/>
      <c r="N32" s="120"/>
      <c r="V32" s="187" t="e">
        <f>SUM(X32:AS32)</f>
        <v>#REF!</v>
      </c>
      <c r="W32" s="157" t="s">
        <v>130</v>
      </c>
      <c r="X32" s="164">
        <f>+AZ14</f>
        <v>0</v>
      </c>
      <c r="Y32" s="164"/>
      <c r="Z32" s="164"/>
      <c r="AA32" s="164"/>
      <c r="AB32" s="164" t="e">
        <f t="shared" ref="AB32:AK32" si="17">+$V$22/10</f>
        <v>#REF!</v>
      </c>
      <c r="AC32" s="164" t="e">
        <f t="shared" si="17"/>
        <v>#REF!</v>
      </c>
      <c r="AD32" s="164" t="e">
        <f t="shared" si="17"/>
        <v>#REF!</v>
      </c>
      <c r="AE32" s="164" t="e">
        <f t="shared" si="17"/>
        <v>#REF!</v>
      </c>
      <c r="AF32" s="164" t="e">
        <f t="shared" si="17"/>
        <v>#REF!</v>
      </c>
      <c r="AG32" s="164" t="e">
        <f t="shared" si="17"/>
        <v>#REF!</v>
      </c>
      <c r="AH32" s="164" t="e">
        <f t="shared" si="17"/>
        <v>#REF!</v>
      </c>
      <c r="AI32" s="164" t="e">
        <f t="shared" si="17"/>
        <v>#REF!</v>
      </c>
      <c r="AJ32" s="164" t="e">
        <f t="shared" si="17"/>
        <v>#REF!</v>
      </c>
      <c r="AK32" s="164" t="e">
        <f t="shared" si="17"/>
        <v>#REF!</v>
      </c>
      <c r="AL32" s="164"/>
      <c r="AM32" s="164"/>
      <c r="AN32" s="164"/>
      <c r="AO32" s="164"/>
      <c r="AP32" s="164"/>
      <c r="AQ32" s="164"/>
      <c r="AR32" s="164"/>
      <c r="AS32" s="164"/>
      <c r="AT32" s="164"/>
      <c r="AU32" s="163"/>
      <c r="AV32" s="163"/>
    </row>
    <row r="33" spans="1:51" ht="20.100000000000001" customHeight="1" x14ac:dyDescent="0.3">
      <c r="A33" s="64"/>
      <c r="B33" s="198"/>
      <c r="C33" s="152"/>
      <c r="D33" s="197"/>
      <c r="E33" s="152"/>
      <c r="F33" s="152"/>
      <c r="G33" s="152"/>
      <c r="H33" s="152"/>
      <c r="I33" s="152"/>
      <c r="J33" s="197"/>
      <c r="K33" s="197"/>
      <c r="L33" s="120"/>
      <c r="M33" s="120"/>
      <c r="N33" s="120"/>
      <c r="V33" s="122"/>
      <c r="W33" s="174" t="s">
        <v>131</v>
      </c>
      <c r="X33" s="175">
        <f>+X11</f>
        <v>0</v>
      </c>
      <c r="Y33" s="175">
        <f t="shared" ref="Y33:AS33" si="18">+Y11</f>
        <v>0</v>
      </c>
      <c r="Z33" s="175" t="e">
        <f t="shared" si="18"/>
        <v>#REF!</v>
      </c>
      <c r="AA33" s="175" t="e">
        <f t="shared" si="18"/>
        <v>#REF!</v>
      </c>
      <c r="AB33" s="175" t="e">
        <f t="shared" si="18"/>
        <v>#REF!</v>
      </c>
      <c r="AC33" s="175" t="e">
        <f t="shared" si="18"/>
        <v>#REF!</v>
      </c>
      <c r="AD33" s="175" t="e">
        <f t="shared" si="18"/>
        <v>#REF!</v>
      </c>
      <c r="AE33" s="175" t="e">
        <f t="shared" si="18"/>
        <v>#REF!</v>
      </c>
      <c r="AF33" s="175" t="e">
        <f t="shared" si="18"/>
        <v>#REF!</v>
      </c>
      <c r="AG33" s="175" t="e">
        <f t="shared" si="18"/>
        <v>#REF!</v>
      </c>
      <c r="AH33" s="175" t="e">
        <f t="shared" si="18"/>
        <v>#REF!</v>
      </c>
      <c r="AI33" s="175" t="e">
        <f t="shared" si="18"/>
        <v>#REF!</v>
      </c>
      <c r="AJ33" s="175" t="e">
        <f t="shared" si="18"/>
        <v>#REF!</v>
      </c>
      <c r="AK33" s="175" t="e">
        <f t="shared" si="18"/>
        <v>#REF!</v>
      </c>
      <c r="AL33" s="175" t="e">
        <f t="shared" si="18"/>
        <v>#REF!</v>
      </c>
      <c r="AM33" s="175" t="e">
        <f t="shared" si="18"/>
        <v>#REF!</v>
      </c>
      <c r="AN33" s="175" t="e">
        <f t="shared" si="18"/>
        <v>#REF!</v>
      </c>
      <c r="AO33" s="175" t="e">
        <f t="shared" si="18"/>
        <v>#REF!</v>
      </c>
      <c r="AP33" s="175" t="e">
        <f t="shared" si="18"/>
        <v>#REF!</v>
      </c>
      <c r="AQ33" s="175" t="e">
        <f t="shared" si="18"/>
        <v>#REF!</v>
      </c>
      <c r="AR33" s="175" t="e">
        <f t="shared" si="18"/>
        <v>#REF!</v>
      </c>
      <c r="AS33" s="175" t="e">
        <f t="shared" si="18"/>
        <v>#REF!</v>
      </c>
      <c r="AT33" s="175" t="e">
        <f>+AT11</f>
        <v>#REF!</v>
      </c>
      <c r="AU33" s="176"/>
      <c r="AV33" s="176"/>
    </row>
    <row r="34" spans="1:51" ht="20.100000000000001" customHeight="1" x14ac:dyDescent="0.3">
      <c r="A34" s="64"/>
      <c r="B34" s="198"/>
      <c r="C34" s="152"/>
      <c r="D34" s="197"/>
      <c r="E34" s="152"/>
      <c r="F34" s="152"/>
      <c r="G34" s="152"/>
      <c r="H34" s="152"/>
      <c r="I34" s="152"/>
      <c r="J34" s="197"/>
      <c r="K34" s="197"/>
      <c r="L34" s="120"/>
      <c r="M34" s="120"/>
      <c r="N34" s="120"/>
      <c r="V34" s="122"/>
      <c r="W34" s="157" t="s">
        <v>1</v>
      </c>
      <c r="X34" s="164" t="e">
        <f>SUM(X26:X33)</f>
        <v>#REF!</v>
      </c>
      <c r="Y34" s="164" t="e">
        <f>SUM(Y26:Y33)</f>
        <v>#REF!</v>
      </c>
      <c r="Z34" s="164" t="e">
        <f t="shared" ref="Z34:AS34" si="19">SUM(Z26:Z33)</f>
        <v>#REF!</v>
      </c>
      <c r="AA34" s="164" t="e">
        <f t="shared" si="19"/>
        <v>#REF!</v>
      </c>
      <c r="AB34" s="164" t="e">
        <f t="shared" si="19"/>
        <v>#REF!</v>
      </c>
      <c r="AC34" s="164" t="e">
        <f t="shared" si="19"/>
        <v>#REF!</v>
      </c>
      <c r="AD34" s="164" t="e">
        <f t="shared" si="19"/>
        <v>#REF!</v>
      </c>
      <c r="AE34" s="164" t="e">
        <f t="shared" si="19"/>
        <v>#REF!</v>
      </c>
      <c r="AF34" s="164" t="e">
        <f t="shared" si="19"/>
        <v>#REF!</v>
      </c>
      <c r="AG34" s="164" t="e">
        <f t="shared" si="19"/>
        <v>#REF!</v>
      </c>
      <c r="AH34" s="164" t="e">
        <f t="shared" si="19"/>
        <v>#REF!</v>
      </c>
      <c r="AI34" s="164" t="e">
        <f t="shared" si="19"/>
        <v>#REF!</v>
      </c>
      <c r="AJ34" s="164" t="e">
        <f t="shared" si="19"/>
        <v>#REF!</v>
      </c>
      <c r="AK34" s="164" t="e">
        <f t="shared" si="19"/>
        <v>#REF!</v>
      </c>
      <c r="AL34" s="164" t="e">
        <f t="shared" si="19"/>
        <v>#REF!</v>
      </c>
      <c r="AM34" s="164" t="e">
        <f t="shared" si="19"/>
        <v>#REF!</v>
      </c>
      <c r="AN34" s="164" t="e">
        <f t="shared" si="19"/>
        <v>#REF!</v>
      </c>
      <c r="AO34" s="164" t="e">
        <f t="shared" si="19"/>
        <v>#REF!</v>
      </c>
      <c r="AP34" s="164" t="e">
        <f t="shared" si="19"/>
        <v>#REF!</v>
      </c>
      <c r="AQ34" s="164" t="e">
        <f t="shared" si="19"/>
        <v>#REF!</v>
      </c>
      <c r="AR34" s="164" t="e">
        <f t="shared" si="19"/>
        <v>#REF!</v>
      </c>
      <c r="AS34" s="164" t="e">
        <f t="shared" si="19"/>
        <v>#REF!</v>
      </c>
      <c r="AT34" s="164" t="e">
        <f>SUM(AT26:AT33)</f>
        <v>#REF!</v>
      </c>
      <c r="AU34" s="163"/>
      <c r="AV34" s="163"/>
    </row>
    <row r="35" spans="1:51" ht="20.100000000000001" customHeight="1" thickBot="1" x14ac:dyDescent="0.35">
      <c r="A35" s="64"/>
      <c r="B35" s="205"/>
      <c r="C35" s="152"/>
      <c r="D35" s="197"/>
      <c r="E35" s="152"/>
      <c r="F35" s="152"/>
      <c r="G35" s="152"/>
      <c r="H35" s="152"/>
      <c r="I35" s="152"/>
      <c r="J35" s="120"/>
      <c r="K35" s="197"/>
      <c r="L35" s="120"/>
      <c r="M35" s="120"/>
      <c r="N35" s="120"/>
      <c r="V35" s="122"/>
      <c r="W35" s="206" t="s">
        <v>132</v>
      </c>
      <c r="X35" s="207" t="e">
        <f t="shared" ref="X35:AS35" si="20">+X23-X34</f>
        <v>#REF!</v>
      </c>
      <c r="Y35" s="207" t="e">
        <f t="shared" si="20"/>
        <v>#REF!</v>
      </c>
      <c r="Z35" s="207" t="e">
        <f t="shared" si="20"/>
        <v>#REF!</v>
      </c>
      <c r="AA35" s="207" t="e">
        <f t="shared" si="20"/>
        <v>#REF!</v>
      </c>
      <c r="AB35" s="207" t="e">
        <f t="shared" si="20"/>
        <v>#REF!</v>
      </c>
      <c r="AC35" s="207" t="e">
        <f t="shared" si="20"/>
        <v>#REF!</v>
      </c>
      <c r="AD35" s="207" t="e">
        <f t="shared" si="20"/>
        <v>#REF!</v>
      </c>
      <c r="AE35" s="207" t="e">
        <f t="shared" si="20"/>
        <v>#REF!</v>
      </c>
      <c r="AF35" s="207" t="e">
        <f t="shared" si="20"/>
        <v>#REF!</v>
      </c>
      <c r="AG35" s="207" t="e">
        <f t="shared" si="20"/>
        <v>#REF!</v>
      </c>
      <c r="AH35" s="207" t="e">
        <f t="shared" si="20"/>
        <v>#REF!</v>
      </c>
      <c r="AI35" s="207" t="e">
        <f t="shared" si="20"/>
        <v>#REF!</v>
      </c>
      <c r="AJ35" s="207" t="e">
        <f t="shared" si="20"/>
        <v>#REF!</v>
      </c>
      <c r="AK35" s="207" t="e">
        <f t="shared" si="20"/>
        <v>#REF!</v>
      </c>
      <c r="AL35" s="207" t="e">
        <f t="shared" si="20"/>
        <v>#REF!</v>
      </c>
      <c r="AM35" s="207" t="e">
        <f t="shared" si="20"/>
        <v>#REF!</v>
      </c>
      <c r="AN35" s="207" t="e">
        <f t="shared" si="20"/>
        <v>#REF!</v>
      </c>
      <c r="AO35" s="207" t="e">
        <f t="shared" si="20"/>
        <v>#REF!</v>
      </c>
      <c r="AP35" s="207" t="e">
        <f t="shared" si="20"/>
        <v>#REF!</v>
      </c>
      <c r="AQ35" s="207" t="e">
        <f t="shared" si="20"/>
        <v>#REF!</v>
      </c>
      <c r="AR35" s="207" t="e">
        <f t="shared" si="20"/>
        <v>#REF!</v>
      </c>
      <c r="AS35" s="207" t="e">
        <f t="shared" si="20"/>
        <v>#REF!</v>
      </c>
      <c r="AT35" s="207" t="e">
        <f>+AT23-AT34</f>
        <v>#REF!</v>
      </c>
      <c r="AU35" s="176"/>
      <c r="AV35" s="176"/>
    </row>
    <row r="36" spans="1:51" ht="20.100000000000001" customHeight="1" thickBot="1" x14ac:dyDescent="0.35">
      <c r="A36" s="65"/>
      <c r="B36" s="198"/>
      <c r="C36" s="152"/>
      <c r="D36" s="197"/>
      <c r="E36" s="152"/>
      <c r="F36" s="152"/>
      <c r="G36" s="152"/>
      <c r="H36" s="152"/>
      <c r="I36" s="152"/>
      <c r="J36" s="197"/>
      <c r="K36" s="197"/>
      <c r="L36" s="120"/>
      <c r="M36" s="120"/>
      <c r="N36" s="120"/>
      <c r="V36" s="122"/>
      <c r="W36" s="208" t="s">
        <v>133</v>
      </c>
      <c r="X36" s="209" t="e">
        <f>SUM($X$35:X35)</f>
        <v>#REF!</v>
      </c>
      <c r="Y36" s="209" t="e">
        <f>SUM($X$35:Y35)</f>
        <v>#REF!</v>
      </c>
      <c r="Z36" s="209" t="e">
        <f>SUM($X$35:Z35)</f>
        <v>#REF!</v>
      </c>
      <c r="AA36" s="209" t="e">
        <f>SUM($X$35:AA35)</f>
        <v>#REF!</v>
      </c>
      <c r="AB36" s="209" t="e">
        <f>SUM($X$35:AB35)</f>
        <v>#REF!</v>
      </c>
      <c r="AC36" s="209" t="e">
        <f>SUM($X$35:AC35)</f>
        <v>#REF!</v>
      </c>
      <c r="AD36" s="209" t="e">
        <f>SUM($X$35:AD35)</f>
        <v>#REF!</v>
      </c>
      <c r="AE36" s="209" t="e">
        <f>SUM($X$35:AE35)</f>
        <v>#REF!</v>
      </c>
      <c r="AF36" s="209" t="e">
        <f>SUM($X$35:AF35)</f>
        <v>#REF!</v>
      </c>
      <c r="AG36" s="209" t="e">
        <f>SUM($X$35:AG35)</f>
        <v>#REF!</v>
      </c>
      <c r="AH36" s="209" t="e">
        <f>SUM($X$35:AH35)</f>
        <v>#REF!</v>
      </c>
      <c r="AI36" s="209" t="e">
        <f>SUM($X$35:AI35)</f>
        <v>#REF!</v>
      </c>
      <c r="AJ36" s="209" t="e">
        <f>SUM($X$35:AJ35)</f>
        <v>#REF!</v>
      </c>
      <c r="AK36" s="209" t="e">
        <f>SUM($X$35:AK35)</f>
        <v>#REF!</v>
      </c>
      <c r="AL36" s="209" t="e">
        <f>SUM($X$35:AL35)</f>
        <v>#REF!</v>
      </c>
      <c r="AM36" s="209" t="e">
        <f>SUM($X$35:AM35)</f>
        <v>#REF!</v>
      </c>
      <c r="AN36" s="209" t="e">
        <f>SUM($X$35:AN35)</f>
        <v>#REF!</v>
      </c>
      <c r="AO36" s="209" t="e">
        <f>SUM($X$35:AO35)</f>
        <v>#REF!</v>
      </c>
      <c r="AP36" s="209" t="e">
        <f>SUM($X$35:AP35)</f>
        <v>#REF!</v>
      </c>
      <c r="AQ36" s="209" t="e">
        <f>SUM($X$35:AQ35)</f>
        <v>#REF!</v>
      </c>
      <c r="AR36" s="209" t="e">
        <f>SUM($X$35:AR35)</f>
        <v>#REF!</v>
      </c>
      <c r="AS36" s="209" t="e">
        <f>SUM($X$35:AS35)</f>
        <v>#REF!</v>
      </c>
      <c r="AT36" s="209" t="e">
        <f>SUM($X$35:AT35)</f>
        <v>#REF!</v>
      </c>
      <c r="AU36" s="176"/>
      <c r="AV36" s="176"/>
    </row>
    <row r="37" spans="1:51" ht="20.100000000000001" customHeight="1" x14ac:dyDescent="0.3">
      <c r="B37" s="152"/>
      <c r="C37" s="152"/>
      <c r="D37" s="152"/>
      <c r="E37" s="152"/>
      <c r="F37" s="152"/>
      <c r="G37" s="152"/>
      <c r="H37" s="152"/>
      <c r="I37" s="152"/>
      <c r="J37" s="152"/>
      <c r="K37" s="152"/>
      <c r="L37" s="120"/>
      <c r="M37" s="120"/>
      <c r="N37" s="120"/>
      <c r="V37" s="122"/>
      <c r="W37" s="178"/>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6"/>
      <c r="AV37" s="176"/>
    </row>
    <row r="38" spans="1:51" ht="20.100000000000001" customHeight="1" x14ac:dyDescent="0.3">
      <c r="V38" s="122"/>
      <c r="W38" s="178"/>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6"/>
      <c r="AV38" s="176"/>
    </row>
    <row r="39" spans="1:51" ht="20.100000000000001" customHeight="1" x14ac:dyDescent="0.3">
      <c r="V39" s="122"/>
      <c r="W39" s="172"/>
      <c r="X39" s="172"/>
      <c r="Y39" s="178"/>
      <c r="Z39" s="181" t="s">
        <v>150</v>
      </c>
      <c r="AB39" s="172"/>
      <c r="AC39" s="172"/>
      <c r="AD39" s="172"/>
      <c r="AE39" s="172"/>
      <c r="AF39" s="172"/>
      <c r="AG39" s="172"/>
      <c r="AH39" s="172"/>
      <c r="AI39" s="172"/>
      <c r="AJ39" s="172"/>
      <c r="AK39" s="172"/>
      <c r="AL39" s="172"/>
      <c r="AM39" s="172"/>
      <c r="AN39" s="172"/>
      <c r="AO39" s="172"/>
      <c r="AP39" s="172"/>
      <c r="AQ39" s="172"/>
      <c r="AR39" s="172"/>
      <c r="AS39" s="182"/>
      <c r="AT39" s="182"/>
      <c r="AU39" s="122"/>
      <c r="AV39" s="122"/>
    </row>
    <row r="40" spans="1:51" ht="20.100000000000001" customHeight="1" x14ac:dyDescent="0.3">
      <c r="V40" s="122"/>
      <c r="W40" s="173" t="s">
        <v>134</v>
      </c>
      <c r="X40" s="172"/>
      <c r="Y40" s="157"/>
      <c r="Z40" s="157"/>
      <c r="AA40" s="185"/>
      <c r="AB40" s="172"/>
      <c r="AC40" s="172"/>
      <c r="AD40" s="129"/>
      <c r="AE40" s="186"/>
      <c r="AF40" s="186"/>
      <c r="AG40" s="186"/>
      <c r="AH40" s="186"/>
      <c r="AI40" s="186"/>
      <c r="AJ40" s="186"/>
      <c r="AK40" s="186"/>
      <c r="AL40" s="186"/>
      <c r="AM40" s="186"/>
      <c r="AN40" s="186"/>
      <c r="AO40" s="172"/>
      <c r="AP40" s="172"/>
      <c r="AQ40" s="172"/>
      <c r="AR40" s="172"/>
      <c r="AS40" s="172"/>
      <c r="AT40" s="172"/>
      <c r="AU40" s="122"/>
      <c r="AV40" s="122"/>
    </row>
    <row r="41" spans="1:51" ht="20.100000000000001" customHeight="1" x14ac:dyDescent="0.3">
      <c r="V41" s="210"/>
      <c r="W41" s="211" t="s">
        <v>0</v>
      </c>
      <c r="X41" s="146" t="s">
        <v>95</v>
      </c>
      <c r="Y41" s="146" t="s">
        <v>96</v>
      </c>
      <c r="Z41" s="146" t="s">
        <v>97</v>
      </c>
      <c r="AA41" s="146" t="s">
        <v>98</v>
      </c>
      <c r="AB41" s="146" t="s">
        <v>99</v>
      </c>
      <c r="AC41" s="146" t="s">
        <v>100</v>
      </c>
      <c r="AD41" s="146" t="s">
        <v>101</v>
      </c>
      <c r="AE41" s="146" t="s">
        <v>102</v>
      </c>
      <c r="AF41" s="146" t="s">
        <v>103</v>
      </c>
      <c r="AG41" s="146" t="s">
        <v>104</v>
      </c>
      <c r="AH41" s="146" t="s">
        <v>105</v>
      </c>
      <c r="AI41" s="146" t="s">
        <v>106</v>
      </c>
      <c r="AJ41" s="146" t="s">
        <v>107</v>
      </c>
      <c r="AK41" s="146" t="s">
        <v>108</v>
      </c>
      <c r="AL41" s="146" t="s">
        <v>109</v>
      </c>
      <c r="AM41" s="146" t="s">
        <v>110</v>
      </c>
      <c r="AN41" s="146" t="s">
        <v>111</v>
      </c>
      <c r="AO41" s="146" t="s">
        <v>112</v>
      </c>
      <c r="AP41" s="146" t="s">
        <v>113</v>
      </c>
      <c r="AQ41" s="146" t="s">
        <v>114</v>
      </c>
      <c r="AR41" s="146" t="s">
        <v>115</v>
      </c>
      <c r="AS41" s="146" t="s">
        <v>116</v>
      </c>
      <c r="AT41" s="146" t="s">
        <v>117</v>
      </c>
      <c r="AU41" s="212" t="s">
        <v>181</v>
      </c>
      <c r="AV41" s="212" t="s">
        <v>182</v>
      </c>
      <c r="AW41" s="213" t="s">
        <v>135</v>
      </c>
      <c r="AX41" s="213" t="s">
        <v>183</v>
      </c>
      <c r="AY41" s="213" t="s">
        <v>136</v>
      </c>
    </row>
    <row r="42" spans="1:51" ht="20.100000000000001" customHeight="1" x14ac:dyDescent="0.3">
      <c r="V42" s="214" t="s">
        <v>22</v>
      </c>
      <c r="W42" s="173" t="s">
        <v>137</v>
      </c>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147"/>
      <c r="AV42" s="147"/>
      <c r="AW42" s="213"/>
      <c r="AX42" s="213"/>
      <c r="AY42" s="213"/>
    </row>
    <row r="43" spans="1:51" ht="20.100000000000001" customHeight="1" x14ac:dyDescent="0.3">
      <c r="T43" s="144"/>
      <c r="U43" s="121" t="e">
        <f>SUM(X43:Z43)</f>
        <v>#REF!</v>
      </c>
      <c r="V43" s="216">
        <v>1</v>
      </c>
      <c r="W43" s="172" t="s">
        <v>138</v>
      </c>
      <c r="X43" s="217" t="e">
        <f>C7</f>
        <v>#REF!</v>
      </c>
      <c r="Y43" s="217" t="e">
        <f>C8</f>
        <v>#REF!</v>
      </c>
      <c r="Z43" s="217" t="e">
        <f>C9+C10</f>
        <v>#REF!</v>
      </c>
      <c r="AA43" s="217"/>
      <c r="AB43" s="217">
        <f t="shared" ref="AB43:AR43" si="21">+AB27+AB28</f>
        <v>0</v>
      </c>
      <c r="AC43" s="217">
        <f t="shared" si="21"/>
        <v>0</v>
      </c>
      <c r="AD43" s="217">
        <f t="shared" si="21"/>
        <v>0</v>
      </c>
      <c r="AE43" s="217">
        <f t="shared" si="21"/>
        <v>0</v>
      </c>
      <c r="AF43" s="217">
        <f t="shared" si="21"/>
        <v>0</v>
      </c>
      <c r="AG43" s="217">
        <f t="shared" si="21"/>
        <v>0</v>
      </c>
      <c r="AH43" s="217">
        <f t="shared" si="21"/>
        <v>0</v>
      </c>
      <c r="AI43" s="217">
        <f t="shared" si="21"/>
        <v>0</v>
      </c>
      <c r="AJ43" s="217">
        <f t="shared" si="21"/>
        <v>0</v>
      </c>
      <c r="AK43" s="217">
        <f t="shared" si="21"/>
        <v>0</v>
      </c>
      <c r="AL43" s="217">
        <f t="shared" si="21"/>
        <v>0</v>
      </c>
      <c r="AM43" s="217">
        <f t="shared" si="21"/>
        <v>0</v>
      </c>
      <c r="AN43" s="217">
        <f t="shared" si="21"/>
        <v>0</v>
      </c>
      <c r="AO43" s="217">
        <f t="shared" si="21"/>
        <v>0</v>
      </c>
      <c r="AP43" s="217">
        <f t="shared" si="21"/>
        <v>0</v>
      </c>
      <c r="AQ43" s="217">
        <f t="shared" si="21"/>
        <v>0</v>
      </c>
      <c r="AR43" s="217">
        <f t="shared" si="21"/>
        <v>0</v>
      </c>
      <c r="AS43" s="121" t="e">
        <f>-SUM(X43:Y43)*0</f>
        <v>#REF!</v>
      </c>
      <c r="AT43" s="121" t="e">
        <f>-SUM(Y43:Z43)*0</f>
        <v>#REF!</v>
      </c>
      <c r="AU43" s="218"/>
      <c r="AV43" s="218"/>
    </row>
    <row r="44" spans="1:51" ht="20.100000000000001" customHeight="1" x14ac:dyDescent="0.3">
      <c r="C44" s="121">
        <f>C32</f>
        <v>0</v>
      </c>
      <c r="V44" s="216"/>
      <c r="W44" s="172"/>
      <c r="X44" s="217"/>
      <c r="Y44" s="217" t="e">
        <f>G50*0</f>
        <v>#REF!</v>
      </c>
      <c r="Z44" s="217">
        <f>+Z31</f>
        <v>0</v>
      </c>
      <c r="AA44" s="217"/>
      <c r="AB44" s="217"/>
      <c r="AC44" s="217"/>
      <c r="AD44" s="217"/>
      <c r="AE44" s="217"/>
      <c r="AF44" s="217"/>
      <c r="AG44" s="217"/>
      <c r="AH44" s="217"/>
      <c r="AI44" s="217"/>
      <c r="AJ44" s="217"/>
      <c r="AK44" s="217"/>
      <c r="AL44" s="217"/>
      <c r="AM44" s="217"/>
      <c r="AN44" s="217"/>
      <c r="AO44" s="217"/>
      <c r="AP44" s="217"/>
      <c r="AQ44" s="217"/>
      <c r="AR44" s="217"/>
      <c r="AS44" s="217"/>
      <c r="AT44" s="217"/>
      <c r="AU44" s="218"/>
      <c r="AV44" s="218"/>
    </row>
    <row r="45" spans="1:51" ht="20.100000000000001" customHeight="1" x14ac:dyDescent="0.3">
      <c r="V45" s="219"/>
      <c r="W45" s="220"/>
      <c r="AA45" s="121">
        <f>D13</f>
        <v>0</v>
      </c>
      <c r="AU45" s="218"/>
      <c r="AV45" s="218"/>
    </row>
    <row r="46" spans="1:51" ht="20.100000000000001" customHeight="1" x14ac:dyDescent="0.3">
      <c r="V46" s="216">
        <v>2</v>
      </c>
      <c r="W46" s="172" t="s">
        <v>131</v>
      </c>
      <c r="X46" s="217">
        <f t="shared" ref="X46:AS46" si="22">+X11</f>
        <v>0</v>
      </c>
      <c r="Y46" s="217">
        <f t="shared" si="22"/>
        <v>0</v>
      </c>
      <c r="Z46" s="217" t="e">
        <f t="shared" si="22"/>
        <v>#REF!</v>
      </c>
      <c r="AA46" s="217" t="e">
        <f t="shared" si="22"/>
        <v>#REF!</v>
      </c>
      <c r="AB46" s="217" t="e">
        <f t="shared" si="22"/>
        <v>#REF!</v>
      </c>
      <c r="AC46" s="217" t="e">
        <f t="shared" si="22"/>
        <v>#REF!</v>
      </c>
      <c r="AD46" s="217" t="e">
        <f t="shared" si="22"/>
        <v>#REF!</v>
      </c>
      <c r="AE46" s="217" t="e">
        <f t="shared" si="22"/>
        <v>#REF!</v>
      </c>
      <c r="AF46" s="217" t="e">
        <f t="shared" si="22"/>
        <v>#REF!</v>
      </c>
      <c r="AG46" s="217" t="e">
        <f t="shared" si="22"/>
        <v>#REF!</v>
      </c>
      <c r="AH46" s="217" t="e">
        <f t="shared" si="22"/>
        <v>#REF!</v>
      </c>
      <c r="AI46" s="217" t="e">
        <f t="shared" si="22"/>
        <v>#REF!</v>
      </c>
      <c r="AJ46" s="217" t="e">
        <f t="shared" si="22"/>
        <v>#REF!</v>
      </c>
      <c r="AK46" s="217" t="e">
        <f t="shared" si="22"/>
        <v>#REF!</v>
      </c>
      <c r="AL46" s="217" t="e">
        <f t="shared" si="22"/>
        <v>#REF!</v>
      </c>
      <c r="AM46" s="217" t="e">
        <f t="shared" si="22"/>
        <v>#REF!</v>
      </c>
      <c r="AN46" s="217" t="e">
        <f t="shared" si="22"/>
        <v>#REF!</v>
      </c>
      <c r="AO46" s="217" t="e">
        <f t="shared" si="22"/>
        <v>#REF!</v>
      </c>
      <c r="AP46" s="217" t="e">
        <f t="shared" si="22"/>
        <v>#REF!</v>
      </c>
      <c r="AQ46" s="217" t="e">
        <f t="shared" si="22"/>
        <v>#REF!</v>
      </c>
      <c r="AR46" s="217" t="e">
        <f t="shared" si="22"/>
        <v>#REF!</v>
      </c>
      <c r="AS46" s="217" t="e">
        <f t="shared" si="22"/>
        <v>#REF!</v>
      </c>
      <c r="AT46" s="217" t="e">
        <f>+AT11</f>
        <v>#REF!</v>
      </c>
      <c r="AU46" s="218"/>
      <c r="AV46" s="218"/>
    </row>
    <row r="47" spans="1:51" ht="20.100000000000001" customHeight="1" x14ac:dyDescent="0.3">
      <c r="C47" s="172" t="s">
        <v>137</v>
      </c>
      <c r="D47" s="172" t="s">
        <v>139</v>
      </c>
      <c r="E47" s="172" t="s">
        <v>184</v>
      </c>
      <c r="F47" s="172" t="s">
        <v>185</v>
      </c>
      <c r="G47" s="172" t="s">
        <v>184</v>
      </c>
      <c r="V47" s="214" t="s">
        <v>13</v>
      </c>
      <c r="W47" s="173" t="s">
        <v>139</v>
      </c>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8"/>
      <c r="AV47" s="218"/>
    </row>
    <row r="48" spans="1:51" ht="27.75" customHeight="1" x14ac:dyDescent="0.3">
      <c r="B48" s="121">
        <v>1</v>
      </c>
      <c r="C48" s="121" t="e">
        <f>C7</f>
        <v>#REF!</v>
      </c>
      <c r="E48" s="121" t="e">
        <f>D48-C48</f>
        <v>#REF!</v>
      </c>
      <c r="F48" s="121">
        <f>X11</f>
        <v>0</v>
      </c>
      <c r="G48" s="121" t="e">
        <f>E48-F48</f>
        <v>#REF!</v>
      </c>
      <c r="V48" s="216">
        <v>1</v>
      </c>
      <c r="W48" s="172" t="s">
        <v>140</v>
      </c>
      <c r="X48" s="221">
        <f t="shared" ref="X48:AS48" si="23">+X20</f>
        <v>0</v>
      </c>
      <c r="Y48" s="221">
        <f t="shared" si="23"/>
        <v>0</v>
      </c>
      <c r="Z48" s="221" t="e">
        <f t="shared" si="23"/>
        <v>#REF!</v>
      </c>
      <c r="AA48" s="221" t="e">
        <f t="shared" si="23"/>
        <v>#REF!</v>
      </c>
      <c r="AB48" s="221" t="e">
        <f t="shared" si="23"/>
        <v>#REF!</v>
      </c>
      <c r="AC48" s="221" t="e">
        <f t="shared" si="23"/>
        <v>#REF!</v>
      </c>
      <c r="AD48" s="221" t="e">
        <f t="shared" si="23"/>
        <v>#REF!</v>
      </c>
      <c r="AE48" s="221" t="e">
        <f t="shared" si="23"/>
        <v>#REF!</v>
      </c>
      <c r="AF48" s="221" t="e">
        <f t="shared" si="23"/>
        <v>#REF!</v>
      </c>
      <c r="AG48" s="221" t="e">
        <f t="shared" si="23"/>
        <v>#REF!</v>
      </c>
      <c r="AH48" s="221" t="e">
        <f t="shared" si="23"/>
        <v>#REF!</v>
      </c>
      <c r="AI48" s="221" t="e">
        <f t="shared" si="23"/>
        <v>#REF!</v>
      </c>
      <c r="AJ48" s="221" t="e">
        <f t="shared" si="23"/>
        <v>#REF!</v>
      </c>
      <c r="AK48" s="221" t="e">
        <f t="shared" si="23"/>
        <v>#REF!</v>
      </c>
      <c r="AL48" s="221" t="e">
        <f t="shared" si="23"/>
        <v>#REF!</v>
      </c>
      <c r="AM48" s="221" t="e">
        <f t="shared" si="23"/>
        <v>#REF!</v>
      </c>
      <c r="AN48" s="221" t="e">
        <f t="shared" si="23"/>
        <v>#REF!</v>
      </c>
      <c r="AO48" s="221" t="e">
        <f t="shared" si="23"/>
        <v>#REF!</v>
      </c>
      <c r="AP48" s="221" t="e">
        <f t="shared" si="23"/>
        <v>#REF!</v>
      </c>
      <c r="AQ48" s="221" t="e">
        <f t="shared" si="23"/>
        <v>#REF!</v>
      </c>
      <c r="AR48" s="221" t="e">
        <f t="shared" si="23"/>
        <v>#REF!</v>
      </c>
      <c r="AS48" s="221" t="e">
        <f t="shared" si="23"/>
        <v>#REF!</v>
      </c>
      <c r="AT48" s="221" t="e">
        <f>+AT20</f>
        <v>#REF!</v>
      </c>
      <c r="AU48" s="222"/>
      <c r="AV48" s="222"/>
    </row>
    <row r="49" spans="1:50" ht="20.100000000000001" customHeight="1" x14ac:dyDescent="0.3">
      <c r="B49" s="121">
        <f>B48+1</f>
        <v>2</v>
      </c>
      <c r="C49" s="121" t="e">
        <f>C8</f>
        <v>#REF!</v>
      </c>
      <c r="D49" s="121" t="e">
        <f>$D$16/3</f>
        <v>#REF!</v>
      </c>
      <c r="E49" s="121" t="e">
        <f t="shared" ref="E49:E60" si="24">D49-C49</f>
        <v>#REF!</v>
      </c>
      <c r="F49" s="121">
        <f>Y11</f>
        <v>0</v>
      </c>
      <c r="G49" s="121" t="e">
        <f t="shared" ref="G49:G60" si="25">E49-F49</f>
        <v>#REF!</v>
      </c>
      <c r="U49" s="121" t="e">
        <f>SUM(X49:AB49)</f>
        <v>#REF!</v>
      </c>
      <c r="V49" s="216">
        <v>2</v>
      </c>
      <c r="W49" s="172" t="s">
        <v>188</v>
      </c>
      <c r="X49" s="223"/>
      <c r="Y49" s="221" t="e">
        <f>+$D$16/2</f>
        <v>#REF!</v>
      </c>
      <c r="Z49" s="221" t="e">
        <f>+$D$16/2</f>
        <v>#REF!</v>
      </c>
      <c r="AA49" s="221"/>
      <c r="AB49" s="223"/>
      <c r="AC49" s="223"/>
      <c r="AD49" s="223"/>
      <c r="AE49" s="223"/>
      <c r="AF49" s="223"/>
      <c r="AG49" s="223"/>
      <c r="AH49" s="223"/>
      <c r="AI49" s="223"/>
      <c r="AJ49" s="223"/>
      <c r="AK49" s="223"/>
      <c r="AL49" s="223"/>
      <c r="AM49" s="223"/>
      <c r="AN49" s="223"/>
      <c r="AO49" s="223"/>
      <c r="AP49" s="223"/>
      <c r="AQ49" s="223"/>
      <c r="AR49" s="223"/>
      <c r="AS49" s="223"/>
      <c r="AT49" s="223"/>
      <c r="AU49" s="222"/>
      <c r="AV49" s="222"/>
    </row>
    <row r="50" spans="1:50" ht="20.100000000000001" customHeight="1" x14ac:dyDescent="0.3">
      <c r="B50" s="121">
        <f t="shared" ref="B50:B60" si="26">B49+1</f>
        <v>3</v>
      </c>
      <c r="C50" s="121" t="e">
        <f>C9</f>
        <v>#REF!</v>
      </c>
      <c r="D50" s="121" t="e">
        <f>$D$16/3</f>
        <v>#REF!</v>
      </c>
      <c r="E50" s="121" t="e">
        <f t="shared" si="24"/>
        <v>#REF!</v>
      </c>
      <c r="F50" s="121" t="e">
        <f>Z11</f>
        <v>#REF!</v>
      </c>
      <c r="G50" s="121" t="e">
        <f t="shared" si="25"/>
        <v>#REF!</v>
      </c>
      <c r="V50" s="216"/>
      <c r="W50" s="172"/>
      <c r="X50" s="172"/>
      <c r="Y50" s="172">
        <v>0</v>
      </c>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222"/>
      <c r="AV50" s="222"/>
    </row>
    <row r="51" spans="1:50" ht="20.100000000000001" customHeight="1" x14ac:dyDescent="0.3">
      <c r="B51" s="121">
        <f t="shared" si="26"/>
        <v>4</v>
      </c>
      <c r="C51" s="121" t="e">
        <f>C10+D13</f>
        <v>#REF!</v>
      </c>
      <c r="D51" s="121">
        <v>4.3323586401637204</v>
      </c>
      <c r="E51" s="121" t="e">
        <f t="shared" si="24"/>
        <v>#REF!</v>
      </c>
      <c r="F51" s="121" t="e">
        <f>AA11</f>
        <v>#REF!</v>
      </c>
      <c r="G51" s="121" t="e">
        <f t="shared" si="25"/>
        <v>#REF!</v>
      </c>
      <c r="V51" s="214" t="s">
        <v>45</v>
      </c>
      <c r="W51" s="173" t="s">
        <v>141</v>
      </c>
      <c r="X51" s="223"/>
      <c r="Y51" s="223"/>
      <c r="Z51" s="223"/>
      <c r="AA51" s="223"/>
      <c r="AB51" s="223"/>
      <c r="AC51" s="223"/>
      <c r="AD51" s="223"/>
      <c r="AE51" s="223"/>
      <c r="AF51" s="223"/>
      <c r="AG51" s="223"/>
      <c r="AH51" s="223"/>
      <c r="AI51" s="223"/>
      <c r="AJ51" s="223"/>
      <c r="AK51" s="223"/>
      <c r="AL51" s="223"/>
      <c r="AM51" s="223"/>
      <c r="AN51" s="223"/>
      <c r="AO51" s="223"/>
      <c r="AP51" s="223"/>
      <c r="AQ51" s="223"/>
      <c r="AR51" s="223"/>
      <c r="AS51" s="223"/>
      <c r="AT51" s="223"/>
      <c r="AU51" s="218" t="e">
        <f>NPV(0.1,X52:AT52)</f>
        <v>#REF!</v>
      </c>
      <c r="AV51" s="218"/>
      <c r="AW51" s="117" t="e">
        <f>IRR(X52:AT52)</f>
        <v>#VALUE!</v>
      </c>
      <c r="AX51" s="117"/>
    </row>
    <row r="52" spans="1:50" ht="20.100000000000001" customHeight="1" x14ac:dyDescent="0.3">
      <c r="B52" s="121">
        <f t="shared" si="26"/>
        <v>5</v>
      </c>
      <c r="D52" s="121">
        <v>0</v>
      </c>
      <c r="E52" s="121">
        <f t="shared" si="24"/>
        <v>0</v>
      </c>
      <c r="F52" s="121" t="e">
        <f>AB11</f>
        <v>#REF!</v>
      </c>
      <c r="G52" s="121" t="e">
        <f t="shared" si="25"/>
        <v>#REF!</v>
      </c>
      <c r="V52" s="216">
        <v>1</v>
      </c>
      <c r="W52" s="172" t="s">
        <v>142</v>
      </c>
      <c r="X52" s="224" t="e">
        <f>+X48+X49-X43-X44</f>
        <v>#REF!</v>
      </c>
      <c r="Y52" s="224" t="e">
        <f>+Y48+Y49+Y45-Y43-Y44</f>
        <v>#REF!</v>
      </c>
      <c r="Z52" s="217" t="e">
        <f>+Z48+Z49+Z45-Z43-Z44</f>
        <v>#REF!</v>
      </c>
      <c r="AA52" s="217" t="e">
        <f>+AA48+AA49-AA45-AA43-AA44</f>
        <v>#REF!</v>
      </c>
      <c r="AB52" s="217" t="e">
        <f t="shared" ref="AB52:AS52" si="27">+AB48+AB49+AB45-AB43-AB44</f>
        <v>#REF!</v>
      </c>
      <c r="AC52" s="217" t="e">
        <f t="shared" si="27"/>
        <v>#REF!</v>
      </c>
      <c r="AD52" s="217" t="e">
        <f t="shared" si="27"/>
        <v>#REF!</v>
      </c>
      <c r="AE52" s="217" t="e">
        <f t="shared" si="27"/>
        <v>#REF!</v>
      </c>
      <c r="AF52" s="217" t="e">
        <f t="shared" si="27"/>
        <v>#REF!</v>
      </c>
      <c r="AG52" s="217" t="e">
        <f t="shared" si="27"/>
        <v>#REF!</v>
      </c>
      <c r="AH52" s="217" t="e">
        <f t="shared" si="27"/>
        <v>#REF!</v>
      </c>
      <c r="AI52" s="217" t="e">
        <f t="shared" si="27"/>
        <v>#REF!</v>
      </c>
      <c r="AJ52" s="217" t="e">
        <f t="shared" si="27"/>
        <v>#REF!</v>
      </c>
      <c r="AK52" s="217" t="e">
        <f t="shared" si="27"/>
        <v>#REF!</v>
      </c>
      <c r="AL52" s="217" t="e">
        <f t="shared" si="27"/>
        <v>#REF!</v>
      </c>
      <c r="AM52" s="217" t="e">
        <f t="shared" si="27"/>
        <v>#REF!</v>
      </c>
      <c r="AN52" s="217" t="e">
        <f t="shared" si="27"/>
        <v>#REF!</v>
      </c>
      <c r="AO52" s="217" t="e">
        <f t="shared" si="27"/>
        <v>#REF!</v>
      </c>
      <c r="AP52" s="217" t="e">
        <f t="shared" si="27"/>
        <v>#REF!</v>
      </c>
      <c r="AQ52" s="217" t="e">
        <f t="shared" si="27"/>
        <v>#REF!</v>
      </c>
      <c r="AR52" s="217" t="e">
        <f t="shared" si="27"/>
        <v>#REF!</v>
      </c>
      <c r="AS52" s="217" t="e">
        <f t="shared" si="27"/>
        <v>#REF!</v>
      </c>
      <c r="AT52" s="217" t="e">
        <f>+AT48+AT49+AT45-AT43-AT44</f>
        <v>#REF!</v>
      </c>
      <c r="AV52" s="218" t="e">
        <f>NPV(0.1,X53:AT53)</f>
        <v>#REF!</v>
      </c>
      <c r="AX52" s="117" t="e">
        <f>IRR(X53:AT53)</f>
        <v>#VALUE!</v>
      </c>
    </row>
    <row r="53" spans="1:50" ht="20.100000000000001" customHeight="1" x14ac:dyDescent="0.3">
      <c r="B53" s="121">
        <f t="shared" si="26"/>
        <v>6</v>
      </c>
      <c r="D53" s="121">
        <v>0</v>
      </c>
      <c r="E53" s="121">
        <f t="shared" si="24"/>
        <v>0</v>
      </c>
      <c r="F53" s="121" t="e">
        <f>AC11</f>
        <v>#REF!</v>
      </c>
      <c r="G53" s="121" t="e">
        <f t="shared" si="25"/>
        <v>#REF!</v>
      </c>
      <c r="V53" s="216">
        <v>2</v>
      </c>
      <c r="W53" s="172" t="s">
        <v>143</v>
      </c>
      <c r="X53" s="225" t="e">
        <f>+X52-X46-X45</f>
        <v>#REF!</v>
      </c>
      <c r="Y53" s="225" t="e">
        <f>+Y52-Y46-Y45</f>
        <v>#REF!</v>
      </c>
      <c r="Z53" s="225" t="e">
        <f>+Z52-Z46-Z45</f>
        <v>#REF!</v>
      </c>
      <c r="AA53" s="225" t="e">
        <f>+AA52-AA46</f>
        <v>#REF!</v>
      </c>
      <c r="AB53" s="225" t="e">
        <f t="shared" ref="AB53:AS53" si="28">+AB52-AB46-AB45</f>
        <v>#REF!</v>
      </c>
      <c r="AC53" s="225" t="e">
        <f t="shared" si="28"/>
        <v>#REF!</v>
      </c>
      <c r="AD53" s="225" t="e">
        <f t="shared" si="28"/>
        <v>#REF!</v>
      </c>
      <c r="AE53" s="225" t="e">
        <f t="shared" si="28"/>
        <v>#REF!</v>
      </c>
      <c r="AF53" s="225" t="e">
        <f t="shared" si="28"/>
        <v>#REF!</v>
      </c>
      <c r="AG53" s="225" t="e">
        <f t="shared" si="28"/>
        <v>#REF!</v>
      </c>
      <c r="AH53" s="225" t="e">
        <f t="shared" si="28"/>
        <v>#REF!</v>
      </c>
      <c r="AI53" s="225" t="e">
        <f t="shared" si="28"/>
        <v>#REF!</v>
      </c>
      <c r="AJ53" s="225" t="e">
        <f t="shared" si="28"/>
        <v>#REF!</v>
      </c>
      <c r="AK53" s="225" t="e">
        <f t="shared" si="28"/>
        <v>#REF!</v>
      </c>
      <c r="AL53" s="225" t="e">
        <f t="shared" si="28"/>
        <v>#REF!</v>
      </c>
      <c r="AM53" s="225" t="e">
        <f t="shared" si="28"/>
        <v>#REF!</v>
      </c>
      <c r="AN53" s="225" t="e">
        <f t="shared" si="28"/>
        <v>#REF!</v>
      </c>
      <c r="AO53" s="225" t="e">
        <f t="shared" si="28"/>
        <v>#REF!</v>
      </c>
      <c r="AP53" s="225" t="e">
        <f t="shared" si="28"/>
        <v>#REF!</v>
      </c>
      <c r="AQ53" s="225" t="e">
        <f t="shared" si="28"/>
        <v>#REF!</v>
      </c>
      <c r="AR53" s="225" t="e">
        <f t="shared" si="28"/>
        <v>#REF!</v>
      </c>
      <c r="AS53" s="225" t="e">
        <f t="shared" si="28"/>
        <v>#REF!</v>
      </c>
      <c r="AT53" s="225" t="e">
        <f>+AT52-AT46-AT45</f>
        <v>#REF!</v>
      </c>
      <c r="AU53" s="122"/>
      <c r="AV53" s="122"/>
      <c r="AX53" s="117"/>
    </row>
    <row r="54" spans="1:50" ht="20.100000000000001" customHeight="1" x14ac:dyDescent="0.3">
      <c r="B54" s="121">
        <f t="shared" si="26"/>
        <v>7</v>
      </c>
      <c r="D54" s="121">
        <v>0</v>
      </c>
      <c r="E54" s="121">
        <f t="shared" si="24"/>
        <v>0</v>
      </c>
      <c r="F54" s="121" t="e">
        <f>AD11</f>
        <v>#REF!</v>
      </c>
      <c r="G54" s="121" t="e">
        <f t="shared" si="25"/>
        <v>#REF!</v>
      </c>
      <c r="V54" s="214" t="s">
        <v>144</v>
      </c>
      <c r="W54" s="173" t="s">
        <v>187</v>
      </c>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22"/>
      <c r="AV54" s="122"/>
      <c r="AX54" s="117"/>
    </row>
    <row r="55" spans="1:50" ht="20.100000000000001" customHeight="1" x14ac:dyDescent="0.3">
      <c r="B55" s="121">
        <f t="shared" si="26"/>
        <v>8</v>
      </c>
      <c r="D55" s="121">
        <v>0</v>
      </c>
      <c r="E55" s="121">
        <f t="shared" si="24"/>
        <v>0</v>
      </c>
      <c r="F55" s="121" t="e">
        <f>AE11</f>
        <v>#REF!</v>
      </c>
      <c r="G55" s="121" t="e">
        <f t="shared" si="25"/>
        <v>#REF!</v>
      </c>
      <c r="V55" s="226">
        <v>1</v>
      </c>
      <c r="W55" s="172" t="s">
        <v>142</v>
      </c>
      <c r="X55" s="172" t="e">
        <f>AR55</f>
        <v>#REF!</v>
      </c>
      <c r="Y55" s="172"/>
      <c r="Z55" s="172"/>
      <c r="AA55" s="172"/>
      <c r="AB55" s="172"/>
      <c r="AC55" s="172"/>
      <c r="AD55" s="172"/>
      <c r="AE55" s="172"/>
      <c r="AF55" s="172"/>
      <c r="AG55" s="172"/>
      <c r="AH55" s="172"/>
      <c r="AI55" s="172"/>
      <c r="AJ55" s="172"/>
      <c r="AK55" s="172"/>
      <c r="AL55" s="172"/>
      <c r="AM55" s="172"/>
      <c r="AN55" s="172"/>
      <c r="AO55" s="172"/>
      <c r="AP55" s="172"/>
      <c r="AQ55" s="172"/>
      <c r="AR55" s="225" t="e">
        <f>+AU51</f>
        <v>#REF!</v>
      </c>
      <c r="AU55" s="122"/>
      <c r="AV55" s="122"/>
      <c r="AX55" s="117"/>
    </row>
    <row r="56" spans="1:50" ht="20.100000000000001" customHeight="1" x14ac:dyDescent="0.3">
      <c r="B56" s="121">
        <f t="shared" si="26"/>
        <v>9</v>
      </c>
      <c r="D56" s="121">
        <v>0</v>
      </c>
      <c r="E56" s="121">
        <f t="shared" si="24"/>
        <v>0</v>
      </c>
      <c r="F56" s="121" t="e">
        <f>AF11</f>
        <v>#REF!</v>
      </c>
      <c r="G56" s="121" t="e">
        <f t="shared" si="25"/>
        <v>#REF!</v>
      </c>
      <c r="V56" s="216">
        <v>2</v>
      </c>
      <c r="W56" s="172" t="s">
        <v>145</v>
      </c>
      <c r="X56" s="172" t="e">
        <f>AR56</f>
        <v>#REF!</v>
      </c>
      <c r="Y56" s="172"/>
      <c r="Z56" s="172"/>
      <c r="AA56" s="172"/>
      <c r="AB56" s="172"/>
      <c r="AC56" s="172"/>
      <c r="AD56" s="172"/>
      <c r="AE56" s="172"/>
      <c r="AF56" s="172"/>
      <c r="AG56" s="172"/>
      <c r="AH56" s="172"/>
      <c r="AI56" s="172"/>
      <c r="AJ56" s="172"/>
      <c r="AK56" s="172"/>
      <c r="AL56" s="172"/>
      <c r="AM56" s="172"/>
      <c r="AN56" s="172"/>
      <c r="AO56" s="172"/>
      <c r="AP56" s="172"/>
      <c r="AQ56" s="172"/>
      <c r="AR56" s="225" t="e">
        <f>+AV52</f>
        <v>#REF!</v>
      </c>
      <c r="AU56" s="122"/>
      <c r="AV56" s="122"/>
      <c r="AX56" s="117"/>
    </row>
    <row r="57" spans="1:50" ht="20.100000000000001" customHeight="1" x14ac:dyDescent="0.3">
      <c r="B57" s="121">
        <f t="shared" si="26"/>
        <v>10</v>
      </c>
      <c r="D57" s="121">
        <v>0</v>
      </c>
      <c r="E57" s="121">
        <f t="shared" si="24"/>
        <v>0</v>
      </c>
      <c r="F57" s="121" t="e">
        <f>AG11</f>
        <v>#REF!</v>
      </c>
      <c r="G57" s="121" t="e">
        <f t="shared" si="25"/>
        <v>#REF!</v>
      </c>
      <c r="V57" s="214" t="s">
        <v>146</v>
      </c>
      <c r="W57" s="173" t="s">
        <v>147</v>
      </c>
      <c r="X57" s="172"/>
      <c r="Y57" s="172"/>
      <c r="Z57" s="172"/>
      <c r="AA57" s="172"/>
      <c r="AB57" s="172"/>
      <c r="AC57" s="172"/>
      <c r="AD57" s="172"/>
      <c r="AE57" s="172"/>
      <c r="AF57" s="172"/>
      <c r="AG57" s="172"/>
      <c r="AH57" s="172"/>
      <c r="AI57" s="172"/>
      <c r="AJ57" s="172"/>
      <c r="AK57" s="172"/>
      <c r="AL57" s="172"/>
      <c r="AM57" s="172"/>
      <c r="AN57" s="172"/>
      <c r="AO57" s="172"/>
      <c r="AP57" s="172"/>
      <c r="AQ57" s="172"/>
      <c r="AR57" s="172"/>
      <c r="AU57" s="122"/>
      <c r="AV57" s="122"/>
      <c r="AX57" s="117"/>
    </row>
    <row r="58" spans="1:50" ht="20.100000000000001" customHeight="1" x14ac:dyDescent="0.3">
      <c r="B58" s="121">
        <f t="shared" si="26"/>
        <v>11</v>
      </c>
      <c r="D58" s="121">
        <v>0</v>
      </c>
      <c r="E58" s="121">
        <f t="shared" si="24"/>
        <v>0</v>
      </c>
      <c r="F58" s="121" t="e">
        <f>AH11</f>
        <v>#REF!</v>
      </c>
      <c r="G58" s="121" t="e">
        <f t="shared" si="25"/>
        <v>#REF!</v>
      </c>
      <c r="V58" s="216">
        <v>1</v>
      </c>
      <c r="W58" s="172" t="s">
        <v>142</v>
      </c>
      <c r="X58" s="118" t="e">
        <f>AR58</f>
        <v>#VALUE!</v>
      </c>
      <c r="Y58" s="172"/>
      <c r="Z58" s="172"/>
      <c r="AA58" s="172"/>
      <c r="AB58" s="172"/>
      <c r="AC58" s="172"/>
      <c r="AD58" s="172"/>
      <c r="AE58" s="172"/>
      <c r="AF58" s="172"/>
      <c r="AG58" s="172"/>
      <c r="AH58" s="172"/>
      <c r="AI58" s="172"/>
      <c r="AJ58" s="172"/>
      <c r="AK58" s="172"/>
      <c r="AL58" s="172"/>
      <c r="AM58" s="172"/>
      <c r="AN58" s="172"/>
      <c r="AO58" s="172"/>
      <c r="AP58" s="172"/>
      <c r="AQ58" s="172"/>
      <c r="AR58" s="118" t="e">
        <f>+AW51</f>
        <v>#VALUE!</v>
      </c>
      <c r="AU58" s="122"/>
      <c r="AV58" s="122"/>
    </row>
    <row r="59" spans="1:50" ht="20.100000000000001" customHeight="1" x14ac:dyDescent="0.3">
      <c r="A59" s="120"/>
      <c r="B59" s="121">
        <f t="shared" si="26"/>
        <v>12</v>
      </c>
      <c r="C59" s="130"/>
      <c r="D59" s="121">
        <v>0</v>
      </c>
      <c r="E59" s="121">
        <f t="shared" si="24"/>
        <v>0</v>
      </c>
      <c r="F59" s="121" t="e">
        <f>AI11</f>
        <v>#REF!</v>
      </c>
      <c r="G59" s="121" t="e">
        <f t="shared" si="25"/>
        <v>#REF!</v>
      </c>
      <c r="V59" s="227">
        <v>2</v>
      </c>
      <c r="W59" s="228" t="s">
        <v>145</v>
      </c>
      <c r="X59" s="229" t="e">
        <f>AR59</f>
        <v>#VALUE!</v>
      </c>
      <c r="Y59" s="230"/>
      <c r="Z59" s="228"/>
      <c r="AA59" s="228"/>
      <c r="AB59" s="228"/>
      <c r="AC59" s="228"/>
      <c r="AD59" s="228"/>
      <c r="AE59" s="228"/>
      <c r="AF59" s="228"/>
      <c r="AG59" s="228"/>
      <c r="AH59" s="228"/>
      <c r="AI59" s="228"/>
      <c r="AJ59" s="228"/>
      <c r="AK59" s="228"/>
      <c r="AL59" s="228"/>
      <c r="AM59" s="228"/>
      <c r="AN59" s="228"/>
      <c r="AO59" s="228"/>
      <c r="AP59" s="228"/>
      <c r="AQ59" s="228"/>
      <c r="AR59" s="229" t="e">
        <f>+AX52</f>
        <v>#VALUE!</v>
      </c>
      <c r="AS59" s="138"/>
      <c r="AT59" s="138"/>
      <c r="AU59" s="122"/>
      <c r="AV59" s="122"/>
    </row>
    <row r="60" spans="1:50" ht="20.100000000000001" customHeight="1" x14ac:dyDescent="0.3">
      <c r="A60" s="120"/>
      <c r="B60" s="121">
        <f t="shared" si="26"/>
        <v>13</v>
      </c>
      <c r="C60" s="130"/>
      <c r="D60" s="121">
        <v>0</v>
      </c>
      <c r="E60" s="121">
        <f t="shared" si="24"/>
        <v>0</v>
      </c>
      <c r="F60" s="121" t="e">
        <f>AJ11</f>
        <v>#REF!</v>
      </c>
      <c r="G60" s="121" t="e">
        <f t="shared" si="25"/>
        <v>#REF!</v>
      </c>
      <c r="AU60" s="122"/>
      <c r="AV60" s="122"/>
    </row>
    <row r="61" spans="1:50" ht="17.399999999999999" x14ac:dyDescent="0.3">
      <c r="V61" s="231"/>
      <c r="W61" s="232"/>
      <c r="X61" s="233"/>
      <c r="Y61" s="234"/>
      <c r="Z61" s="172"/>
      <c r="AA61" s="172"/>
      <c r="AB61" s="172"/>
      <c r="AC61" s="172"/>
      <c r="AD61" s="172"/>
      <c r="AE61" s="172"/>
      <c r="AF61" s="172"/>
      <c r="AG61" s="172"/>
      <c r="AH61" s="172"/>
      <c r="AI61" s="172"/>
      <c r="AJ61" s="172"/>
      <c r="AK61" s="172"/>
      <c r="AL61" s="172"/>
      <c r="AM61" s="172"/>
      <c r="AN61" s="172"/>
      <c r="AO61" s="172"/>
      <c r="AP61" s="172"/>
      <c r="AQ61" s="172"/>
      <c r="AR61" s="172"/>
      <c r="AS61" s="172"/>
      <c r="AT61" s="172"/>
    </row>
    <row r="62" spans="1:50" ht="17.399999999999999" x14ac:dyDescent="0.3">
      <c r="V62" s="231"/>
      <c r="W62" s="232"/>
      <c r="X62" s="233"/>
      <c r="Y62" s="234"/>
      <c r="Z62" s="172"/>
      <c r="AA62" s="172"/>
      <c r="AB62" s="172"/>
      <c r="AC62" s="172"/>
      <c r="AD62" s="172"/>
      <c r="AE62" s="172"/>
      <c r="AF62" s="172"/>
      <c r="AG62" s="172"/>
      <c r="AH62" s="172"/>
      <c r="AI62" s="172"/>
      <c r="AJ62" s="172"/>
      <c r="AK62" s="172"/>
      <c r="AL62" s="172"/>
      <c r="AM62" s="172"/>
      <c r="AN62" s="172"/>
      <c r="AO62" s="172"/>
      <c r="AP62" s="172"/>
      <c r="AQ62" s="172"/>
      <c r="AR62" s="172"/>
      <c r="AS62" s="172"/>
      <c r="AT62" s="172"/>
    </row>
    <row r="63" spans="1:50" ht="17.399999999999999" x14ac:dyDescent="0.3">
      <c r="V63" s="231"/>
      <c r="W63" s="232"/>
      <c r="X63" s="233"/>
      <c r="Y63" s="234"/>
      <c r="Z63" s="172"/>
      <c r="AA63" s="172"/>
      <c r="AB63" s="172"/>
      <c r="AC63" s="172"/>
      <c r="AD63" s="172"/>
      <c r="AE63" s="172"/>
      <c r="AF63" s="172"/>
      <c r="AG63" s="172"/>
      <c r="AH63" s="172"/>
      <c r="AI63" s="172"/>
      <c r="AJ63" s="172"/>
      <c r="AK63" s="172"/>
      <c r="AL63" s="172"/>
      <c r="AM63" s="172"/>
      <c r="AN63" s="172"/>
      <c r="AO63" s="172"/>
      <c r="AP63" s="172"/>
      <c r="AQ63" s="172"/>
      <c r="AR63" s="172"/>
      <c r="AS63" s="172"/>
      <c r="AT63" s="172"/>
    </row>
    <row r="64" spans="1:50" ht="17.399999999999999" x14ac:dyDescent="0.3">
      <c r="V64" s="231"/>
      <c r="W64" s="232"/>
      <c r="X64" s="233"/>
      <c r="Y64" s="234"/>
      <c r="Z64" s="172"/>
      <c r="AA64" s="172"/>
      <c r="AB64" s="172"/>
      <c r="AC64" s="172"/>
      <c r="AD64" s="172"/>
      <c r="AE64" s="172"/>
      <c r="AF64" s="172"/>
      <c r="AG64" s="172"/>
      <c r="AH64" s="172"/>
      <c r="AI64" s="172"/>
      <c r="AJ64" s="172"/>
      <c r="AK64" s="172"/>
      <c r="AL64" s="172"/>
      <c r="AM64" s="172"/>
      <c r="AN64" s="172"/>
      <c r="AO64" s="172"/>
      <c r="AP64" s="172"/>
      <c r="AQ64" s="172"/>
      <c r="AR64" s="172"/>
      <c r="AS64" s="172"/>
      <c r="AT64" s="172"/>
    </row>
    <row r="65" spans="22:46" ht="17.399999999999999" x14ac:dyDescent="0.3">
      <c r="V65" s="231"/>
      <c r="W65" s="232"/>
      <c r="X65" s="233"/>
      <c r="Y65" s="119"/>
      <c r="Z65" s="172"/>
      <c r="AA65" s="172"/>
      <c r="AB65" s="172"/>
      <c r="AC65" s="172"/>
      <c r="AD65" s="172"/>
      <c r="AE65" s="172"/>
      <c r="AF65" s="172"/>
      <c r="AG65" s="172"/>
      <c r="AH65" s="172"/>
      <c r="AI65" s="172"/>
      <c r="AJ65" s="172"/>
      <c r="AK65" s="172"/>
      <c r="AL65" s="172"/>
      <c r="AM65" s="172"/>
      <c r="AN65" s="172"/>
      <c r="AO65" s="172"/>
      <c r="AP65" s="172"/>
      <c r="AQ65" s="172"/>
      <c r="AR65" s="172"/>
      <c r="AS65" s="172"/>
      <c r="AT65" s="172"/>
    </row>
    <row r="66" spans="22:46" ht="17.399999999999999" x14ac:dyDescent="0.3">
      <c r="V66" s="231"/>
      <c r="W66" s="232"/>
      <c r="X66" s="233"/>
      <c r="Y66" s="119"/>
      <c r="Z66" s="172"/>
      <c r="AA66" s="172"/>
      <c r="AB66" s="172"/>
      <c r="AC66" s="172"/>
      <c r="AD66" s="172"/>
      <c r="AE66" s="172"/>
      <c r="AF66" s="172"/>
      <c r="AG66" s="172"/>
      <c r="AH66" s="172"/>
      <c r="AI66" s="172"/>
      <c r="AJ66" s="172"/>
      <c r="AK66" s="172"/>
      <c r="AL66" s="172"/>
      <c r="AM66" s="172"/>
      <c r="AN66" s="172"/>
      <c r="AO66" s="172"/>
      <c r="AP66" s="172"/>
      <c r="AQ66" s="172"/>
      <c r="AR66" s="172"/>
      <c r="AS66" s="172"/>
      <c r="AT66" s="172"/>
    </row>
    <row r="67" spans="22:46" ht="17.399999999999999" x14ac:dyDescent="0.3">
      <c r="V67" s="231"/>
      <c r="W67" s="232"/>
      <c r="X67" s="233"/>
      <c r="Y67" s="119"/>
      <c r="Z67" s="172"/>
      <c r="AA67" s="172"/>
      <c r="AB67" s="172"/>
      <c r="AC67" s="172"/>
      <c r="AD67" s="172"/>
      <c r="AE67" s="172"/>
      <c r="AF67" s="172"/>
      <c r="AG67" s="172"/>
      <c r="AH67" s="172"/>
      <c r="AI67" s="172"/>
      <c r="AJ67" s="172"/>
      <c r="AK67" s="172"/>
      <c r="AL67" s="172"/>
      <c r="AM67" s="172"/>
      <c r="AN67" s="172"/>
      <c r="AO67" s="172"/>
      <c r="AP67" s="172"/>
      <c r="AQ67" s="172"/>
      <c r="AR67" s="172"/>
      <c r="AS67" s="172"/>
      <c r="AT67" s="172"/>
    </row>
    <row r="68" spans="22:46" x14ac:dyDescent="0.25">
      <c r="V68" s="120"/>
      <c r="W68" s="129"/>
      <c r="X68" s="129"/>
      <c r="Y68" s="129"/>
      <c r="Z68" s="172"/>
      <c r="AA68" s="172"/>
      <c r="AB68" s="172"/>
      <c r="AC68" s="172"/>
      <c r="AD68" s="172"/>
      <c r="AE68" s="172"/>
      <c r="AF68" s="172"/>
      <c r="AG68" s="172"/>
      <c r="AH68" s="172"/>
      <c r="AI68" s="172"/>
      <c r="AJ68" s="172"/>
      <c r="AK68" s="172"/>
      <c r="AL68" s="172"/>
      <c r="AM68" s="172"/>
      <c r="AN68" s="172"/>
      <c r="AO68" s="172"/>
      <c r="AP68" s="172"/>
      <c r="AQ68" s="172"/>
      <c r="AR68" s="172"/>
      <c r="AS68" s="172"/>
      <c r="AT68" s="172"/>
    </row>
    <row r="69" spans="22:46" x14ac:dyDescent="0.25">
      <c r="V69" s="120"/>
      <c r="W69" s="129"/>
      <c r="X69" s="129"/>
      <c r="Y69" s="129"/>
      <c r="Z69" s="172"/>
      <c r="AA69" s="172"/>
      <c r="AB69" s="172"/>
      <c r="AC69" s="172"/>
      <c r="AD69" s="172"/>
      <c r="AE69" s="172"/>
      <c r="AF69" s="172"/>
      <c r="AG69" s="172"/>
      <c r="AH69" s="172"/>
      <c r="AI69" s="172"/>
      <c r="AJ69" s="172"/>
      <c r="AK69" s="172"/>
      <c r="AL69" s="172"/>
      <c r="AM69" s="172"/>
      <c r="AN69" s="172"/>
      <c r="AO69" s="172"/>
      <c r="AP69" s="172"/>
      <c r="AQ69" s="172"/>
      <c r="AR69" s="172"/>
      <c r="AS69" s="172"/>
      <c r="AT69" s="172"/>
    </row>
    <row r="70" spans="22:46" x14ac:dyDescent="0.25">
      <c r="V70" s="120"/>
      <c r="W70" s="129"/>
      <c r="X70" s="129"/>
      <c r="Y70" s="129"/>
      <c r="Z70" s="172"/>
      <c r="AA70" s="172"/>
      <c r="AB70" s="172"/>
      <c r="AC70" s="172"/>
      <c r="AD70" s="172"/>
      <c r="AE70" s="172"/>
      <c r="AF70" s="172"/>
      <c r="AG70" s="172"/>
      <c r="AH70" s="172"/>
      <c r="AI70" s="172"/>
      <c r="AJ70" s="172"/>
      <c r="AK70" s="172"/>
      <c r="AL70" s="172"/>
      <c r="AM70" s="172"/>
      <c r="AN70" s="172"/>
      <c r="AO70" s="172"/>
      <c r="AP70" s="172"/>
      <c r="AQ70" s="172"/>
      <c r="AR70" s="172"/>
      <c r="AS70" s="172"/>
      <c r="AT70" s="172"/>
    </row>
    <row r="71" spans="22:46" x14ac:dyDescent="0.25">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row>
    <row r="72" spans="22:46" x14ac:dyDescent="0.25">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row>
    <row r="73" spans="22:46" x14ac:dyDescent="0.25">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row>
    <row r="74" spans="22:46" x14ac:dyDescent="0.25">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row>
    <row r="75" spans="22:46" x14ac:dyDescent="0.25">
      <c r="W75" s="172"/>
      <c r="X75" s="172"/>
      <c r="Y75" s="172"/>
      <c r="Z75" s="172"/>
      <c r="AA75" s="172"/>
      <c r="AB75" s="172"/>
      <c r="AC75" s="172"/>
      <c r="AD75" s="172"/>
      <c r="AE75" s="172"/>
      <c r="AF75" s="172"/>
      <c r="AG75" s="172"/>
      <c r="AH75" s="172"/>
      <c r="AI75" s="172"/>
      <c r="AJ75" s="172"/>
      <c r="AK75" s="172"/>
      <c r="AL75" s="172"/>
      <c r="AM75" s="172"/>
      <c r="AN75" s="172"/>
      <c r="AO75" s="172"/>
      <c r="AP75" s="172"/>
      <c r="AQ75" s="172"/>
      <c r="AR75" s="172"/>
      <c r="AS75" s="172"/>
      <c r="AT75" s="172"/>
    </row>
    <row r="76" spans="22:46" x14ac:dyDescent="0.25">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row>
    <row r="77" spans="22:46" x14ac:dyDescent="0.25">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row>
    <row r="78" spans="22:46" x14ac:dyDescent="0.25">
      <c r="W78" s="172"/>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row>
    <row r="79" spans="22:46" x14ac:dyDescent="0.25">
      <c r="W79" s="172"/>
      <c r="X79" s="172"/>
      <c r="Y79" s="172"/>
      <c r="Z79" s="172"/>
      <c r="AA79" s="172"/>
      <c r="AB79" s="172"/>
      <c r="AC79" s="172"/>
      <c r="AD79" s="172"/>
      <c r="AE79" s="172"/>
      <c r="AF79" s="172"/>
      <c r="AG79" s="172"/>
      <c r="AH79" s="172"/>
      <c r="AI79" s="172"/>
      <c r="AJ79" s="172"/>
      <c r="AK79" s="172"/>
      <c r="AL79" s="172"/>
      <c r="AM79" s="172"/>
      <c r="AN79" s="172"/>
      <c r="AO79" s="172"/>
      <c r="AP79" s="172"/>
      <c r="AQ79" s="172"/>
      <c r="AR79" s="172"/>
      <c r="AS79" s="172"/>
      <c r="AT79" s="172"/>
    </row>
    <row r="80" spans="22:46" x14ac:dyDescent="0.25">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row>
    <row r="81" spans="23:46" x14ac:dyDescent="0.25">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row>
    <row r="82" spans="23:46" x14ac:dyDescent="0.25">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row>
    <row r="83" spans="23:46" x14ac:dyDescent="0.25">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row>
    <row r="84" spans="23:46" x14ac:dyDescent="0.25">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row>
    <row r="85" spans="23:46" x14ac:dyDescent="0.25">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row>
    <row r="86" spans="23:46" x14ac:dyDescent="0.25">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row>
  </sheetData>
  <mergeCells count="2">
    <mergeCell ref="H3:I3"/>
    <mergeCell ref="H29:I29"/>
  </mergeCells>
  <pageMargins left="1.06" right="0.75" top="0.86" bottom="0.66" header="0.5" footer="0.5"/>
  <pageSetup scale="4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Zeros="0" tabSelected="1" topLeftCell="A29" workbookViewId="0">
      <selection activeCell="E21" sqref="E21:E22"/>
    </sheetView>
  </sheetViews>
  <sheetFormatPr defaultRowHeight="15" x14ac:dyDescent="0.25"/>
  <cols>
    <col min="1" max="1" width="6.453125" customWidth="1"/>
    <col min="2" max="2" width="43.36328125" customWidth="1"/>
    <col min="3" max="4" width="13.90625" customWidth="1"/>
    <col min="5" max="5" width="14.453125" customWidth="1"/>
    <col min="6" max="6" width="19" customWidth="1"/>
    <col min="7" max="7" width="20.36328125" customWidth="1"/>
    <col min="8" max="8" width="14.453125" customWidth="1"/>
    <col min="9" max="9" width="16.6328125" customWidth="1"/>
    <col min="10" max="10" width="18.1796875" customWidth="1"/>
    <col min="12" max="12" width="17.1796875" style="101" hidden="1" customWidth="1"/>
    <col min="13" max="13" width="13.54296875" hidden="1" customWidth="1"/>
  </cols>
  <sheetData>
    <row r="1" spans="1:9" ht="15.6" x14ac:dyDescent="0.3">
      <c r="A1" s="672"/>
      <c r="B1" s="672"/>
      <c r="C1" s="672"/>
      <c r="D1" s="672"/>
      <c r="E1" s="964"/>
      <c r="F1" s="964"/>
      <c r="G1" s="964"/>
      <c r="H1" s="669" t="s">
        <v>788</v>
      </c>
    </row>
    <row r="2" spans="1:9" ht="15.6" x14ac:dyDescent="0.3">
      <c r="A2" s="668"/>
      <c r="B2" s="668"/>
      <c r="C2" s="672"/>
      <c r="D2" s="672"/>
      <c r="E2" s="1006"/>
      <c r="F2" s="1006"/>
      <c r="G2" s="1006"/>
      <c r="H2" s="669" t="s">
        <v>718</v>
      </c>
    </row>
    <row r="3" spans="1:9" ht="15.6" x14ac:dyDescent="0.3">
      <c r="A3" s="668"/>
      <c r="B3" s="668"/>
      <c r="C3" s="672"/>
      <c r="D3" s="672"/>
      <c r="E3" s="1007"/>
      <c r="F3" s="1007"/>
      <c r="G3" s="1007"/>
      <c r="H3" s="1008" t="s">
        <v>824</v>
      </c>
    </row>
    <row r="4" spans="1:9" ht="15.6" x14ac:dyDescent="0.3">
      <c r="A4" s="685"/>
      <c r="B4" s="672"/>
      <c r="C4" s="672"/>
      <c r="D4" s="672"/>
      <c r="E4" s="1009"/>
      <c r="F4" s="1009"/>
      <c r="G4" s="1009"/>
      <c r="H4" s="1004" t="s">
        <v>825</v>
      </c>
    </row>
    <row r="5" spans="1:9" ht="15.6" x14ac:dyDescent="0.3">
      <c r="A5" s="685"/>
      <c r="B5" s="672"/>
      <c r="C5" s="672"/>
      <c r="D5" s="672"/>
      <c r="E5" s="1009"/>
      <c r="F5" s="1009"/>
      <c r="G5" s="1009"/>
      <c r="H5" s="1009"/>
      <c r="I5" s="903"/>
    </row>
    <row r="6" spans="1:9" ht="15.6" x14ac:dyDescent="0.3">
      <c r="A6" s="685"/>
      <c r="B6" s="672"/>
      <c r="C6" s="672"/>
      <c r="D6" s="672"/>
      <c r="E6" s="1009"/>
      <c r="F6" s="1009"/>
      <c r="G6" s="1009"/>
      <c r="H6" s="1009"/>
      <c r="I6" s="903"/>
    </row>
    <row r="7" spans="1:9" ht="15.6" x14ac:dyDescent="0.3">
      <c r="A7" s="685"/>
      <c r="B7" s="672"/>
      <c r="C7" s="672"/>
      <c r="D7" s="672"/>
      <c r="E7" s="1009"/>
      <c r="F7" s="1009"/>
      <c r="G7" s="1009"/>
      <c r="H7" s="1009"/>
      <c r="I7" s="903"/>
    </row>
    <row r="8" spans="1:9" ht="17.399999999999999" x14ac:dyDescent="0.3">
      <c r="A8" s="1118" t="s">
        <v>192</v>
      </c>
      <c r="B8" s="1118"/>
      <c r="C8" s="1118"/>
      <c r="D8" s="1118"/>
      <c r="E8" s="1118"/>
      <c r="F8" s="1118"/>
      <c r="G8" s="1118"/>
      <c r="H8" s="1118"/>
      <c r="I8" s="1118"/>
    </row>
    <row r="9" spans="1:9" ht="17.399999999999999" x14ac:dyDescent="0.3">
      <c r="A9" s="1118" t="s">
        <v>242</v>
      </c>
      <c r="B9" s="1118"/>
      <c r="C9" s="1118"/>
      <c r="D9" s="1118"/>
      <c r="E9" s="1118"/>
      <c r="F9" s="1118"/>
      <c r="G9" s="1118"/>
      <c r="H9" s="1118"/>
      <c r="I9" s="1118"/>
    </row>
    <row r="10" spans="1:9" ht="17.399999999999999" x14ac:dyDescent="0.25">
      <c r="A10" s="1119" t="s">
        <v>243</v>
      </c>
      <c r="B10" s="1119"/>
      <c r="C10" s="1119"/>
      <c r="D10" s="1119"/>
      <c r="E10" s="1119"/>
      <c r="F10" s="1119"/>
      <c r="G10" s="1119"/>
      <c r="H10" s="1119"/>
      <c r="I10" s="1119"/>
    </row>
    <row r="11" spans="1:9" ht="15.6" x14ac:dyDescent="0.3">
      <c r="A11" s="1120" t="s">
        <v>789</v>
      </c>
      <c r="B11" s="1120"/>
      <c r="C11" s="1120"/>
      <c r="D11" s="1120"/>
      <c r="E11" s="1120"/>
      <c r="F11" s="1120"/>
      <c r="G11" s="1120"/>
      <c r="H11" s="1120"/>
      <c r="I11" s="1120"/>
    </row>
    <row r="12" spans="1:9" ht="15.6" x14ac:dyDescent="0.3">
      <c r="A12" s="1120" t="s">
        <v>787</v>
      </c>
      <c r="B12" s="1120"/>
      <c r="C12" s="1120"/>
      <c r="D12" s="1120"/>
      <c r="E12" s="1120"/>
      <c r="F12" s="1120"/>
      <c r="G12" s="1120"/>
      <c r="H12" s="1120"/>
      <c r="I12" s="1120"/>
    </row>
    <row r="13" spans="1:9" ht="15.6" x14ac:dyDescent="0.3">
      <c r="A13" s="1120" t="s">
        <v>790</v>
      </c>
      <c r="B13" s="1120"/>
      <c r="C13" s="1120"/>
      <c r="D13" s="1120"/>
      <c r="E13" s="1120"/>
      <c r="F13" s="1120"/>
      <c r="G13" s="1120"/>
      <c r="H13" s="1120"/>
      <c r="I13" s="1120"/>
    </row>
    <row r="14" spans="1:9" ht="15.6" x14ac:dyDescent="0.3">
      <c r="A14" s="683"/>
      <c r="B14" s="683"/>
      <c r="C14" s="683"/>
      <c r="D14" s="683"/>
      <c r="E14" s="1010"/>
      <c r="F14" s="1010"/>
      <c r="G14" s="1010"/>
      <c r="H14" s="1010"/>
      <c r="I14" s="1010"/>
    </row>
    <row r="15" spans="1:9" ht="15.6" x14ac:dyDescent="0.3">
      <c r="A15" s="683"/>
      <c r="B15" s="683"/>
      <c r="C15" s="683"/>
      <c r="D15" s="683"/>
      <c r="E15" s="1010"/>
      <c r="F15" s="1010"/>
      <c r="G15" s="1010"/>
      <c r="H15" s="1010"/>
      <c r="I15" s="1010"/>
    </row>
    <row r="16" spans="1:9" ht="15.6" x14ac:dyDescent="0.3">
      <c r="A16" s="1011"/>
      <c r="B16" s="1012"/>
      <c r="C16" s="672"/>
      <c r="D16" s="672"/>
      <c r="E16" s="1013"/>
      <c r="F16" s="1013"/>
      <c r="G16" s="1013"/>
      <c r="H16" s="1014" t="s">
        <v>727</v>
      </c>
    </row>
    <row r="17" spans="1:14" ht="15.6" x14ac:dyDescent="0.3">
      <c r="A17" s="1011"/>
      <c r="B17" s="1012"/>
      <c r="C17" s="1015"/>
      <c r="D17" s="1015"/>
      <c r="E17" s="1013"/>
      <c r="F17" s="1013"/>
      <c r="G17" s="1013"/>
      <c r="H17" s="1013"/>
      <c r="I17" s="1016"/>
    </row>
    <row r="18" spans="1:14" ht="15.6" x14ac:dyDescent="0.3">
      <c r="A18" s="1017"/>
      <c r="B18" s="1017"/>
      <c r="C18" s="1018" t="s">
        <v>791</v>
      </c>
      <c r="D18" s="1115" t="s">
        <v>806</v>
      </c>
      <c r="E18" s="1116"/>
      <c r="F18" s="1116"/>
      <c r="G18" s="1117"/>
      <c r="H18" s="1019" t="s">
        <v>809</v>
      </c>
      <c r="I18" s="1038"/>
    </row>
    <row r="19" spans="1:14" ht="47.4" thickBot="1" x14ac:dyDescent="0.35">
      <c r="A19" s="1046"/>
      <c r="B19" s="1031"/>
      <c r="C19" s="1018"/>
      <c r="D19" s="1032" t="s">
        <v>807</v>
      </c>
      <c r="E19" s="1032" t="s">
        <v>808</v>
      </c>
      <c r="F19" s="1032" t="s">
        <v>810</v>
      </c>
      <c r="G19" s="1032" t="s">
        <v>822</v>
      </c>
      <c r="H19" s="1032" t="s">
        <v>807</v>
      </c>
      <c r="I19" s="1038"/>
    </row>
    <row r="20" spans="1:14" ht="49.5" customHeight="1" thickBot="1" x14ac:dyDescent="0.35">
      <c r="A20" s="1020" t="s">
        <v>482</v>
      </c>
      <c r="B20" s="1047" t="s">
        <v>729</v>
      </c>
      <c r="C20" s="1045" t="s">
        <v>533</v>
      </c>
      <c r="D20" s="1021" t="s">
        <v>533</v>
      </c>
      <c r="E20" s="1021" t="s">
        <v>533</v>
      </c>
      <c r="F20" s="1021" t="s">
        <v>533</v>
      </c>
      <c r="G20" s="1021" t="s">
        <v>533</v>
      </c>
      <c r="H20" s="1021" t="s">
        <v>533</v>
      </c>
      <c r="I20" s="791"/>
      <c r="J20" s="1057"/>
      <c r="K20" s="1057"/>
      <c r="L20" s="1038" t="s">
        <v>820</v>
      </c>
      <c r="M20" s="1038" t="s">
        <v>821</v>
      </c>
    </row>
    <row r="21" spans="1:14" ht="34.5" customHeight="1" x14ac:dyDescent="0.25">
      <c r="A21" s="715">
        <v>1</v>
      </c>
      <c r="B21" s="716" t="s">
        <v>792</v>
      </c>
      <c r="C21" s="1033">
        <v>6.8106998117317072</v>
      </c>
      <c r="D21" s="1109">
        <v>173.94191459999999</v>
      </c>
      <c r="E21" s="1111">
        <v>20.300955999999999</v>
      </c>
      <c r="F21" s="1113">
        <v>153.64095859999998</v>
      </c>
      <c r="G21" s="1061">
        <v>10.148</v>
      </c>
      <c r="H21" s="1037" t="s">
        <v>813</v>
      </c>
      <c r="I21" s="1039"/>
      <c r="J21" s="101"/>
      <c r="K21" s="1060"/>
      <c r="L21" s="1060" t="e">
        <v>#DIV/0!</v>
      </c>
      <c r="M21" s="1060">
        <v>0.05</v>
      </c>
      <c r="N21" s="1063"/>
    </row>
    <row r="22" spans="1:14" ht="30" x14ac:dyDescent="0.25">
      <c r="A22" s="715">
        <v>2</v>
      </c>
      <c r="B22" s="729" t="s">
        <v>731</v>
      </c>
      <c r="C22" s="1033">
        <v>104.65918664018328</v>
      </c>
      <c r="D22" s="1110"/>
      <c r="E22" s="1112"/>
      <c r="F22" s="1114"/>
      <c r="G22" s="1062">
        <v>143.49295860000001</v>
      </c>
      <c r="H22" s="1023">
        <v>449.58</v>
      </c>
      <c r="I22" s="1039"/>
      <c r="J22" s="1058"/>
      <c r="K22" s="1060"/>
      <c r="M22" s="101"/>
    </row>
    <row r="23" spans="1:14" ht="30" x14ac:dyDescent="0.25">
      <c r="A23" s="715">
        <v>3</v>
      </c>
      <c r="B23" s="729" t="s">
        <v>793</v>
      </c>
      <c r="C23" s="1033">
        <v>0.7273461</v>
      </c>
      <c r="D23" s="1105" t="s">
        <v>811</v>
      </c>
      <c r="E23" s="1104" t="s">
        <v>811</v>
      </c>
      <c r="F23" s="1107" t="s">
        <v>811</v>
      </c>
      <c r="G23" s="1107" t="s">
        <v>811</v>
      </c>
      <c r="H23" s="1104" t="s">
        <v>811</v>
      </c>
      <c r="I23" s="1039"/>
      <c r="J23" s="1058"/>
      <c r="K23" s="1060"/>
      <c r="M23" s="101"/>
    </row>
    <row r="24" spans="1:14" x14ac:dyDescent="0.25">
      <c r="A24" s="715">
        <v>4</v>
      </c>
      <c r="B24" s="750" t="s">
        <v>733</v>
      </c>
      <c r="C24" s="1033"/>
      <c r="D24" s="1105"/>
      <c r="E24" s="1104"/>
      <c r="F24" s="1107"/>
      <c r="G24" s="1107"/>
      <c r="H24" s="1104"/>
      <c r="I24" s="1039"/>
      <c r="J24" s="1058"/>
      <c r="K24" s="1060"/>
      <c r="M24" s="101"/>
    </row>
    <row r="25" spans="1:14" ht="30" x14ac:dyDescent="0.25">
      <c r="A25" s="715">
        <v>5</v>
      </c>
      <c r="B25" s="729" t="s">
        <v>734</v>
      </c>
      <c r="C25" s="1033">
        <v>9.3865881017843513</v>
      </c>
      <c r="D25" s="1033" t="s">
        <v>812</v>
      </c>
      <c r="E25" s="1022" t="s">
        <v>812</v>
      </c>
      <c r="F25" s="1055" t="s">
        <v>812</v>
      </c>
      <c r="G25" s="1055">
        <v>50.610140999999999</v>
      </c>
      <c r="H25" s="1023">
        <v>76.7</v>
      </c>
      <c r="I25" s="1039"/>
      <c r="J25" s="1058"/>
      <c r="K25" s="1060"/>
      <c r="M25" s="101"/>
    </row>
    <row r="26" spans="1:14" ht="30" x14ac:dyDescent="0.25">
      <c r="A26" s="715">
        <v>6</v>
      </c>
      <c r="B26" s="729" t="s">
        <v>794</v>
      </c>
      <c r="C26" s="1033">
        <v>1.7232584385165219</v>
      </c>
      <c r="D26" s="1033" t="s">
        <v>811</v>
      </c>
      <c r="E26" s="1023" t="s">
        <v>811</v>
      </c>
      <c r="F26" s="1053" t="s">
        <v>811</v>
      </c>
      <c r="G26" s="1053" t="s">
        <v>811</v>
      </c>
      <c r="H26" s="1023" t="s">
        <v>811</v>
      </c>
      <c r="I26" s="1005"/>
      <c r="J26" s="1058"/>
      <c r="K26" s="1060"/>
      <c r="M26" s="101"/>
    </row>
    <row r="27" spans="1:14" ht="30" x14ac:dyDescent="0.25">
      <c r="A27" s="715">
        <v>7</v>
      </c>
      <c r="B27" s="729" t="s">
        <v>795</v>
      </c>
      <c r="C27" s="1033">
        <v>21.981406949055543</v>
      </c>
      <c r="D27" s="1033">
        <v>94.353212999999997</v>
      </c>
      <c r="E27" s="1023">
        <v>4.5670719999999996</v>
      </c>
      <c r="F27" s="1053">
        <v>89.786141000000001</v>
      </c>
      <c r="G27" s="1053">
        <v>36.816000000000003</v>
      </c>
      <c r="H27" s="1023">
        <v>97.94</v>
      </c>
      <c r="I27" s="1039"/>
      <c r="J27" s="1058"/>
      <c r="K27" s="1060"/>
      <c r="L27" s="1060" t="e">
        <v>#DIV/0!</v>
      </c>
      <c r="M27" s="1059">
        <v>0.2</v>
      </c>
    </row>
    <row r="28" spans="1:14" ht="30" x14ac:dyDescent="0.25">
      <c r="A28" s="760">
        <v>8</v>
      </c>
      <c r="B28" s="761" t="s">
        <v>737</v>
      </c>
      <c r="C28" s="1033">
        <v>0.13345800000000002</v>
      </c>
      <c r="D28" s="1105" t="s">
        <v>811</v>
      </c>
      <c r="E28" s="1106" t="s">
        <v>811</v>
      </c>
      <c r="F28" s="1107" t="s">
        <v>811</v>
      </c>
      <c r="G28" s="1107" t="s">
        <v>811</v>
      </c>
      <c r="H28" s="1106" t="s">
        <v>811</v>
      </c>
      <c r="I28" s="1056"/>
      <c r="J28" s="1058"/>
      <c r="K28" s="1060"/>
    </row>
    <row r="29" spans="1:14" ht="45" x14ac:dyDescent="0.25">
      <c r="A29" s="715">
        <v>9</v>
      </c>
      <c r="B29" s="767" t="s">
        <v>796</v>
      </c>
      <c r="C29" s="1022"/>
      <c r="D29" s="1105"/>
      <c r="E29" s="1106"/>
      <c r="F29" s="1107"/>
      <c r="G29" s="1107"/>
      <c r="H29" s="1106"/>
      <c r="I29" s="1039"/>
      <c r="J29" s="1058"/>
      <c r="K29" s="1060"/>
    </row>
    <row r="30" spans="1:14" ht="48" customHeight="1" x14ac:dyDescent="0.25">
      <c r="A30" s="715">
        <v>10</v>
      </c>
      <c r="B30" s="767" t="s">
        <v>815</v>
      </c>
      <c r="C30" s="1022"/>
      <c r="D30" s="1033" t="s">
        <v>816</v>
      </c>
      <c r="E30" s="1033" t="s">
        <v>816</v>
      </c>
      <c r="F30" s="1055" t="s">
        <v>816</v>
      </c>
      <c r="G30" s="1055" t="s">
        <v>823</v>
      </c>
      <c r="H30" s="1043" t="s">
        <v>817</v>
      </c>
      <c r="I30" s="1039"/>
      <c r="J30" s="1058"/>
      <c r="K30" s="1060"/>
    </row>
    <row r="31" spans="1:14" ht="30" x14ac:dyDescent="0.25">
      <c r="A31" s="715">
        <v>11</v>
      </c>
      <c r="B31" s="767" t="s">
        <v>797</v>
      </c>
      <c r="C31" s="1022"/>
      <c r="D31" s="1023" t="s">
        <v>811</v>
      </c>
      <c r="E31" s="1023" t="s">
        <v>811</v>
      </c>
      <c r="F31" s="1053" t="s">
        <v>811</v>
      </c>
      <c r="G31" s="1053" t="s">
        <v>811</v>
      </c>
      <c r="H31" s="1023" t="s">
        <v>811</v>
      </c>
      <c r="I31" s="1039"/>
      <c r="J31" s="1058"/>
      <c r="K31" s="1060"/>
    </row>
    <row r="32" spans="1:14" ht="30" x14ac:dyDescent="0.25">
      <c r="A32" s="715">
        <v>12</v>
      </c>
      <c r="B32" s="767" t="s">
        <v>798</v>
      </c>
      <c r="C32" s="1024" t="s">
        <v>799</v>
      </c>
      <c r="D32" s="1023">
        <v>2.6829513</v>
      </c>
      <c r="E32" s="1023">
        <v>1.8568480000000001</v>
      </c>
      <c r="F32" s="1054">
        <v>0.82610329999999998</v>
      </c>
      <c r="G32" s="1054">
        <v>0.82610329999999998</v>
      </c>
      <c r="H32" s="1043" t="s">
        <v>813</v>
      </c>
      <c r="I32" s="1039"/>
      <c r="J32" s="1058"/>
      <c r="K32" s="1060"/>
    </row>
    <row r="33" spans="1:11" ht="26.25" customHeight="1" x14ac:dyDescent="0.25">
      <c r="A33" s="1048">
        <v>13</v>
      </c>
      <c r="B33" s="788" t="s">
        <v>814</v>
      </c>
      <c r="C33" s="1049"/>
      <c r="D33" s="1044" t="s">
        <v>811</v>
      </c>
      <c r="E33" s="1023" t="s">
        <v>811</v>
      </c>
      <c r="F33" s="1023" t="s">
        <v>811</v>
      </c>
      <c r="G33" s="1023" t="s">
        <v>811</v>
      </c>
      <c r="H33" s="1043" t="s">
        <v>811</v>
      </c>
      <c r="I33" s="1039"/>
      <c r="J33" s="1058"/>
      <c r="K33" s="101"/>
    </row>
    <row r="34" spans="1:11" ht="26.25" customHeight="1" x14ac:dyDescent="0.25">
      <c r="A34" s="830">
        <v>14</v>
      </c>
      <c r="B34" s="1050" t="s">
        <v>819</v>
      </c>
      <c r="C34" s="1034">
        <v>145.42194404127142</v>
      </c>
      <c r="D34" s="1034">
        <v>270.97807890000001</v>
      </c>
      <c r="E34" s="1025">
        <v>26.724875999999998</v>
      </c>
      <c r="F34" s="1025">
        <v>244.25320290000002</v>
      </c>
      <c r="G34" s="1025">
        <v>241.89320290000001</v>
      </c>
      <c r="H34" s="1025">
        <v>624.22</v>
      </c>
      <c r="I34" s="1040"/>
      <c r="J34" s="1052"/>
    </row>
    <row r="35" spans="1:11" ht="22.5" customHeight="1" x14ac:dyDescent="0.25">
      <c r="A35" s="830">
        <v>15</v>
      </c>
      <c r="B35" s="835" t="s">
        <v>800</v>
      </c>
      <c r="C35" s="1035">
        <v>21.56658248177617</v>
      </c>
      <c r="D35" s="1035">
        <v>41.335639100000002</v>
      </c>
      <c r="E35" s="1026">
        <v>4.076676</v>
      </c>
      <c r="F35" s="1026">
        <v>37.258963100000003</v>
      </c>
      <c r="G35" s="1026">
        <v>36.898963100000003</v>
      </c>
      <c r="H35" s="1026">
        <v>95.22</v>
      </c>
      <c r="I35" s="1041"/>
      <c r="J35" s="1051"/>
    </row>
    <row r="36" spans="1:11" ht="25.5" customHeight="1" x14ac:dyDescent="0.25">
      <c r="A36" s="830">
        <v>16</v>
      </c>
      <c r="B36" s="831" t="s">
        <v>801</v>
      </c>
      <c r="C36" s="1036">
        <v>123.85536159999999</v>
      </c>
      <c r="D36" s="1036">
        <v>229.64243980000001</v>
      </c>
      <c r="E36" s="1025">
        <v>22.648199999999999</v>
      </c>
      <c r="F36" s="1025">
        <v>206.9942398</v>
      </c>
      <c r="G36" s="1025">
        <v>204.9942398</v>
      </c>
      <c r="H36" s="1025">
        <v>529</v>
      </c>
      <c r="I36" s="1040"/>
    </row>
    <row r="37" spans="1:11" ht="19.5" customHeight="1" x14ac:dyDescent="0.25">
      <c r="A37" s="830">
        <v>17</v>
      </c>
      <c r="B37" s="87" t="s">
        <v>802</v>
      </c>
      <c r="C37" s="1027"/>
      <c r="D37" s="1028"/>
      <c r="E37" s="642"/>
      <c r="F37" s="1028"/>
      <c r="G37" s="1028">
        <v>0.65510993752570834</v>
      </c>
      <c r="H37" s="1028">
        <v>3.2711110214868571</v>
      </c>
      <c r="I37" s="1042"/>
    </row>
    <row r="38" spans="1:11" ht="24" customHeight="1" x14ac:dyDescent="0.25">
      <c r="A38" s="830">
        <v>18</v>
      </c>
      <c r="B38" s="87" t="s">
        <v>803</v>
      </c>
      <c r="C38" s="1029"/>
      <c r="D38" s="1029"/>
      <c r="E38" s="642"/>
      <c r="F38" s="1030"/>
      <c r="G38" s="1030" t="s">
        <v>804</v>
      </c>
      <c r="H38" s="1030" t="s">
        <v>805</v>
      </c>
      <c r="I38" s="752"/>
    </row>
    <row r="40" spans="1:11" ht="15.6" x14ac:dyDescent="0.3">
      <c r="B40" s="1108" t="s">
        <v>818</v>
      </c>
      <c r="C40" s="1108"/>
      <c r="D40" s="1108"/>
      <c r="E40" s="1108"/>
      <c r="F40" s="1108"/>
      <c r="G40" s="1108"/>
      <c r="H40" s="1108"/>
    </row>
  </sheetData>
  <mergeCells count="21">
    <mergeCell ref="D18:G18"/>
    <mergeCell ref="A8:I8"/>
    <mergeCell ref="A9:I9"/>
    <mergeCell ref="A10:I10"/>
    <mergeCell ref="A11:I11"/>
    <mergeCell ref="A12:I12"/>
    <mergeCell ref="A13:I13"/>
    <mergeCell ref="D21:D22"/>
    <mergeCell ref="E21:E22"/>
    <mergeCell ref="F21:F22"/>
    <mergeCell ref="D23:D24"/>
    <mergeCell ref="E23:E24"/>
    <mergeCell ref="F23:F24"/>
    <mergeCell ref="H23:H24"/>
    <mergeCell ref="D28:D29"/>
    <mergeCell ref="E28:E29"/>
    <mergeCell ref="F28:F29"/>
    <mergeCell ref="H28:H29"/>
    <mergeCell ref="B40:H40"/>
    <mergeCell ref="G23:G24"/>
    <mergeCell ref="G28:G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L20"/>
  <sheetViews>
    <sheetView workbookViewId="0">
      <selection activeCell="G10" sqref="G10"/>
    </sheetView>
  </sheetViews>
  <sheetFormatPr defaultRowHeight="15" x14ac:dyDescent="0.25"/>
  <cols>
    <col min="7" max="7" width="24.36328125" customWidth="1"/>
    <col min="8" max="8" width="13.36328125" customWidth="1"/>
    <col min="9" max="9" width="16.90625" customWidth="1"/>
  </cols>
  <sheetData>
    <row r="4" spans="1:12" ht="15.6" x14ac:dyDescent="0.3">
      <c r="F4" s="641" t="s">
        <v>695</v>
      </c>
      <c r="G4" s="641"/>
      <c r="H4" s="641"/>
      <c r="I4" s="641"/>
      <c r="J4" s="641"/>
      <c r="K4" s="641"/>
    </row>
    <row r="6" spans="1:12" ht="15.6" x14ac:dyDescent="0.3">
      <c r="F6" s="646" t="s">
        <v>684</v>
      </c>
      <c r="G6" s="646" t="s">
        <v>669</v>
      </c>
      <c r="H6" s="646" t="s">
        <v>691</v>
      </c>
      <c r="I6" s="646" t="s">
        <v>687</v>
      </c>
      <c r="J6" s="644"/>
      <c r="K6" s="644"/>
      <c r="L6" s="644"/>
    </row>
    <row r="7" spans="1:12" ht="45" x14ac:dyDescent="0.25">
      <c r="F7" s="648">
        <v>1</v>
      </c>
      <c r="G7" s="59" t="s">
        <v>685</v>
      </c>
      <c r="H7" s="59" t="s">
        <v>686</v>
      </c>
      <c r="I7" s="643" t="s">
        <v>688</v>
      </c>
      <c r="J7" s="57"/>
      <c r="K7" s="57"/>
      <c r="L7" s="57"/>
    </row>
    <row r="8" spans="1:12" ht="45" x14ac:dyDescent="0.25">
      <c r="F8" s="648"/>
      <c r="G8" s="59"/>
      <c r="H8" s="59"/>
      <c r="I8" s="643" t="s">
        <v>689</v>
      </c>
      <c r="J8" s="57"/>
      <c r="K8" s="57"/>
      <c r="L8" s="57"/>
    </row>
    <row r="9" spans="1:12" ht="30" x14ac:dyDescent="0.25">
      <c r="F9" s="648">
        <v>2</v>
      </c>
      <c r="G9" s="643" t="s">
        <v>690</v>
      </c>
      <c r="H9" s="59" t="s">
        <v>692</v>
      </c>
      <c r="I9" s="59"/>
      <c r="J9" s="57"/>
      <c r="K9" s="57"/>
      <c r="L9" s="57"/>
    </row>
    <row r="10" spans="1:12" ht="45" x14ac:dyDescent="0.25">
      <c r="F10" s="648">
        <v>3</v>
      </c>
      <c r="G10" s="59" t="s">
        <v>693</v>
      </c>
      <c r="H10" s="643" t="s">
        <v>694</v>
      </c>
      <c r="I10" s="59"/>
      <c r="J10" s="57"/>
      <c r="K10" s="57"/>
      <c r="L10" s="57"/>
    </row>
    <row r="11" spans="1:12" ht="15.6" x14ac:dyDescent="0.3">
      <c r="F11" s="649">
        <v>4</v>
      </c>
      <c r="G11" s="645" t="s">
        <v>696</v>
      </c>
      <c r="H11" s="417" t="s">
        <v>697</v>
      </c>
      <c r="I11" s="417" t="s">
        <v>704</v>
      </c>
    </row>
    <row r="12" spans="1:12" x14ac:dyDescent="0.25">
      <c r="F12" s="649"/>
      <c r="G12" s="417" t="s">
        <v>255</v>
      </c>
      <c r="H12" s="417" t="s">
        <v>699</v>
      </c>
      <c r="I12" s="647" t="e">
        <f>#REF!/#REF!</f>
        <v>#REF!</v>
      </c>
    </row>
    <row r="13" spans="1:12" x14ac:dyDescent="0.25">
      <c r="F13" s="649"/>
      <c r="G13" s="417" t="s">
        <v>698</v>
      </c>
      <c r="H13" s="417" t="s">
        <v>700</v>
      </c>
      <c r="I13" s="647" t="e">
        <f>#REF!/#REF!</f>
        <v>#REF!</v>
      </c>
    </row>
    <row r="14" spans="1:12" x14ac:dyDescent="0.25">
      <c r="A14" s="268" t="s">
        <v>701</v>
      </c>
      <c r="F14" s="649"/>
      <c r="G14" s="417" t="s">
        <v>208</v>
      </c>
      <c r="H14" s="417" t="s">
        <v>702</v>
      </c>
      <c r="I14" s="647" t="e">
        <f>#REF!/#REF!</f>
        <v>#REF!</v>
      </c>
    </row>
    <row r="15" spans="1:12" x14ac:dyDescent="0.25">
      <c r="F15" s="649"/>
      <c r="G15" s="417" t="s">
        <v>233</v>
      </c>
      <c r="H15" s="417" t="s">
        <v>703</v>
      </c>
      <c r="I15" s="647" t="e">
        <f>#REF!/#REF!</f>
        <v>#REF!</v>
      </c>
    </row>
    <row r="16" spans="1:12" ht="15.6" x14ac:dyDescent="0.3">
      <c r="F16" s="649">
        <v>5</v>
      </c>
      <c r="G16" s="645" t="s">
        <v>209</v>
      </c>
      <c r="H16" s="417" t="s">
        <v>705</v>
      </c>
      <c r="I16" s="417" t="s">
        <v>707</v>
      </c>
    </row>
    <row r="17" spans="6:9" ht="15.6" x14ac:dyDescent="0.3">
      <c r="F17" s="649">
        <v>6</v>
      </c>
      <c r="G17" s="645" t="s">
        <v>650</v>
      </c>
      <c r="H17" s="417" t="s">
        <v>706</v>
      </c>
      <c r="I17" s="417" t="s">
        <v>708</v>
      </c>
    </row>
    <row r="18" spans="6:9" ht="15.6" x14ac:dyDescent="0.3">
      <c r="F18" s="649">
        <v>7</v>
      </c>
      <c r="G18" s="645" t="s">
        <v>511</v>
      </c>
      <c r="H18" s="417" t="s">
        <v>709</v>
      </c>
      <c r="I18" s="642"/>
    </row>
    <row r="19" spans="6:9" ht="15.6" x14ac:dyDescent="0.3">
      <c r="F19" s="649">
        <v>8</v>
      </c>
      <c r="G19" s="645" t="s">
        <v>710</v>
      </c>
      <c r="H19" s="417" t="s">
        <v>711</v>
      </c>
      <c r="I19" s="642"/>
    </row>
    <row r="20" spans="6:9" ht="15.6" x14ac:dyDescent="0.3">
      <c r="F20" s="649">
        <v>9</v>
      </c>
      <c r="G20" s="645" t="s">
        <v>712</v>
      </c>
      <c r="H20" s="417" t="s">
        <v>713</v>
      </c>
      <c r="I20" s="64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topLeftCell="A10" workbookViewId="0">
      <selection activeCell="F20" sqref="F20"/>
    </sheetView>
  </sheetViews>
  <sheetFormatPr defaultColWidth="8.90625" defaultRowHeight="15" x14ac:dyDescent="0.25"/>
  <cols>
    <col min="1" max="1" width="6.36328125" customWidth="1"/>
    <col min="2" max="2" width="40.54296875" customWidth="1"/>
    <col min="3" max="3" width="9.54296875" customWidth="1"/>
    <col min="4" max="4" width="10.453125" customWidth="1"/>
    <col min="5" max="5" width="13.90625" customWidth="1"/>
    <col min="6" max="6" width="12.36328125" customWidth="1"/>
    <col min="7" max="7" width="31.81640625" customWidth="1"/>
    <col min="8" max="8" width="29" bestFit="1" customWidth="1"/>
    <col min="9" max="9" width="14.6328125" customWidth="1"/>
    <col min="10" max="10" width="14.81640625" customWidth="1"/>
  </cols>
  <sheetData>
    <row r="1" spans="1:10" ht="15.6" x14ac:dyDescent="0.25">
      <c r="A1" s="1124" t="s">
        <v>192</v>
      </c>
      <c r="B1" s="1125"/>
      <c r="C1" s="1125"/>
      <c r="D1" s="1125"/>
      <c r="E1" s="1125"/>
      <c r="F1" s="1125"/>
      <c r="G1" s="1125"/>
      <c r="H1" s="238"/>
      <c r="I1" s="238"/>
      <c r="J1" s="238"/>
    </row>
    <row r="2" spans="1:10" ht="15.6" x14ac:dyDescent="0.25">
      <c r="A2" s="1124" t="s">
        <v>242</v>
      </c>
      <c r="B2" s="1125"/>
      <c r="C2" s="1125"/>
      <c r="D2" s="1125"/>
      <c r="E2" s="1125"/>
      <c r="F2" s="1125"/>
      <c r="G2" s="1125"/>
      <c r="H2" s="238"/>
      <c r="I2" s="238"/>
      <c r="J2" s="238"/>
    </row>
    <row r="3" spans="1:10" ht="15.6" x14ac:dyDescent="0.25">
      <c r="A3" s="1124" t="s">
        <v>243</v>
      </c>
      <c r="B3" s="1125"/>
      <c r="C3" s="1125"/>
      <c r="D3" s="1125"/>
      <c r="E3" s="1125"/>
      <c r="F3" s="1125"/>
      <c r="G3" s="1125"/>
      <c r="H3" s="238"/>
      <c r="I3" s="238"/>
      <c r="J3" s="238"/>
    </row>
    <row r="4" spans="1:10" ht="15.6" x14ac:dyDescent="0.25">
      <c r="A4" s="1124" t="s">
        <v>241</v>
      </c>
      <c r="B4" s="1125"/>
      <c r="C4" s="1125"/>
      <c r="D4" s="1125"/>
      <c r="E4" s="1125"/>
      <c r="F4" s="1125"/>
      <c r="G4" s="1125"/>
      <c r="H4" s="238"/>
      <c r="I4" s="238"/>
      <c r="J4" s="238"/>
    </row>
    <row r="5" spans="1:10" ht="19.95" customHeight="1" x14ac:dyDescent="0.25">
      <c r="A5" s="239"/>
      <c r="B5" s="239"/>
      <c r="C5" s="239"/>
      <c r="D5" s="239"/>
      <c r="E5" s="239"/>
      <c r="F5" s="239"/>
      <c r="G5" s="239" t="s">
        <v>244</v>
      </c>
      <c r="H5" s="238"/>
      <c r="I5" s="238"/>
      <c r="J5" s="238"/>
    </row>
    <row r="6" spans="1:10" ht="31.2" x14ac:dyDescent="0.25">
      <c r="A6" s="240" t="s">
        <v>193</v>
      </c>
      <c r="B6" s="240" t="s">
        <v>194</v>
      </c>
      <c r="C6" s="240" t="s">
        <v>15</v>
      </c>
      <c r="D6" s="240" t="s">
        <v>19</v>
      </c>
      <c r="E6" s="240" t="s">
        <v>437</v>
      </c>
      <c r="F6" s="240" t="s">
        <v>195</v>
      </c>
      <c r="G6" s="240" t="s">
        <v>23</v>
      </c>
      <c r="H6" s="369" t="s">
        <v>447</v>
      </c>
      <c r="I6" s="238">
        <f>((E9/(1+0.05+0.02))*D9)</f>
        <v>6908.4112149532702</v>
      </c>
      <c r="J6" s="238">
        <f>F12+F13+F14+F15+F20+F27+F37+F39+F41</f>
        <v>808.56269814153848</v>
      </c>
    </row>
    <row r="7" spans="1:10" ht="15.6" x14ac:dyDescent="0.25">
      <c r="A7" s="240" t="s">
        <v>22</v>
      </c>
      <c r="B7" s="240" t="s">
        <v>196</v>
      </c>
      <c r="C7" s="241"/>
      <c r="D7" s="241"/>
      <c r="E7" s="241"/>
      <c r="F7" s="241"/>
      <c r="G7" s="241"/>
      <c r="H7" s="238"/>
      <c r="I7" s="238"/>
      <c r="J7" s="238"/>
    </row>
    <row r="8" spans="1:10" ht="15.6" x14ac:dyDescent="0.25">
      <c r="A8" s="242" t="s">
        <v>14</v>
      </c>
      <c r="B8" s="243" t="s">
        <v>271</v>
      </c>
      <c r="C8" s="244"/>
      <c r="D8" s="244"/>
      <c r="E8" s="244"/>
      <c r="F8" s="244"/>
      <c r="G8" s="244"/>
      <c r="H8" s="238"/>
      <c r="I8" s="238"/>
      <c r="J8" s="238"/>
    </row>
    <row r="9" spans="1:10" ht="124.8" x14ac:dyDescent="0.25">
      <c r="A9" s="352" t="s">
        <v>18</v>
      </c>
      <c r="B9" s="348" t="s">
        <v>436</v>
      </c>
      <c r="C9" s="348" t="s">
        <v>197</v>
      </c>
      <c r="D9" s="323">
        <v>4</v>
      </c>
      <c r="E9" s="349">
        <f>1848</f>
        <v>1848</v>
      </c>
      <c r="F9" s="349">
        <f>((E9/(1+0.05+0.02))*D9)*0.9</f>
        <v>6217.5700934579436</v>
      </c>
      <c r="G9" s="349" t="s">
        <v>716</v>
      </c>
      <c r="H9" s="389" t="s">
        <v>451</v>
      </c>
      <c r="I9" s="368" t="s">
        <v>670</v>
      </c>
      <c r="J9" s="640" t="s">
        <v>714</v>
      </c>
    </row>
    <row r="10" spans="1:10" ht="124.8" x14ac:dyDescent="0.25">
      <c r="A10" s="350"/>
      <c r="B10" s="351"/>
      <c r="C10" s="348"/>
      <c r="D10" s="323"/>
      <c r="E10" s="349">
        <f>2285</f>
        <v>2285</v>
      </c>
      <c r="F10" s="349">
        <f>(((((900000/1154780)^0.65)*2285))/(1+0.05))*D9</f>
        <v>7402.697670554242</v>
      </c>
      <c r="G10" s="349" t="s">
        <v>226</v>
      </c>
      <c r="H10" s="389" t="s">
        <v>715</v>
      </c>
      <c r="I10" s="238"/>
      <c r="J10" s="258"/>
    </row>
    <row r="11" spans="1:10" ht="15.6" x14ac:dyDescent="0.25">
      <c r="A11" s="1126" t="s">
        <v>240</v>
      </c>
      <c r="B11" s="1127"/>
      <c r="C11" s="1127"/>
      <c r="D11" s="1127"/>
      <c r="E11" s="1127"/>
      <c r="F11" s="1127"/>
      <c r="G11" s="1128"/>
      <c r="H11" s="247"/>
      <c r="I11" s="238"/>
      <c r="J11" s="258"/>
    </row>
    <row r="12" spans="1:10" ht="31.2" x14ac:dyDescent="0.25">
      <c r="A12" s="352" t="s">
        <v>198</v>
      </c>
      <c r="B12" s="251" t="s">
        <v>258</v>
      </c>
      <c r="C12" s="251" t="s">
        <v>201</v>
      </c>
      <c r="D12" s="251">
        <v>4</v>
      </c>
      <c r="E12" s="251">
        <f>14*1.5</f>
        <v>21</v>
      </c>
      <c r="F12" s="251">
        <f>D12*E12</f>
        <v>84</v>
      </c>
      <c r="G12" s="249" t="s">
        <v>230</v>
      </c>
      <c r="H12" s="238"/>
      <c r="I12" s="238"/>
      <c r="J12" s="238"/>
    </row>
    <row r="13" spans="1:10" ht="35.25" customHeight="1" x14ac:dyDescent="0.25">
      <c r="A13" s="352" t="s">
        <v>199</v>
      </c>
      <c r="B13" s="251" t="s">
        <v>254</v>
      </c>
      <c r="C13" s="251" t="s">
        <v>253</v>
      </c>
      <c r="D13" s="251">
        <v>1</v>
      </c>
      <c r="E13" s="251">
        <v>5</v>
      </c>
      <c r="F13" s="637">
        <f>D13*E13*0</f>
        <v>0</v>
      </c>
      <c r="G13" s="249" t="s">
        <v>230</v>
      </c>
      <c r="H13" s="368" t="s">
        <v>682</v>
      </c>
      <c r="I13" s="238"/>
      <c r="J13" s="259"/>
    </row>
    <row r="14" spans="1:10" ht="31.2" x14ac:dyDescent="0.25">
      <c r="A14" s="352" t="s">
        <v>200</v>
      </c>
      <c r="B14" s="636" t="s">
        <v>672</v>
      </c>
      <c r="C14" s="246" t="s">
        <v>202</v>
      </c>
      <c r="D14" s="247">
        <v>2</v>
      </c>
      <c r="E14" s="247">
        <v>15</v>
      </c>
      <c r="F14" s="249">
        <f>D14*E14</f>
        <v>30</v>
      </c>
      <c r="G14" s="249" t="s">
        <v>230</v>
      </c>
      <c r="H14" s="238"/>
      <c r="I14" s="238"/>
      <c r="J14" s="259"/>
    </row>
    <row r="15" spans="1:10" ht="31.2" x14ac:dyDescent="0.25">
      <c r="A15" s="352" t="s">
        <v>12</v>
      </c>
      <c r="B15" s="246" t="s">
        <v>252</v>
      </c>
      <c r="C15" s="246" t="s">
        <v>202</v>
      </c>
      <c r="D15" s="247">
        <v>4</v>
      </c>
      <c r="E15" s="247">
        <v>5</v>
      </c>
      <c r="F15" s="249">
        <f>D15*E15</f>
        <v>20</v>
      </c>
      <c r="G15" s="249" t="s">
        <v>230</v>
      </c>
      <c r="H15" s="238"/>
      <c r="I15" s="238"/>
      <c r="J15" s="259"/>
    </row>
    <row r="16" spans="1:10" ht="20.25" customHeight="1" x14ac:dyDescent="0.25">
      <c r="A16" s="245" t="s">
        <v>10</v>
      </c>
      <c r="B16" s="272" t="s">
        <v>255</v>
      </c>
      <c r="C16" s="238"/>
      <c r="D16" s="238"/>
      <c r="E16" s="238"/>
      <c r="F16" s="238"/>
      <c r="G16" s="238"/>
      <c r="H16" s="238"/>
      <c r="I16" s="238"/>
      <c r="J16" s="259"/>
    </row>
    <row r="17" spans="1:10" ht="21" customHeight="1" x14ac:dyDescent="0.25">
      <c r="A17" s="277" t="s">
        <v>440</v>
      </c>
      <c r="B17" s="269" t="s">
        <v>245</v>
      </c>
      <c r="C17" s="271" t="s">
        <v>197</v>
      </c>
      <c r="D17" s="353">
        <v>1</v>
      </c>
      <c r="E17" s="353">
        <v>650</v>
      </c>
      <c r="F17" s="354">
        <f>((D17*E17)/1.05)*0.8</f>
        <v>495.23809523809524</v>
      </c>
      <c r="G17" s="362" t="s">
        <v>446</v>
      </c>
      <c r="H17" s="368" t="s">
        <v>675</v>
      </c>
      <c r="I17" s="238"/>
      <c r="J17" s="259"/>
    </row>
    <row r="18" spans="1:10" ht="36" customHeight="1" x14ac:dyDescent="0.25">
      <c r="A18" s="277" t="s">
        <v>204</v>
      </c>
      <c r="B18" s="653" t="s">
        <v>246</v>
      </c>
      <c r="C18" s="654" t="s">
        <v>247</v>
      </c>
      <c r="D18" s="655">
        <v>4</v>
      </c>
      <c r="E18" s="656">
        <f>320000/100000</f>
        <v>3.2</v>
      </c>
      <c r="F18" s="355" t="e">
        <f>(E18*D18)*#REF!</f>
        <v>#REF!</v>
      </c>
      <c r="G18" s="249" t="s">
        <v>248</v>
      </c>
      <c r="H18" s="368" t="s">
        <v>442</v>
      </c>
      <c r="I18" s="238"/>
      <c r="J18" s="259"/>
    </row>
    <row r="19" spans="1:10" ht="26.25" customHeight="1" x14ac:dyDescent="0.25">
      <c r="A19" s="277" t="s">
        <v>206</v>
      </c>
      <c r="B19" s="657" t="s">
        <v>249</v>
      </c>
      <c r="C19" s="654" t="s">
        <v>247</v>
      </c>
      <c r="D19" s="658">
        <v>1</v>
      </c>
      <c r="E19" s="656">
        <f>2917373/100000</f>
        <v>29.173729999999999</v>
      </c>
      <c r="F19" s="356" t="e">
        <f>(E19*D19)*#REF!</f>
        <v>#REF!</v>
      </c>
      <c r="G19" s="249" t="s">
        <v>250</v>
      </c>
      <c r="H19" s="368" t="s">
        <v>443</v>
      </c>
      <c r="I19" s="238"/>
      <c r="J19" s="259"/>
    </row>
    <row r="20" spans="1:10" ht="32.25" customHeight="1" x14ac:dyDescent="0.25">
      <c r="A20" s="277" t="s">
        <v>441</v>
      </c>
      <c r="B20" s="269" t="s">
        <v>444</v>
      </c>
      <c r="C20" s="271" t="s">
        <v>270</v>
      </c>
      <c r="D20" s="361">
        <v>12</v>
      </c>
      <c r="E20" s="353">
        <v>0.9</v>
      </c>
      <c r="F20" s="356">
        <f>E20*D20</f>
        <v>10.8</v>
      </c>
      <c r="G20" s="363" t="s">
        <v>205</v>
      </c>
      <c r="H20" s="368" t="s">
        <v>448</v>
      </c>
      <c r="I20" s="238"/>
      <c r="J20" s="259"/>
    </row>
    <row r="21" spans="1:10" ht="33.75" customHeight="1" x14ac:dyDescent="0.25">
      <c r="A21" s="250"/>
      <c r="B21" s="1129" t="s">
        <v>227</v>
      </c>
      <c r="C21" s="1130"/>
      <c r="D21" s="1130"/>
      <c r="E21" s="1131"/>
      <c r="F21" s="263" t="e">
        <f>F9+F12+F13+F14+F15+F17+F18+F19+F20</f>
        <v>#REF!</v>
      </c>
      <c r="G21" s="249"/>
      <c r="H21" s="238"/>
      <c r="I21" s="238"/>
      <c r="J21" s="259"/>
    </row>
    <row r="22" spans="1:10" ht="25.5" customHeight="1" x14ac:dyDescent="0.25">
      <c r="A22" s="272" t="s">
        <v>11</v>
      </c>
      <c r="B22" s="272" t="s">
        <v>203</v>
      </c>
      <c r="C22" s="251"/>
      <c r="D22" s="251"/>
      <c r="E22" s="251"/>
      <c r="F22" s="251"/>
      <c r="G22" s="249"/>
      <c r="H22" s="238"/>
      <c r="I22" s="238"/>
      <c r="J22" s="259"/>
    </row>
    <row r="23" spans="1:10" ht="15.6" x14ac:dyDescent="0.25">
      <c r="A23" s="307" t="s">
        <v>18</v>
      </c>
      <c r="B23" s="247" t="s">
        <v>435</v>
      </c>
      <c r="C23" s="251" t="s">
        <v>210</v>
      </c>
      <c r="D23" s="251">
        <v>4</v>
      </c>
      <c r="E23" s="251">
        <v>1</v>
      </c>
      <c r="F23" s="251">
        <f>D23*E23</f>
        <v>4</v>
      </c>
      <c r="G23" s="249" t="s">
        <v>205</v>
      </c>
      <c r="H23" s="238"/>
      <c r="I23" s="238"/>
      <c r="J23" s="259"/>
    </row>
    <row r="24" spans="1:10" ht="27.75" customHeight="1" x14ac:dyDescent="0.25">
      <c r="A24" s="357" t="s">
        <v>198</v>
      </c>
      <c r="B24" s="273" t="s">
        <v>268</v>
      </c>
      <c r="C24" s="246" t="s">
        <v>269</v>
      </c>
      <c r="D24" s="247">
        <v>1</v>
      </c>
      <c r="E24" s="247"/>
      <c r="F24" s="637">
        <f>29.86*0+20</f>
        <v>20</v>
      </c>
      <c r="G24" s="249" t="s">
        <v>267</v>
      </c>
      <c r="H24" s="368" t="s">
        <v>681</v>
      </c>
      <c r="I24" s="238"/>
      <c r="J24" s="259"/>
    </row>
    <row r="25" spans="1:10" ht="21.75" customHeight="1" x14ac:dyDescent="0.25">
      <c r="A25" s="352" t="s">
        <v>199</v>
      </c>
      <c r="B25" s="246" t="s">
        <v>272</v>
      </c>
      <c r="C25" s="246" t="s">
        <v>197</v>
      </c>
      <c r="D25" s="247">
        <v>1</v>
      </c>
      <c r="E25" s="247"/>
      <c r="F25" s="251">
        <v>15</v>
      </c>
      <c r="G25" s="249" t="s">
        <v>230</v>
      </c>
      <c r="H25" s="238"/>
      <c r="I25" s="238"/>
      <c r="J25" s="259"/>
    </row>
    <row r="26" spans="1:10" ht="26.25" customHeight="1" x14ac:dyDescent="0.25">
      <c r="A26" s="352" t="s">
        <v>200</v>
      </c>
      <c r="B26" s="246" t="s">
        <v>207</v>
      </c>
      <c r="C26" s="246" t="s">
        <v>197</v>
      </c>
      <c r="D26" s="247">
        <v>1</v>
      </c>
      <c r="E26" s="247"/>
      <c r="F26" s="247">
        <v>5</v>
      </c>
      <c r="G26" s="249" t="s">
        <v>230</v>
      </c>
      <c r="H26" s="238"/>
      <c r="I26" s="238"/>
      <c r="J26" s="259"/>
    </row>
    <row r="27" spans="1:10" ht="20.100000000000001" customHeight="1" x14ac:dyDescent="0.25">
      <c r="A27" s="245"/>
      <c r="B27" s="1129" t="s">
        <v>228</v>
      </c>
      <c r="C27" s="1130"/>
      <c r="D27" s="1130"/>
      <c r="E27" s="1131"/>
      <c r="F27" s="264">
        <f>SUM(F23:F26)</f>
        <v>44</v>
      </c>
      <c r="G27" s="247"/>
      <c r="H27" s="238"/>
      <c r="I27" s="238"/>
      <c r="J27" s="259"/>
    </row>
    <row r="28" spans="1:10" ht="15.6" x14ac:dyDescent="0.25">
      <c r="A28" s="252" t="s">
        <v>256</v>
      </c>
      <c r="B28" s="253" t="s">
        <v>208</v>
      </c>
      <c r="C28" s="247"/>
      <c r="D28" s="247"/>
      <c r="E28" s="247"/>
      <c r="F28" s="247"/>
      <c r="G28" s="247"/>
      <c r="H28" s="238"/>
      <c r="I28" s="238"/>
      <c r="J28" s="259"/>
    </row>
    <row r="29" spans="1:10" ht="15.6" x14ac:dyDescent="0.3">
      <c r="A29" s="339" t="s">
        <v>22</v>
      </c>
      <c r="B29" s="274" t="s">
        <v>260</v>
      </c>
      <c r="C29" s="270"/>
      <c r="D29" s="275"/>
      <c r="E29" s="270"/>
      <c r="F29" s="270"/>
      <c r="G29" s="276"/>
      <c r="H29" s="238"/>
      <c r="I29" s="238"/>
      <c r="J29" s="259"/>
    </row>
    <row r="30" spans="1:10" ht="31.2" x14ac:dyDescent="0.3">
      <c r="A30" s="340"/>
      <c r="B30" s="341" t="s">
        <v>261</v>
      </c>
      <c r="C30" s="342" t="s">
        <v>197</v>
      </c>
      <c r="D30" s="343">
        <v>1</v>
      </c>
      <c r="E30" s="360">
        <v>270</v>
      </c>
      <c r="F30" s="659">
        <f>D30*E30*0.9</f>
        <v>243</v>
      </c>
      <c r="G30" s="358" t="s">
        <v>262</v>
      </c>
      <c r="H30" s="368" t="s">
        <v>680</v>
      </c>
      <c r="I30" s="238"/>
      <c r="J30" s="259"/>
    </row>
    <row r="31" spans="1:10" ht="15.6" x14ac:dyDescent="0.3">
      <c r="A31" s="340" t="s">
        <v>13</v>
      </c>
      <c r="B31" s="274" t="s">
        <v>263</v>
      </c>
      <c r="C31" s="342"/>
      <c r="D31" s="343"/>
      <c r="E31" s="344"/>
      <c r="F31" s="364"/>
      <c r="G31" s="345"/>
      <c r="H31" s="238"/>
      <c r="I31" s="238"/>
      <c r="J31" s="259"/>
    </row>
    <row r="32" spans="1:10" ht="46.8" x14ac:dyDescent="0.3">
      <c r="A32" s="340"/>
      <c r="B32" s="359" t="s">
        <v>438</v>
      </c>
      <c r="C32" s="346" t="s">
        <v>253</v>
      </c>
      <c r="D32" s="343">
        <v>1</v>
      </c>
      <c r="E32" s="360">
        <v>280</v>
      </c>
      <c r="F32" s="364">
        <f>(D32*E32)*1.2/1.3</f>
        <v>258.46153846153845</v>
      </c>
      <c r="G32" s="660" t="s">
        <v>717</v>
      </c>
      <c r="H32" s="368" t="s">
        <v>679</v>
      </c>
      <c r="I32" s="238"/>
      <c r="J32" s="259"/>
    </row>
    <row r="33" spans="1:10" ht="31.2" x14ac:dyDescent="0.3">
      <c r="A33" s="340"/>
      <c r="B33" s="341" t="s">
        <v>439</v>
      </c>
      <c r="C33" s="346" t="s">
        <v>253</v>
      </c>
      <c r="D33" s="343">
        <v>1</v>
      </c>
      <c r="E33" s="360">
        <v>15</v>
      </c>
      <c r="F33" s="364">
        <f>D33*E33</f>
        <v>15</v>
      </c>
      <c r="G33" s="358" t="s">
        <v>262</v>
      </c>
      <c r="H33" s="238"/>
      <c r="I33" s="238"/>
      <c r="J33" s="259"/>
    </row>
    <row r="34" spans="1:10" ht="15.6" x14ac:dyDescent="0.3">
      <c r="A34" s="340" t="s">
        <v>45</v>
      </c>
      <c r="B34" s="274" t="s">
        <v>264</v>
      </c>
      <c r="C34" s="342"/>
      <c r="D34" s="343"/>
      <c r="E34" s="360"/>
      <c r="F34" s="364"/>
      <c r="G34" s="345"/>
      <c r="H34" s="238"/>
      <c r="I34" s="238"/>
      <c r="J34" s="259"/>
    </row>
    <row r="35" spans="1:10" ht="31.2" x14ac:dyDescent="0.3">
      <c r="A35" s="340"/>
      <c r="B35" s="347" t="s">
        <v>265</v>
      </c>
      <c r="C35" s="346" t="s">
        <v>253</v>
      </c>
      <c r="D35" s="343">
        <v>1</v>
      </c>
      <c r="E35" s="360">
        <v>32</v>
      </c>
      <c r="F35" s="364">
        <f>D35*E35</f>
        <v>32</v>
      </c>
      <c r="G35" s="358" t="s">
        <v>262</v>
      </c>
      <c r="H35" s="238"/>
      <c r="I35" s="238"/>
      <c r="J35" s="259"/>
    </row>
    <row r="36" spans="1:10" ht="31.2" x14ac:dyDescent="0.3">
      <c r="A36" s="340"/>
      <c r="B36" s="347" t="s">
        <v>266</v>
      </c>
      <c r="C36" s="346" t="s">
        <v>197</v>
      </c>
      <c r="D36" s="343">
        <v>1</v>
      </c>
      <c r="E36" s="360">
        <v>6</v>
      </c>
      <c r="F36" s="364">
        <v>6</v>
      </c>
      <c r="G36" s="358" t="s">
        <v>262</v>
      </c>
      <c r="H36" s="238"/>
      <c r="I36" s="238"/>
      <c r="J36" s="259"/>
    </row>
    <row r="37" spans="1:10" ht="15.6" x14ac:dyDescent="0.25">
      <c r="A37" s="245"/>
      <c r="B37" s="1129" t="s">
        <v>229</v>
      </c>
      <c r="C37" s="1130"/>
      <c r="D37" s="1130"/>
      <c r="E37" s="1131"/>
      <c r="F37" s="264">
        <f>SUM(F30:F36)</f>
        <v>554.46153846153845</v>
      </c>
      <c r="G37" s="248"/>
      <c r="H37" s="238"/>
      <c r="I37" s="238"/>
      <c r="J37" s="259"/>
    </row>
    <row r="38" spans="1:10" ht="15.6" x14ac:dyDescent="0.25">
      <c r="A38" s="252" t="s">
        <v>257</v>
      </c>
      <c r="B38" s="253" t="s">
        <v>233</v>
      </c>
      <c r="C38" s="247"/>
      <c r="D38" s="247"/>
      <c r="E38" s="247"/>
      <c r="F38" s="247"/>
      <c r="G38" s="247"/>
      <c r="H38" s="238"/>
      <c r="I38" s="238"/>
      <c r="J38" s="259"/>
    </row>
    <row r="39" spans="1:10" ht="31.8" thickBot="1" x14ac:dyDescent="0.3">
      <c r="A39" s="265">
        <v>1</v>
      </c>
      <c r="B39" s="661" t="s">
        <v>231</v>
      </c>
      <c r="C39" s="662" t="s">
        <v>197</v>
      </c>
      <c r="D39" s="266">
        <v>1</v>
      </c>
      <c r="E39" s="367">
        <f>5975144.96/10^5</f>
        <v>59.751449600000001</v>
      </c>
      <c r="F39" s="663">
        <f>(D39*E39)*0.8</f>
        <v>47.801159680000005</v>
      </c>
      <c r="G39" s="267" t="s">
        <v>259</v>
      </c>
      <c r="H39" s="368" t="s">
        <v>677</v>
      </c>
      <c r="I39" s="238"/>
      <c r="J39" s="259"/>
    </row>
    <row r="40" spans="1:10" ht="63" thickBot="1" x14ac:dyDescent="0.3">
      <c r="A40" s="265">
        <v>2</v>
      </c>
      <c r="B40" s="664" t="s">
        <v>232</v>
      </c>
      <c r="C40" s="266" t="s">
        <v>665</v>
      </c>
      <c r="D40" s="266">
        <v>3</v>
      </c>
      <c r="E40" s="367">
        <f>(6525000/10^5)*0.5</f>
        <v>32.625</v>
      </c>
      <c r="F40" s="663">
        <f>(D40*E40)</f>
        <v>97.875</v>
      </c>
      <c r="G40" s="370" t="s">
        <v>666</v>
      </c>
      <c r="H40" s="368" t="s">
        <v>676</v>
      </c>
      <c r="I40" s="238"/>
      <c r="J40" s="259"/>
    </row>
    <row r="41" spans="1:10" ht="43.8" thickBot="1" x14ac:dyDescent="0.3">
      <c r="A41" s="265">
        <v>3</v>
      </c>
      <c r="B41" s="664" t="s">
        <v>667</v>
      </c>
      <c r="C41" s="266" t="s">
        <v>197</v>
      </c>
      <c r="D41" s="266">
        <v>1</v>
      </c>
      <c r="E41" s="365">
        <f>1750000/10^5</f>
        <v>17.5</v>
      </c>
      <c r="F41" s="365">
        <f>(D41*E41)</f>
        <v>17.5</v>
      </c>
      <c r="G41" s="267" t="s">
        <v>668</v>
      </c>
      <c r="H41" s="238"/>
      <c r="I41" s="238"/>
      <c r="J41" s="259"/>
    </row>
    <row r="42" spans="1:10" ht="15.6" x14ac:dyDescent="0.25">
      <c r="A42" s="247"/>
      <c r="B42" s="1142" t="s">
        <v>234</v>
      </c>
      <c r="C42" s="1143"/>
      <c r="D42" s="1143"/>
      <c r="E42" s="1144"/>
      <c r="F42" s="264">
        <f>SUM(F39:F41)</f>
        <v>163.17615968000001</v>
      </c>
      <c r="G42" s="247"/>
      <c r="H42" s="238"/>
      <c r="I42" s="238"/>
      <c r="J42" s="238"/>
    </row>
    <row r="43" spans="1:10" ht="14.1" customHeight="1" x14ac:dyDescent="0.25">
      <c r="A43" s="247"/>
      <c r="B43" s="1145" t="s">
        <v>235</v>
      </c>
      <c r="C43" s="1146"/>
      <c r="D43" s="1146"/>
      <c r="E43" s="1147"/>
      <c r="F43" s="366" t="e">
        <f>(F42+F37+F27+F21)</f>
        <v>#REF!</v>
      </c>
      <c r="G43" s="247"/>
      <c r="H43" s="238"/>
      <c r="I43" s="238"/>
      <c r="J43" s="238"/>
    </row>
    <row r="44" spans="1:10" ht="15.6" x14ac:dyDescent="0.25">
      <c r="A44" s="243" t="s">
        <v>13</v>
      </c>
      <c r="B44" s="243" t="s">
        <v>209</v>
      </c>
      <c r="C44" s="243"/>
      <c r="D44" s="243"/>
      <c r="E44" s="243"/>
      <c r="F44" s="243"/>
      <c r="G44" s="243"/>
      <c r="H44" s="238"/>
      <c r="I44" s="238"/>
      <c r="J44" s="238"/>
    </row>
    <row r="45" spans="1:10" ht="31.2" x14ac:dyDescent="0.25">
      <c r="A45" s="247" t="s">
        <v>18</v>
      </c>
      <c r="B45" s="249" t="s">
        <v>673</v>
      </c>
      <c r="C45" s="247" t="s">
        <v>210</v>
      </c>
      <c r="D45" s="637">
        <f>4*80</f>
        <v>320</v>
      </c>
      <c r="E45" s="247">
        <f>120000*0+100000</f>
        <v>100000</v>
      </c>
      <c r="F45" s="257">
        <f>D45*E45/10^5</f>
        <v>320</v>
      </c>
      <c r="G45" s="247" t="s">
        <v>205</v>
      </c>
      <c r="H45" s="368" t="s">
        <v>678</v>
      </c>
      <c r="I45" s="238"/>
      <c r="J45" s="238"/>
    </row>
    <row r="46" spans="1:10" ht="15.6" x14ac:dyDescent="0.25">
      <c r="A46" s="255"/>
      <c r="B46" s="255" t="s">
        <v>211</v>
      </c>
      <c r="C46" s="255"/>
      <c r="D46" s="255"/>
      <c r="E46" s="255"/>
      <c r="F46" s="255">
        <f>F45</f>
        <v>320</v>
      </c>
      <c r="G46" s="255"/>
      <c r="H46" s="238"/>
      <c r="I46" s="238"/>
      <c r="J46" s="238"/>
    </row>
    <row r="47" spans="1:10" ht="15.6" x14ac:dyDescent="0.25">
      <c r="A47" s="247"/>
      <c r="B47" s="247"/>
      <c r="C47" s="247"/>
      <c r="D47" s="247"/>
      <c r="E47" s="247"/>
      <c r="F47" s="247"/>
      <c r="G47" s="247"/>
      <c r="H47" s="238"/>
      <c r="I47" s="238"/>
      <c r="J47" s="238"/>
    </row>
    <row r="48" spans="1:10" ht="15.6" x14ac:dyDescent="0.25">
      <c r="A48" s="243" t="s">
        <v>45</v>
      </c>
      <c r="B48" s="243" t="s">
        <v>212</v>
      </c>
      <c r="C48" s="243"/>
      <c r="D48" s="243"/>
      <c r="E48" s="243"/>
      <c r="F48" s="243"/>
      <c r="G48" s="243"/>
      <c r="H48" s="238"/>
      <c r="I48" s="238"/>
      <c r="J48" s="238"/>
    </row>
    <row r="49" spans="1:10" ht="15.6" x14ac:dyDescent="0.25">
      <c r="A49" s="254">
        <v>1</v>
      </c>
      <c r="B49" s="246" t="s">
        <v>236</v>
      </c>
      <c r="C49" s="247" t="s">
        <v>9</v>
      </c>
      <c r="D49" s="247">
        <v>60</v>
      </c>
      <c r="E49" s="247">
        <v>90000</v>
      </c>
      <c r="F49" s="247">
        <f>(D49*E49)/10^5</f>
        <v>54</v>
      </c>
      <c r="G49" s="247" t="s">
        <v>205</v>
      </c>
      <c r="H49" s="238"/>
      <c r="I49" s="238"/>
      <c r="J49" s="238"/>
    </row>
    <row r="50" spans="1:10" ht="15.6" x14ac:dyDescent="0.25">
      <c r="A50" s="255"/>
      <c r="B50" s="255" t="s">
        <v>213</v>
      </c>
      <c r="C50" s="255"/>
      <c r="D50" s="255"/>
      <c r="E50" s="255"/>
      <c r="F50" s="255">
        <f>SUM(F49:F49)</f>
        <v>54</v>
      </c>
      <c r="G50" s="256"/>
      <c r="H50" s="238"/>
      <c r="I50" s="238"/>
      <c r="J50" s="238"/>
    </row>
    <row r="51" spans="1:10" ht="15.6" x14ac:dyDescent="0.25">
      <c r="A51" s="241"/>
      <c r="B51" s="241"/>
      <c r="C51" s="241"/>
      <c r="D51" s="241"/>
      <c r="E51" s="241"/>
      <c r="F51" s="241"/>
      <c r="G51" s="249"/>
      <c r="H51" s="238"/>
      <c r="I51" s="238"/>
      <c r="J51" s="238"/>
    </row>
    <row r="52" spans="1:10" ht="15.6" x14ac:dyDescent="0.25">
      <c r="A52" s="241"/>
      <c r="B52" s="241"/>
      <c r="C52" s="241"/>
      <c r="D52" s="241"/>
      <c r="E52" s="241"/>
      <c r="F52" s="262"/>
      <c r="G52" s="249"/>
      <c r="H52" s="238"/>
      <c r="I52" s="238"/>
      <c r="J52" s="238"/>
    </row>
    <row r="53" spans="1:10" ht="15.6" x14ac:dyDescent="0.25">
      <c r="A53" s="243" t="s">
        <v>222</v>
      </c>
      <c r="B53" s="243" t="s">
        <v>223</v>
      </c>
      <c r="C53" s="246"/>
      <c r="D53" s="246"/>
      <c r="E53" s="246"/>
      <c r="F53" s="246"/>
      <c r="G53" s="246"/>
      <c r="H53" s="238"/>
      <c r="I53" s="238"/>
      <c r="J53" s="238"/>
    </row>
    <row r="54" spans="1:10" ht="31.2" x14ac:dyDescent="0.25">
      <c r="A54" s="245" t="s">
        <v>18</v>
      </c>
      <c r="B54" s="247" t="s">
        <v>224</v>
      </c>
      <c r="C54" s="247" t="s">
        <v>9</v>
      </c>
      <c r="D54" s="246">
        <v>135</v>
      </c>
      <c r="E54" s="246">
        <f>8000*[2]Escalation!C48*0+9600*0+6000*0+12000</f>
        <v>12000</v>
      </c>
      <c r="F54" s="257">
        <f>D54*E54/10^5</f>
        <v>16.2</v>
      </c>
      <c r="G54" s="247" t="s">
        <v>450</v>
      </c>
      <c r="H54" s="238"/>
      <c r="I54" s="238"/>
      <c r="J54" s="238"/>
    </row>
    <row r="55" spans="1:10" ht="15.9" customHeight="1" x14ac:dyDescent="0.25">
      <c r="A55" s="245" t="s">
        <v>198</v>
      </c>
      <c r="B55" s="271" t="s">
        <v>445</v>
      </c>
      <c r="C55" s="247" t="s">
        <v>9</v>
      </c>
      <c r="D55" s="246">
        <v>6</v>
      </c>
      <c r="E55" s="246">
        <f>8000*[2]Escalation!C49*0+6000</f>
        <v>6000</v>
      </c>
      <c r="F55" s="257">
        <f>D55*E55/10^5</f>
        <v>0.36</v>
      </c>
      <c r="G55" s="247" t="s">
        <v>450</v>
      </c>
      <c r="H55" s="238"/>
      <c r="I55" s="238"/>
      <c r="J55" s="238"/>
    </row>
    <row r="56" spans="1:10" ht="17.100000000000001" customHeight="1" x14ac:dyDescent="0.25">
      <c r="A56" s="245" t="s">
        <v>199</v>
      </c>
      <c r="B56" s="636" t="s">
        <v>251</v>
      </c>
      <c r="C56" s="247" t="s">
        <v>9</v>
      </c>
      <c r="D56" s="246">
        <v>1400</v>
      </c>
      <c r="E56" s="246">
        <f>E54*1.2*0+12000*0+12000*0+8000</f>
        <v>8000</v>
      </c>
      <c r="F56" s="257">
        <f>D56*E56/10^5</f>
        <v>112</v>
      </c>
      <c r="G56" s="247" t="s">
        <v>450</v>
      </c>
      <c r="H56" s="238"/>
      <c r="I56" s="238"/>
      <c r="J56" s="238"/>
    </row>
    <row r="57" spans="1:10" ht="15.6" x14ac:dyDescent="0.25">
      <c r="A57" s="255"/>
      <c r="B57" s="255" t="s">
        <v>225</v>
      </c>
      <c r="C57" s="255"/>
      <c r="D57" s="255"/>
      <c r="E57" s="255"/>
      <c r="F57" s="261">
        <f>SUM(F54:F56)</f>
        <v>128.56</v>
      </c>
      <c r="G57" s="255"/>
      <c r="H57" s="238"/>
      <c r="I57" s="238"/>
      <c r="J57" s="238"/>
    </row>
    <row r="58" spans="1:10" ht="15.6" x14ac:dyDescent="0.25">
      <c r="A58" s="243" t="s">
        <v>144</v>
      </c>
      <c r="B58" s="243" t="s">
        <v>449</v>
      </c>
      <c r="C58" s="238"/>
      <c r="D58" s="238"/>
      <c r="E58" s="238"/>
      <c r="F58" s="238"/>
      <c r="G58" s="238"/>
      <c r="H58" s="238"/>
      <c r="I58" s="238"/>
      <c r="J58" s="238"/>
    </row>
    <row r="59" spans="1:10" ht="15.6" x14ac:dyDescent="0.25">
      <c r="A59" s="278"/>
      <c r="B59" s="279" t="s">
        <v>273</v>
      </c>
      <c r="C59" s="279" t="s">
        <v>15</v>
      </c>
      <c r="D59" s="280" t="s">
        <v>19</v>
      </c>
      <c r="E59" s="280" t="s">
        <v>274</v>
      </c>
      <c r="F59" s="247"/>
      <c r="G59" s="280" t="s">
        <v>275</v>
      </c>
      <c r="H59" s="238"/>
      <c r="I59" s="238"/>
      <c r="J59" s="238"/>
    </row>
    <row r="60" spans="1:10" ht="19.2" x14ac:dyDescent="0.25">
      <c r="A60" s="281"/>
      <c r="B60" s="282" t="s">
        <v>276</v>
      </c>
      <c r="C60" s="282"/>
      <c r="D60" s="282"/>
      <c r="E60" s="283"/>
      <c r="F60" s="247"/>
      <c r="G60" s="283"/>
      <c r="H60" s="238"/>
      <c r="I60" s="238"/>
      <c r="J60" s="238"/>
    </row>
    <row r="61" spans="1:10" ht="19.2" x14ac:dyDescent="0.25">
      <c r="A61" s="281" t="s">
        <v>22</v>
      </c>
      <c r="B61" s="284" t="s">
        <v>277</v>
      </c>
      <c r="C61" s="285" t="s">
        <v>278</v>
      </c>
      <c r="D61" s="382">
        <v>360</v>
      </c>
      <c r="E61" s="289">
        <f>(0.8*286.85)+(0.2*271.45)/1.15</f>
        <v>276.68869565217392</v>
      </c>
      <c r="F61" s="247">
        <f>(D61*E61)/10^5</f>
        <v>0.9960793043478261</v>
      </c>
      <c r="G61" s="289" t="s">
        <v>279</v>
      </c>
      <c r="H61" s="382">
        <v>360</v>
      </c>
      <c r="I61" s="238"/>
      <c r="J61" s="238"/>
    </row>
    <row r="62" spans="1:10" ht="19.2" x14ac:dyDescent="0.25">
      <c r="A62" s="281">
        <v>1</v>
      </c>
      <c r="B62" s="284" t="s">
        <v>280</v>
      </c>
      <c r="C62" s="285" t="s">
        <v>278</v>
      </c>
      <c r="D62" s="382">
        <v>10</v>
      </c>
      <c r="E62" s="289">
        <f>2161.2/1.15</f>
        <v>1879.304347826087</v>
      </c>
      <c r="F62" s="247">
        <f t="shared" ref="F62:F94" si="0">(D62*E62)/10^5</f>
        <v>0.18793043478260871</v>
      </c>
      <c r="G62" s="290">
        <v>2.27</v>
      </c>
      <c r="H62" s="382">
        <v>10</v>
      </c>
      <c r="I62" s="238"/>
      <c r="J62" s="238"/>
    </row>
    <row r="63" spans="1:10" ht="19.2" x14ac:dyDescent="0.45">
      <c r="A63" s="281">
        <v>2</v>
      </c>
      <c r="B63" s="284" t="s">
        <v>281</v>
      </c>
      <c r="C63" s="285" t="s">
        <v>278</v>
      </c>
      <c r="D63" s="382">
        <v>10</v>
      </c>
      <c r="E63" s="291">
        <f>(815+865.8)/1.15</f>
        <v>1461.5652173913045</v>
      </c>
      <c r="F63" s="247">
        <f t="shared" si="0"/>
        <v>0.14615652173913043</v>
      </c>
      <c r="G63" s="292" t="s">
        <v>282</v>
      </c>
      <c r="H63" s="382">
        <v>10</v>
      </c>
      <c r="I63" s="238"/>
      <c r="J63" s="238"/>
    </row>
    <row r="64" spans="1:10" ht="19.2" x14ac:dyDescent="0.25">
      <c r="A64" s="281" t="s">
        <v>13</v>
      </c>
      <c r="B64" s="282" t="s">
        <v>283</v>
      </c>
      <c r="C64" s="282"/>
      <c r="D64" s="383"/>
      <c r="E64" s="283"/>
      <c r="F64" s="247"/>
      <c r="G64" s="283"/>
      <c r="H64" s="383"/>
      <c r="I64" s="238"/>
      <c r="J64" s="238"/>
    </row>
    <row r="65" spans="1:10" ht="19.2" x14ac:dyDescent="0.25">
      <c r="A65" s="281">
        <v>1</v>
      </c>
      <c r="B65" s="284" t="s">
        <v>284</v>
      </c>
      <c r="C65" s="285" t="s">
        <v>278</v>
      </c>
      <c r="D65" s="382">
        <v>30</v>
      </c>
      <c r="E65" s="293">
        <f>(6670.25+307.95)/1.15</f>
        <v>6068</v>
      </c>
      <c r="F65" s="247">
        <f t="shared" si="0"/>
        <v>1.8204</v>
      </c>
      <c r="G65" s="292" t="s">
        <v>285</v>
      </c>
      <c r="H65" s="382">
        <v>30</v>
      </c>
      <c r="I65" s="238"/>
      <c r="J65" s="238"/>
    </row>
    <row r="66" spans="1:10" ht="19.2" x14ac:dyDescent="0.25">
      <c r="A66" s="281">
        <v>2</v>
      </c>
      <c r="B66" s="284" t="s">
        <v>286</v>
      </c>
      <c r="C66" s="285" t="s">
        <v>278</v>
      </c>
      <c r="D66" s="382">
        <v>70</v>
      </c>
      <c r="E66" s="289">
        <f>((7997.3*0.8)+(10080.15*0.2)+(6*(307.95*0.5+766.55*0.5)))/1.15</f>
        <v>10119.452173913045</v>
      </c>
      <c r="F66" s="247">
        <f t="shared" si="0"/>
        <v>7.083616521739132</v>
      </c>
      <c r="G66" s="289" t="s">
        <v>287</v>
      </c>
      <c r="H66" s="382">
        <v>70</v>
      </c>
      <c r="I66" s="238"/>
      <c r="J66" s="238"/>
    </row>
    <row r="67" spans="1:10" ht="19.2" x14ac:dyDescent="0.25">
      <c r="A67" s="281">
        <v>3</v>
      </c>
      <c r="B67" s="284" t="s">
        <v>288</v>
      </c>
      <c r="C67" s="285" t="s">
        <v>289</v>
      </c>
      <c r="D67" s="382">
        <v>10</v>
      </c>
      <c r="E67" s="295">
        <f>(89.65*1000)/1.15</f>
        <v>77956.521739130447</v>
      </c>
      <c r="F67" s="247">
        <f t="shared" si="0"/>
        <v>7.7956521739130444</v>
      </c>
      <c r="G67" s="296" t="s">
        <v>290</v>
      </c>
      <c r="H67" s="382">
        <v>10</v>
      </c>
      <c r="I67" s="238"/>
      <c r="J67" s="238"/>
    </row>
    <row r="68" spans="1:10" ht="19.2" x14ac:dyDescent="0.25">
      <c r="A68" s="281">
        <v>4</v>
      </c>
      <c r="B68" s="284" t="s">
        <v>291</v>
      </c>
      <c r="C68" s="285" t="s">
        <v>292</v>
      </c>
      <c r="D68" s="382">
        <v>10</v>
      </c>
      <c r="E68" s="289">
        <f>370.85/1.15</f>
        <v>322.47826086956525</v>
      </c>
      <c r="F68" s="247">
        <f t="shared" si="0"/>
        <v>3.2247826086956526E-2</v>
      </c>
      <c r="G68" s="290" t="s">
        <v>293</v>
      </c>
      <c r="H68" s="382">
        <v>10</v>
      </c>
      <c r="I68" s="238"/>
      <c r="J68" s="238"/>
    </row>
    <row r="69" spans="1:10" ht="15" customHeight="1" x14ac:dyDescent="0.25">
      <c r="A69" s="281">
        <v>5</v>
      </c>
      <c r="B69" s="284" t="s">
        <v>294</v>
      </c>
      <c r="C69" s="285" t="s">
        <v>292</v>
      </c>
      <c r="D69" s="382">
        <v>10</v>
      </c>
      <c r="E69" s="289">
        <f>681.65/1.15</f>
        <v>592.73913043478262</v>
      </c>
      <c r="F69" s="247">
        <f t="shared" si="0"/>
        <v>5.927391304347826E-2</v>
      </c>
      <c r="G69" s="290" t="s">
        <v>295</v>
      </c>
      <c r="H69" s="382">
        <v>10</v>
      </c>
      <c r="I69" s="238"/>
      <c r="J69" s="238"/>
    </row>
    <row r="70" spans="1:10" ht="19.2" x14ac:dyDescent="0.25">
      <c r="A70" s="281">
        <v>6</v>
      </c>
      <c r="B70" s="284" t="s">
        <v>296</v>
      </c>
      <c r="C70" s="285" t="s">
        <v>278</v>
      </c>
      <c r="D70" s="382">
        <v>20</v>
      </c>
      <c r="E70" s="289">
        <f>9673.5/1.15</f>
        <v>8411.7391304347839</v>
      </c>
      <c r="F70" s="247">
        <f t="shared" si="0"/>
        <v>1.6823478260869569</v>
      </c>
      <c r="G70" s="290" t="s">
        <v>297</v>
      </c>
      <c r="H70" s="382">
        <v>20</v>
      </c>
      <c r="I70" s="238"/>
      <c r="J70" s="238"/>
    </row>
    <row r="71" spans="1:10" ht="24" customHeight="1" x14ac:dyDescent="0.25">
      <c r="A71" s="281" t="s">
        <v>45</v>
      </c>
      <c r="B71" s="282" t="s">
        <v>298</v>
      </c>
      <c r="C71" s="282"/>
      <c r="D71" s="384"/>
      <c r="E71" s="283"/>
      <c r="F71" s="247"/>
      <c r="G71" s="283"/>
      <c r="H71" s="384"/>
      <c r="I71" s="238"/>
      <c r="J71" s="238"/>
    </row>
    <row r="72" spans="1:10" ht="18.75" customHeight="1" x14ac:dyDescent="0.3">
      <c r="A72" s="281">
        <v>1</v>
      </c>
      <c r="B72" s="665" t="s">
        <v>299</v>
      </c>
      <c r="C72" s="285" t="s">
        <v>278</v>
      </c>
      <c r="D72" s="666">
        <v>10</v>
      </c>
      <c r="E72" s="297">
        <f>8414.65/1.15</f>
        <v>7317.086956521739</v>
      </c>
      <c r="F72" s="247">
        <f t="shared" si="0"/>
        <v>0.73170869565217389</v>
      </c>
      <c r="G72" s="290" t="s">
        <v>215</v>
      </c>
      <c r="H72" s="382">
        <v>10</v>
      </c>
      <c r="I72" s="238"/>
      <c r="J72" s="238"/>
    </row>
    <row r="73" spans="1:10" ht="36" customHeight="1" x14ac:dyDescent="0.25">
      <c r="A73" s="281" t="s">
        <v>144</v>
      </c>
      <c r="B73" s="282" t="s">
        <v>300</v>
      </c>
      <c r="C73" s="282"/>
      <c r="D73" s="384"/>
      <c r="E73" s="283"/>
      <c r="F73" s="247"/>
      <c r="G73" s="283"/>
      <c r="H73" s="384"/>
      <c r="I73" s="238"/>
      <c r="J73" s="238"/>
    </row>
    <row r="74" spans="1:10" ht="19.2" x14ac:dyDescent="0.45">
      <c r="A74" s="281">
        <v>1</v>
      </c>
      <c r="B74" s="284" t="s">
        <v>301</v>
      </c>
      <c r="C74" s="285" t="s">
        <v>292</v>
      </c>
      <c r="D74" s="382">
        <v>10</v>
      </c>
      <c r="E74" s="291">
        <f>545/1.15</f>
        <v>473.91304347826093</v>
      </c>
      <c r="F74" s="247">
        <f t="shared" si="0"/>
        <v>4.739130434782609E-2</v>
      </c>
      <c r="G74" s="290" t="s">
        <v>219</v>
      </c>
      <c r="H74" s="382">
        <v>10</v>
      </c>
      <c r="I74" s="238"/>
      <c r="J74" s="238"/>
    </row>
    <row r="75" spans="1:10" ht="19.2" x14ac:dyDescent="0.45">
      <c r="A75" s="281">
        <v>2</v>
      </c>
      <c r="B75" s="298" t="s">
        <v>302</v>
      </c>
      <c r="C75" s="285" t="s">
        <v>292</v>
      </c>
      <c r="D75" s="382">
        <v>220</v>
      </c>
      <c r="E75" s="291">
        <f>5407.15/1.15</f>
        <v>4701.869565217391</v>
      </c>
      <c r="F75" s="247">
        <f t="shared" si="0"/>
        <v>10.344113043478261</v>
      </c>
      <c r="G75" s="291" t="s">
        <v>303</v>
      </c>
      <c r="H75" s="382">
        <v>220</v>
      </c>
      <c r="I75" s="238"/>
      <c r="J75" s="238"/>
    </row>
    <row r="76" spans="1:10" ht="19.2" x14ac:dyDescent="0.45">
      <c r="A76" s="281" t="s">
        <v>146</v>
      </c>
      <c r="B76" s="298" t="s">
        <v>304</v>
      </c>
      <c r="C76" s="285" t="s">
        <v>292</v>
      </c>
      <c r="D76" s="382">
        <v>20</v>
      </c>
      <c r="E76" s="291">
        <f>1225.1/1.15</f>
        <v>1065.304347826087</v>
      </c>
      <c r="F76" s="247">
        <f t="shared" si="0"/>
        <v>0.21306086956521739</v>
      </c>
      <c r="G76" s="291" t="s">
        <v>305</v>
      </c>
      <c r="H76" s="382">
        <v>20</v>
      </c>
      <c r="I76" s="238"/>
      <c r="J76" s="238"/>
    </row>
    <row r="77" spans="1:10" ht="17.25" hidden="1" customHeight="1" x14ac:dyDescent="0.25">
      <c r="A77" s="281" t="s">
        <v>144</v>
      </c>
      <c r="B77" s="282" t="s">
        <v>306</v>
      </c>
      <c r="C77" s="285"/>
      <c r="D77" s="278"/>
      <c r="E77" s="281"/>
      <c r="F77" s="247"/>
      <c r="G77" s="299"/>
      <c r="H77" s="278"/>
      <c r="I77" s="238"/>
      <c r="J77" s="238"/>
    </row>
    <row r="78" spans="1:10" ht="17.25" hidden="1" customHeight="1" x14ac:dyDescent="0.45">
      <c r="A78" s="281">
        <v>1</v>
      </c>
      <c r="B78" s="284" t="s">
        <v>307</v>
      </c>
      <c r="C78" s="285" t="s">
        <v>292</v>
      </c>
      <c r="D78" s="382">
        <v>60</v>
      </c>
      <c r="E78" s="291">
        <f>(466.3*15+1325.55)/1.15</f>
        <v>7234.826086956522</v>
      </c>
      <c r="F78" s="247">
        <f t="shared" si="0"/>
        <v>4.3408956521739128</v>
      </c>
      <c r="G78" s="290" t="s">
        <v>308</v>
      </c>
      <c r="H78" s="382">
        <v>60</v>
      </c>
      <c r="I78" s="238"/>
      <c r="J78" s="238"/>
    </row>
    <row r="79" spans="1:10" ht="38.25" customHeight="1" x14ac:dyDescent="0.25">
      <c r="A79" s="281" t="s">
        <v>309</v>
      </c>
      <c r="B79" s="282" t="s">
        <v>310</v>
      </c>
      <c r="C79" s="282"/>
      <c r="D79" s="384"/>
      <c r="E79" s="283"/>
      <c r="F79" s="247"/>
      <c r="G79" s="283"/>
      <c r="H79" s="384"/>
      <c r="I79" s="238"/>
      <c r="J79" s="238"/>
    </row>
    <row r="80" spans="1:10" ht="34.5" hidden="1" customHeight="1" x14ac:dyDescent="0.25">
      <c r="A80" s="281">
        <v>1</v>
      </c>
      <c r="B80" s="284" t="s">
        <v>311</v>
      </c>
      <c r="C80" s="285" t="s">
        <v>292</v>
      </c>
      <c r="D80" s="382">
        <v>40</v>
      </c>
      <c r="E80" s="289">
        <f>402.15/1.15</f>
        <v>349.69565217391306</v>
      </c>
      <c r="F80" s="247">
        <f t="shared" si="0"/>
        <v>0.13987826086956523</v>
      </c>
      <c r="G80" s="290" t="s">
        <v>312</v>
      </c>
      <c r="H80" s="382">
        <v>40</v>
      </c>
      <c r="I80" s="238"/>
      <c r="J80" s="238"/>
    </row>
    <row r="81" spans="1:10" ht="34.5" hidden="1" customHeight="1" x14ac:dyDescent="0.25">
      <c r="A81" s="281">
        <v>2</v>
      </c>
      <c r="B81" s="284" t="s">
        <v>313</v>
      </c>
      <c r="C81" s="285" t="s">
        <v>292</v>
      </c>
      <c r="D81" s="382">
        <v>90</v>
      </c>
      <c r="E81" s="289">
        <f>339.7/1.15</f>
        <v>295.39130434782612</v>
      </c>
      <c r="F81" s="247">
        <f t="shared" si="0"/>
        <v>0.2658521739130435</v>
      </c>
      <c r="G81" s="290" t="s">
        <v>314</v>
      </c>
      <c r="H81" s="382">
        <v>90</v>
      </c>
      <c r="I81" s="238"/>
      <c r="J81" s="238"/>
    </row>
    <row r="82" spans="1:10" ht="24" customHeight="1" x14ac:dyDescent="0.45">
      <c r="A82" s="281">
        <v>3</v>
      </c>
      <c r="B82" s="284" t="s">
        <v>315</v>
      </c>
      <c r="C82" s="285" t="s">
        <v>292</v>
      </c>
      <c r="D82" s="382">
        <v>10</v>
      </c>
      <c r="E82" s="300">
        <f>253.05/1.15</f>
        <v>220.04347826086959</v>
      </c>
      <c r="F82" s="247">
        <f t="shared" si="0"/>
        <v>2.200434782608696E-2</v>
      </c>
      <c r="G82" s="290" t="s">
        <v>316</v>
      </c>
      <c r="H82" s="382">
        <v>10</v>
      </c>
      <c r="I82" s="238"/>
      <c r="J82" s="238"/>
    </row>
    <row r="83" spans="1:10" ht="25.5" customHeight="1" x14ac:dyDescent="0.45">
      <c r="A83" s="281">
        <v>4</v>
      </c>
      <c r="B83" s="284" t="s">
        <v>317</v>
      </c>
      <c r="C83" s="285" t="s">
        <v>292</v>
      </c>
      <c r="D83" s="382">
        <v>1390</v>
      </c>
      <c r="E83" s="301">
        <f>137.85/1.15</f>
        <v>119.86956521739131</v>
      </c>
      <c r="F83" s="247">
        <f t="shared" si="0"/>
        <v>1.6661869565217391</v>
      </c>
      <c r="G83" s="290" t="s">
        <v>318</v>
      </c>
      <c r="H83" s="382">
        <v>1390</v>
      </c>
      <c r="I83" s="238"/>
      <c r="J83" s="238"/>
    </row>
    <row r="84" spans="1:10" ht="33" customHeight="1" x14ac:dyDescent="0.45">
      <c r="A84" s="281">
        <v>5</v>
      </c>
      <c r="B84" s="284" t="s">
        <v>319</v>
      </c>
      <c r="C84" s="285" t="s">
        <v>292</v>
      </c>
      <c r="D84" s="382">
        <v>70</v>
      </c>
      <c r="E84" s="291">
        <f>32.45/1.15</f>
        <v>28.217391304347831</v>
      </c>
      <c r="F84" s="247">
        <f t="shared" si="0"/>
        <v>1.9752173913043482E-2</v>
      </c>
      <c r="G84" s="290" t="s">
        <v>217</v>
      </c>
      <c r="H84" s="382">
        <v>70</v>
      </c>
      <c r="I84" s="238"/>
      <c r="J84" s="238"/>
    </row>
    <row r="85" spans="1:10" ht="38.4" x14ac:dyDescent="0.25">
      <c r="A85" s="281">
        <v>6</v>
      </c>
      <c r="B85" s="284" t="s">
        <v>320</v>
      </c>
      <c r="C85" s="285" t="s">
        <v>292</v>
      </c>
      <c r="D85" s="382">
        <v>40</v>
      </c>
      <c r="E85" s="289">
        <f>166.85/1.15</f>
        <v>145.08695652173913</v>
      </c>
      <c r="F85" s="247">
        <f t="shared" si="0"/>
        <v>5.8034782608695649E-2</v>
      </c>
      <c r="G85" s="290" t="s">
        <v>218</v>
      </c>
      <c r="H85" s="382">
        <v>40</v>
      </c>
      <c r="I85" s="238"/>
      <c r="J85" s="238"/>
    </row>
    <row r="86" spans="1:10" ht="19.2" x14ac:dyDescent="0.25">
      <c r="A86" s="281">
        <v>7</v>
      </c>
      <c r="B86" s="284" t="s">
        <v>321</v>
      </c>
      <c r="C86" s="285" t="s">
        <v>292</v>
      </c>
      <c r="D86" s="382">
        <v>20</v>
      </c>
      <c r="E86" s="289">
        <f>534.1/1.15</f>
        <v>464.43478260869568</v>
      </c>
      <c r="F86" s="247">
        <f t="shared" si="0"/>
        <v>9.2886956521739145E-2</v>
      </c>
      <c r="G86" s="302" t="s">
        <v>322</v>
      </c>
      <c r="H86" s="382">
        <v>20</v>
      </c>
      <c r="I86" s="238"/>
      <c r="J86" s="238"/>
    </row>
    <row r="87" spans="1:10" ht="19.2" x14ac:dyDescent="0.25">
      <c r="A87" s="281">
        <v>9</v>
      </c>
      <c r="B87" s="284" t="s">
        <v>323</v>
      </c>
      <c r="C87" s="303" t="s">
        <v>292</v>
      </c>
      <c r="D87" s="382">
        <v>230</v>
      </c>
      <c r="E87" s="289">
        <f>1693.65/1.15</f>
        <v>1472.7391304347827</v>
      </c>
      <c r="F87" s="247">
        <f t="shared" si="0"/>
        <v>3.3873000000000006</v>
      </c>
      <c r="G87" s="289" t="s">
        <v>324</v>
      </c>
      <c r="H87" s="382">
        <v>230</v>
      </c>
      <c r="I87" s="238"/>
      <c r="J87" s="238"/>
    </row>
    <row r="88" spans="1:10" ht="19.2" x14ac:dyDescent="0.45">
      <c r="A88" s="281">
        <v>10</v>
      </c>
      <c r="B88" s="284" t="s">
        <v>216</v>
      </c>
      <c r="C88" s="303" t="s">
        <v>292</v>
      </c>
      <c r="D88" s="382">
        <v>70</v>
      </c>
      <c r="E88" s="291">
        <f>32.45/1.15</f>
        <v>28.217391304347831</v>
      </c>
      <c r="F88" s="247">
        <f t="shared" si="0"/>
        <v>1.9752173913043482E-2</v>
      </c>
      <c r="G88" s="289" t="s">
        <v>217</v>
      </c>
      <c r="H88" s="382">
        <v>70</v>
      </c>
      <c r="I88" s="238"/>
      <c r="J88" s="238"/>
    </row>
    <row r="89" spans="1:10" ht="19.2" x14ac:dyDescent="0.25">
      <c r="A89" s="281" t="s">
        <v>222</v>
      </c>
      <c r="B89" s="282" t="s">
        <v>325</v>
      </c>
      <c r="C89" s="282"/>
      <c r="D89" s="384"/>
      <c r="E89" s="283"/>
      <c r="F89" s="247"/>
      <c r="G89" s="283"/>
      <c r="H89" s="384"/>
      <c r="I89" s="238"/>
      <c r="J89" s="238"/>
    </row>
    <row r="90" spans="1:10" ht="38.4" x14ac:dyDescent="0.25">
      <c r="A90" s="281">
        <v>1</v>
      </c>
      <c r="B90" s="665" t="s">
        <v>326</v>
      </c>
      <c r="C90" s="285" t="s">
        <v>278</v>
      </c>
      <c r="D90" s="382">
        <v>1600</v>
      </c>
      <c r="E90" s="371">
        <f>2928.1/1.15</f>
        <v>2546.1739130434785</v>
      </c>
      <c r="F90" s="247">
        <f t="shared" si="0"/>
        <v>40.738782608695651</v>
      </c>
      <c r="G90" s="304">
        <v>15.3</v>
      </c>
      <c r="H90" s="382">
        <v>1600</v>
      </c>
      <c r="I90" s="238"/>
      <c r="J90" s="238"/>
    </row>
    <row r="91" spans="1:10" ht="109.2" x14ac:dyDescent="0.45">
      <c r="A91" s="281">
        <v>2</v>
      </c>
      <c r="B91" s="305" t="s">
        <v>327</v>
      </c>
      <c r="C91" s="285" t="s">
        <v>292</v>
      </c>
      <c r="D91" s="667">
        <f>3000*0+1500</f>
        <v>1500</v>
      </c>
      <c r="E91" s="291">
        <v>3000</v>
      </c>
      <c r="F91" s="247">
        <f t="shared" si="0"/>
        <v>45</v>
      </c>
      <c r="G91" s="304" t="s">
        <v>328</v>
      </c>
      <c r="H91" s="639">
        <v>1500</v>
      </c>
      <c r="I91" s="368" t="s">
        <v>683</v>
      </c>
      <c r="J91" s="238"/>
    </row>
    <row r="92" spans="1:10" ht="19.8" thickBot="1" x14ac:dyDescent="0.3">
      <c r="A92" s="281" t="s">
        <v>329</v>
      </c>
      <c r="B92" s="282" t="s">
        <v>330</v>
      </c>
      <c r="C92" s="282"/>
      <c r="D92" s="384"/>
      <c r="E92" s="283"/>
      <c r="F92" s="247"/>
      <c r="G92" s="283"/>
      <c r="H92" s="384"/>
      <c r="I92" s="238"/>
      <c r="J92" s="238"/>
    </row>
    <row r="93" spans="1:10" ht="15.75" customHeight="1" thickBot="1" x14ac:dyDescent="0.3">
      <c r="A93" s="650" t="s">
        <v>331</v>
      </c>
      <c r="B93" s="305" t="s">
        <v>332</v>
      </c>
      <c r="C93" s="651" t="s">
        <v>202</v>
      </c>
      <c r="D93" s="385">
        <v>2</v>
      </c>
      <c r="E93" s="371">
        <f>7308.15/1.15</f>
        <v>6354.913043478261</v>
      </c>
      <c r="F93" s="323">
        <f t="shared" si="0"/>
        <v>0.12709826086956522</v>
      </c>
      <c r="G93" s="372" t="s">
        <v>333</v>
      </c>
      <c r="H93" s="385">
        <v>2</v>
      </c>
      <c r="I93" s="238"/>
      <c r="J93" s="238"/>
    </row>
    <row r="94" spans="1:10" ht="15.75" customHeight="1" thickBot="1" x14ac:dyDescent="0.3">
      <c r="A94" s="650" t="s">
        <v>334</v>
      </c>
      <c r="B94" s="305" t="s">
        <v>335</v>
      </c>
      <c r="C94" s="307" t="s">
        <v>336</v>
      </c>
      <c r="D94" s="386">
        <v>30</v>
      </c>
      <c r="E94" s="289">
        <f>1077.4/1.15</f>
        <v>936.86956521739148</v>
      </c>
      <c r="F94" s="323">
        <f t="shared" si="0"/>
        <v>0.28106086956521742</v>
      </c>
      <c r="G94" s="306" t="s">
        <v>337</v>
      </c>
      <c r="H94" s="386">
        <v>30</v>
      </c>
      <c r="I94" s="238"/>
      <c r="J94" s="238"/>
    </row>
    <row r="95" spans="1:10" ht="39" customHeight="1" thickBot="1" x14ac:dyDescent="0.3">
      <c r="A95" s="1121" t="s">
        <v>338</v>
      </c>
      <c r="B95" s="305" t="s">
        <v>339</v>
      </c>
      <c r="C95" s="307"/>
      <c r="D95" s="387"/>
      <c r="E95" s="308"/>
      <c r="F95" s="247"/>
      <c r="G95" s="309"/>
      <c r="H95" s="387"/>
      <c r="I95" s="238"/>
      <c r="J95" s="238"/>
    </row>
    <row r="96" spans="1:10" ht="18.75" hidden="1" customHeight="1" thickBot="1" x14ac:dyDescent="0.3">
      <c r="A96" s="1123"/>
      <c r="B96" s="305" t="s">
        <v>340</v>
      </c>
      <c r="C96" s="307" t="s">
        <v>336</v>
      </c>
      <c r="D96" s="386">
        <v>60</v>
      </c>
      <c r="E96" s="289">
        <f>1293.9/1.15</f>
        <v>1125.130434782609</v>
      </c>
      <c r="F96" s="247">
        <f>(D96*E96)/10^5</f>
        <v>0.67507826086956546</v>
      </c>
      <c r="G96" s="309" t="s">
        <v>341</v>
      </c>
      <c r="H96" s="386">
        <v>60</v>
      </c>
      <c r="I96" s="238"/>
      <c r="J96" s="238"/>
    </row>
    <row r="97" spans="1:10" ht="15" customHeight="1" thickBot="1" x14ac:dyDescent="0.3">
      <c r="A97" s="650" t="s">
        <v>342</v>
      </c>
      <c r="B97" s="305" t="s">
        <v>343</v>
      </c>
      <c r="C97" s="310" t="s">
        <v>336</v>
      </c>
      <c r="D97" s="386">
        <v>20</v>
      </c>
      <c r="E97" s="289">
        <f>1077.4/1.15</f>
        <v>936.86956521739148</v>
      </c>
      <c r="F97" s="247">
        <f>(D97*E97)/10^5</f>
        <v>0.18737391304347831</v>
      </c>
      <c r="G97" s="309" t="s">
        <v>344</v>
      </c>
      <c r="H97" s="386">
        <v>20</v>
      </c>
      <c r="I97" s="238"/>
      <c r="J97" s="238"/>
    </row>
    <row r="98" spans="1:10" ht="158.4" thickBot="1" x14ac:dyDescent="0.3">
      <c r="A98" s="1121" t="s">
        <v>345</v>
      </c>
      <c r="B98" s="305" t="s">
        <v>346</v>
      </c>
      <c r="C98" s="307"/>
      <c r="D98" s="387"/>
      <c r="E98" s="308"/>
      <c r="F98" s="247"/>
      <c r="G98" s="309" t="s">
        <v>347</v>
      </c>
      <c r="H98" s="387"/>
      <c r="I98" s="238"/>
      <c r="J98" s="238"/>
    </row>
    <row r="99" spans="1:10" ht="19.8" thickBot="1" x14ac:dyDescent="0.3">
      <c r="A99" s="1122"/>
      <c r="B99" s="305" t="s">
        <v>348</v>
      </c>
      <c r="C99" s="307" t="s">
        <v>336</v>
      </c>
      <c r="D99" s="386">
        <v>30</v>
      </c>
      <c r="E99" s="289">
        <f>441.15/1.15</f>
        <v>383.60869565217394</v>
      </c>
      <c r="F99" s="323">
        <f>(D99*E99)/10^5</f>
        <v>0.11508260869565218</v>
      </c>
      <c r="G99" s="309" t="s">
        <v>349</v>
      </c>
      <c r="H99" s="386">
        <v>30</v>
      </c>
      <c r="I99" s="238"/>
      <c r="J99" s="238"/>
    </row>
    <row r="100" spans="1:10" ht="19.8" thickBot="1" x14ac:dyDescent="0.3">
      <c r="A100" s="1122"/>
      <c r="B100" s="305" t="s">
        <v>350</v>
      </c>
      <c r="C100" s="307" t="s">
        <v>336</v>
      </c>
      <c r="D100" s="386">
        <v>50</v>
      </c>
      <c r="E100" s="289">
        <f>513.75/1.15</f>
        <v>446.73913043478262</v>
      </c>
      <c r="F100" s="323">
        <f>(D100*E100)/10^5</f>
        <v>0.22336956521739132</v>
      </c>
      <c r="G100" s="309" t="s">
        <v>351</v>
      </c>
      <c r="H100" s="386">
        <v>50</v>
      </c>
      <c r="I100" s="238"/>
      <c r="J100" s="238"/>
    </row>
    <row r="101" spans="1:10" ht="24" customHeight="1" thickBot="1" x14ac:dyDescent="0.3">
      <c r="A101" s="1123"/>
      <c r="B101" s="305" t="s">
        <v>352</v>
      </c>
      <c r="C101" s="307" t="s">
        <v>336</v>
      </c>
      <c r="D101" s="386">
        <v>20</v>
      </c>
      <c r="E101" s="289">
        <f>626.05/1.15</f>
        <v>544.39130434782612</v>
      </c>
      <c r="F101" s="323">
        <f>(D101*E101)/10^5</f>
        <v>0.10887826086956522</v>
      </c>
      <c r="G101" s="309" t="s">
        <v>353</v>
      </c>
      <c r="H101" s="386">
        <v>20</v>
      </c>
      <c r="I101" s="238"/>
      <c r="J101" s="238"/>
    </row>
    <row r="102" spans="1:10" ht="111.6" thickBot="1" x14ac:dyDescent="0.3">
      <c r="A102" s="1132" t="s">
        <v>345</v>
      </c>
      <c r="B102" s="305" t="s">
        <v>354</v>
      </c>
      <c r="C102" s="311"/>
      <c r="D102" s="387"/>
      <c r="E102" s="312"/>
      <c r="F102" s="247"/>
      <c r="G102" s="309"/>
      <c r="H102" s="387"/>
      <c r="I102" s="238"/>
      <c r="J102" s="238"/>
    </row>
    <row r="103" spans="1:10" ht="19.8" thickBot="1" x14ac:dyDescent="0.3">
      <c r="A103" s="1133"/>
      <c r="B103" s="305" t="s">
        <v>355</v>
      </c>
      <c r="C103" s="307" t="s">
        <v>336</v>
      </c>
      <c r="D103" s="386">
        <v>80</v>
      </c>
      <c r="E103" s="313">
        <f>370.65/1.15</f>
        <v>322.30434782608694</v>
      </c>
      <c r="F103" s="323">
        <f t="shared" ref="F103:F109" si="1">(D103*E103)/10^5</f>
        <v>0.25784347826086956</v>
      </c>
      <c r="G103" s="309" t="s">
        <v>356</v>
      </c>
      <c r="H103" s="386">
        <v>80</v>
      </c>
      <c r="I103" s="238"/>
      <c r="J103" s="238"/>
    </row>
    <row r="104" spans="1:10" ht="24.9" customHeight="1" thickBot="1" x14ac:dyDescent="0.3">
      <c r="A104" s="1134"/>
      <c r="B104" s="305" t="s">
        <v>357</v>
      </c>
      <c r="C104" s="307" t="s">
        <v>336</v>
      </c>
      <c r="D104" s="386">
        <v>20</v>
      </c>
      <c r="E104" s="289">
        <f>435.05/1.15</f>
        <v>378.304347826087</v>
      </c>
      <c r="F104" s="323">
        <f t="shared" si="1"/>
        <v>7.5660869565217392E-2</v>
      </c>
      <c r="G104" s="309" t="s">
        <v>358</v>
      </c>
      <c r="H104" s="386">
        <v>20</v>
      </c>
      <c r="I104" s="238"/>
      <c r="J104" s="238"/>
    </row>
    <row r="105" spans="1:10" ht="24.9" customHeight="1" thickBot="1" x14ac:dyDescent="0.3">
      <c r="A105" s="650" t="s">
        <v>359</v>
      </c>
      <c r="B105" s="305" t="s">
        <v>360</v>
      </c>
      <c r="C105" s="311" t="s">
        <v>361</v>
      </c>
      <c r="D105" s="386">
        <v>4</v>
      </c>
      <c r="E105" s="306">
        <f>708.4/1.15</f>
        <v>616</v>
      </c>
      <c r="F105" s="323">
        <f t="shared" si="1"/>
        <v>2.4639999999999999E-2</v>
      </c>
      <c r="G105" s="309" t="s">
        <v>362</v>
      </c>
      <c r="H105" s="386">
        <v>4</v>
      </c>
      <c r="I105" s="238"/>
      <c r="J105" s="238"/>
    </row>
    <row r="106" spans="1:10" ht="24.9" customHeight="1" thickBot="1" x14ac:dyDescent="0.3">
      <c r="A106" s="314" t="s">
        <v>363</v>
      </c>
      <c r="B106" s="305" t="s">
        <v>364</v>
      </c>
      <c r="C106" s="311" t="s">
        <v>361</v>
      </c>
      <c r="D106" s="386">
        <v>6</v>
      </c>
      <c r="E106" s="315">
        <f>500.35/1.15</f>
        <v>435.08695652173918</v>
      </c>
      <c r="F106" s="323">
        <f t="shared" si="1"/>
        <v>2.610521739130435E-2</v>
      </c>
      <c r="G106" s="309" t="s">
        <v>365</v>
      </c>
      <c r="H106" s="386">
        <v>6</v>
      </c>
      <c r="I106" s="238"/>
      <c r="J106" s="238"/>
    </row>
    <row r="107" spans="1:10" ht="24.9" customHeight="1" thickBot="1" x14ac:dyDescent="0.3">
      <c r="A107" s="650" t="s">
        <v>366</v>
      </c>
      <c r="B107" s="305" t="s">
        <v>367</v>
      </c>
      <c r="C107" s="311" t="s">
        <v>361</v>
      </c>
      <c r="D107" s="386">
        <v>10</v>
      </c>
      <c r="E107" s="315">
        <f>594.75/1.15</f>
        <v>517.17391304347825</v>
      </c>
      <c r="F107" s="323">
        <f t="shared" si="1"/>
        <v>5.1717391304347819E-2</v>
      </c>
      <c r="G107" s="309" t="s">
        <v>368</v>
      </c>
      <c r="H107" s="386">
        <v>10</v>
      </c>
      <c r="I107" s="238"/>
      <c r="J107" s="238"/>
    </row>
    <row r="108" spans="1:10" ht="24.9" customHeight="1" thickBot="1" x14ac:dyDescent="0.3">
      <c r="A108" s="650" t="s">
        <v>369</v>
      </c>
      <c r="B108" s="305" t="s">
        <v>370</v>
      </c>
      <c r="C108" s="311" t="s">
        <v>202</v>
      </c>
      <c r="D108" s="386">
        <v>2</v>
      </c>
      <c r="E108" s="315">
        <f>5540.55/1.15</f>
        <v>4817.8695652173919</v>
      </c>
      <c r="F108" s="323">
        <f t="shared" si="1"/>
        <v>9.6357391304347839E-2</v>
      </c>
      <c r="G108" s="309" t="s">
        <v>371</v>
      </c>
      <c r="H108" s="386">
        <v>2</v>
      </c>
      <c r="I108" s="238"/>
      <c r="J108" s="238"/>
    </row>
    <row r="109" spans="1:10" ht="24.9" customHeight="1" thickBot="1" x14ac:dyDescent="0.3">
      <c r="A109" s="650" t="s">
        <v>372</v>
      </c>
      <c r="B109" s="305" t="s">
        <v>373</v>
      </c>
      <c r="C109" s="316" t="s">
        <v>361</v>
      </c>
      <c r="D109" s="385">
        <v>4</v>
      </c>
      <c r="E109" s="633">
        <f>658/1.15</f>
        <v>572.17391304347825</v>
      </c>
      <c r="F109" s="323">
        <f t="shared" si="1"/>
        <v>2.2886956521739131E-2</v>
      </c>
      <c r="G109" s="309" t="s">
        <v>374</v>
      </c>
      <c r="H109" s="385">
        <v>4</v>
      </c>
      <c r="I109" s="238"/>
      <c r="J109" s="238"/>
    </row>
    <row r="110" spans="1:10" ht="24.9" customHeight="1" thickBot="1" x14ac:dyDescent="0.3">
      <c r="A110" s="1132" t="s">
        <v>375</v>
      </c>
      <c r="B110" s="305" t="s">
        <v>376</v>
      </c>
      <c r="C110" s="307"/>
      <c r="D110" s="387"/>
      <c r="E110" s="317"/>
      <c r="F110" s="247"/>
      <c r="G110" s="309"/>
      <c r="H110" s="387"/>
      <c r="I110" s="238"/>
      <c r="J110" s="238"/>
    </row>
    <row r="111" spans="1:10" ht="24.9" customHeight="1" thickBot="1" x14ac:dyDescent="0.3">
      <c r="A111" s="1134"/>
      <c r="B111" s="305" t="s">
        <v>377</v>
      </c>
      <c r="C111" s="318" t="s">
        <v>202</v>
      </c>
      <c r="D111" s="386">
        <v>4</v>
      </c>
      <c r="E111" s="315">
        <f>3158.7/1.15</f>
        <v>2746.695652173913</v>
      </c>
      <c r="F111" s="323">
        <f>(D111*E111)/10^5</f>
        <v>0.10986782608695653</v>
      </c>
      <c r="G111" s="309" t="s">
        <v>378</v>
      </c>
      <c r="H111" s="386">
        <v>4</v>
      </c>
      <c r="I111" s="238"/>
      <c r="J111" s="238"/>
    </row>
    <row r="112" spans="1:10" ht="24.9" customHeight="1" thickBot="1" x14ac:dyDescent="0.3">
      <c r="A112" s="650" t="s">
        <v>379</v>
      </c>
      <c r="B112" s="305" t="s">
        <v>380</v>
      </c>
      <c r="C112" s="311" t="s">
        <v>361</v>
      </c>
      <c r="D112" s="385">
        <v>4</v>
      </c>
      <c r="E112" s="374">
        <f>942.15/1.15</f>
        <v>819.26086956521749</v>
      </c>
      <c r="F112" s="323">
        <f>(D112*E112)/10^5</f>
        <v>3.2770434782608701E-2</v>
      </c>
      <c r="G112" s="309">
        <v>17.329999999999998</v>
      </c>
      <c r="H112" s="385">
        <v>4</v>
      </c>
      <c r="I112" s="238"/>
      <c r="J112" s="238"/>
    </row>
    <row r="113" spans="1:10" ht="24.9" customHeight="1" thickBot="1" x14ac:dyDescent="0.3">
      <c r="A113" s="650" t="s">
        <v>381</v>
      </c>
      <c r="B113" s="305" t="s">
        <v>382</v>
      </c>
      <c r="C113" s="311" t="s">
        <v>361</v>
      </c>
      <c r="D113" s="385">
        <v>4</v>
      </c>
      <c r="E113" s="375">
        <f>96.75/1.15</f>
        <v>84.130434782608702</v>
      </c>
      <c r="F113" s="373">
        <f>(D113*E113)/10^5</f>
        <v>3.3652173913043481E-3</v>
      </c>
      <c r="G113" s="319">
        <v>18.649999999999999</v>
      </c>
      <c r="H113" s="385">
        <v>4</v>
      </c>
      <c r="I113" s="238"/>
      <c r="J113" s="238"/>
    </row>
    <row r="114" spans="1:10" ht="24.9" customHeight="1" thickBot="1" x14ac:dyDescent="0.3">
      <c r="A114" s="652" t="s">
        <v>383</v>
      </c>
      <c r="B114" s="305" t="s">
        <v>384</v>
      </c>
      <c r="C114" s="311" t="s">
        <v>361</v>
      </c>
      <c r="D114" s="385">
        <v>4</v>
      </c>
      <c r="E114" s="374">
        <f>600.35/1.15</f>
        <v>522.04347826086962</v>
      </c>
      <c r="F114" s="373">
        <f>(D114*E114)/10^5</f>
        <v>2.0881739130434784E-2</v>
      </c>
      <c r="G114" s="306" t="s">
        <v>385</v>
      </c>
      <c r="H114" s="385">
        <v>4</v>
      </c>
      <c r="I114" s="238"/>
      <c r="J114" s="238"/>
    </row>
    <row r="115" spans="1:10" ht="24.9" customHeight="1" x14ac:dyDescent="0.25">
      <c r="A115" s="1135" t="s">
        <v>386</v>
      </c>
      <c r="B115" s="305" t="s">
        <v>387</v>
      </c>
      <c r="C115" s="320" t="s">
        <v>347</v>
      </c>
      <c r="D115" s="388"/>
      <c r="E115" s="376"/>
      <c r="F115" s="247"/>
      <c r="G115" s="306"/>
      <c r="H115" s="388"/>
      <c r="I115" s="238"/>
      <c r="J115" s="238"/>
    </row>
    <row r="116" spans="1:10" ht="24.9" customHeight="1" thickBot="1" x14ac:dyDescent="0.3">
      <c r="A116" s="1136"/>
      <c r="B116" s="305" t="s">
        <v>388</v>
      </c>
      <c r="C116" s="320" t="s">
        <v>361</v>
      </c>
      <c r="D116" s="385">
        <v>4</v>
      </c>
      <c r="E116" s="374">
        <f>1158.95/1.15</f>
        <v>1007.7826086956522</v>
      </c>
      <c r="F116" s="247">
        <f>(D116*E116)/10^5</f>
        <v>4.0311304347826087E-2</v>
      </c>
      <c r="G116" s="306" t="s">
        <v>389</v>
      </c>
      <c r="H116" s="385">
        <v>4</v>
      </c>
      <c r="I116" s="238"/>
      <c r="J116" s="238"/>
    </row>
    <row r="117" spans="1:10" ht="19.5" customHeight="1" thickBot="1" x14ac:dyDescent="0.3">
      <c r="A117" s="650" t="s">
        <v>390</v>
      </c>
      <c r="B117" s="305" t="s">
        <v>391</v>
      </c>
      <c r="C117" s="311" t="s">
        <v>202</v>
      </c>
      <c r="D117" s="385">
        <v>2</v>
      </c>
      <c r="E117" s="377">
        <v>800</v>
      </c>
      <c r="F117" s="323">
        <f>(D117*E117)/10^5</f>
        <v>1.6E-2</v>
      </c>
      <c r="G117" s="306" t="s">
        <v>374</v>
      </c>
      <c r="H117" s="385">
        <v>2</v>
      </c>
      <c r="I117" s="238"/>
      <c r="J117" s="238"/>
    </row>
    <row r="118" spans="1:10" ht="18.75" customHeight="1" x14ac:dyDescent="0.25">
      <c r="A118" s="652" t="s">
        <v>392</v>
      </c>
      <c r="B118" s="305" t="s">
        <v>393</v>
      </c>
      <c r="C118" s="307"/>
      <c r="D118" s="388"/>
      <c r="E118" s="376"/>
      <c r="F118" s="247"/>
      <c r="G118" s="306"/>
      <c r="H118" s="388"/>
      <c r="I118" s="238"/>
      <c r="J118" s="238"/>
    </row>
    <row r="119" spans="1:10" ht="21" customHeight="1" thickBot="1" x14ac:dyDescent="0.3">
      <c r="A119" s="321"/>
      <c r="B119" s="305" t="s">
        <v>394</v>
      </c>
      <c r="C119" s="322" t="s">
        <v>361</v>
      </c>
      <c r="D119" s="385">
        <v>4</v>
      </c>
      <c r="E119" s="378">
        <f>532.35/1.15</f>
        <v>462.91304347826093</v>
      </c>
      <c r="F119" s="373">
        <f t="shared" ref="F119:F130" si="2">(D119*E119)/10^5</f>
        <v>1.8516521739130438E-2</v>
      </c>
      <c r="G119" s="309" t="s">
        <v>395</v>
      </c>
      <c r="H119" s="385">
        <v>4</v>
      </c>
      <c r="I119" s="238"/>
      <c r="J119" s="238"/>
    </row>
    <row r="120" spans="1:10" ht="129" thickBot="1" x14ac:dyDescent="0.3">
      <c r="A120" s="650" t="s">
        <v>396</v>
      </c>
      <c r="B120" s="305" t="s">
        <v>397</v>
      </c>
      <c r="C120" s="307" t="s">
        <v>398</v>
      </c>
      <c r="D120" s="385">
        <v>2000</v>
      </c>
      <c r="E120" s="371">
        <f>9.7/1.15</f>
        <v>8.4347826086956523</v>
      </c>
      <c r="F120" s="373">
        <f t="shared" si="2"/>
        <v>0.16869565217391305</v>
      </c>
      <c r="G120" s="632">
        <v>18.48</v>
      </c>
      <c r="H120" s="385">
        <v>2000</v>
      </c>
      <c r="I120" s="238"/>
      <c r="J120" s="238"/>
    </row>
    <row r="121" spans="1:10" ht="64.8" thickBot="1" x14ac:dyDescent="0.3">
      <c r="A121" s="650" t="s">
        <v>399</v>
      </c>
      <c r="B121" s="305" t="s">
        <v>400</v>
      </c>
      <c r="C121" s="311" t="s">
        <v>202</v>
      </c>
      <c r="D121" s="385">
        <v>2</v>
      </c>
      <c r="E121" s="374">
        <f>399.15/1.15</f>
        <v>347.08695652173913</v>
      </c>
      <c r="F121" s="373">
        <f t="shared" si="2"/>
        <v>6.9417391304347825E-3</v>
      </c>
      <c r="G121" s="309" t="s">
        <v>401</v>
      </c>
      <c r="H121" s="385">
        <v>2</v>
      </c>
      <c r="I121" s="238"/>
      <c r="J121" s="238"/>
    </row>
    <row r="122" spans="1:10" ht="95.4" x14ac:dyDescent="0.25">
      <c r="A122" s="650" t="s">
        <v>402</v>
      </c>
      <c r="B122" s="305" t="s">
        <v>403</v>
      </c>
      <c r="C122" s="323" t="s">
        <v>336</v>
      </c>
      <c r="D122" s="385">
        <v>80</v>
      </c>
      <c r="E122" s="379">
        <f>319.75/1.15</f>
        <v>278.04347826086956</v>
      </c>
      <c r="F122" s="373">
        <f t="shared" si="2"/>
        <v>0.22243478260869565</v>
      </c>
      <c r="G122" s="631" t="s">
        <v>404</v>
      </c>
      <c r="H122" s="385">
        <v>80</v>
      </c>
      <c r="I122" s="238"/>
      <c r="J122" s="238"/>
    </row>
    <row r="123" spans="1:10" ht="105.6" x14ac:dyDescent="0.25">
      <c r="A123" s="324" t="s">
        <v>405</v>
      </c>
      <c r="B123" s="305" t="s">
        <v>406</v>
      </c>
      <c r="C123" s="325" t="s">
        <v>407</v>
      </c>
      <c r="D123" s="385">
        <v>1</v>
      </c>
      <c r="E123" s="371">
        <f>1134.65/1.15</f>
        <v>986.65217391304361</v>
      </c>
      <c r="F123" s="373">
        <f t="shared" si="2"/>
        <v>9.8665217391304353E-3</v>
      </c>
      <c r="G123" s="372" t="s">
        <v>408</v>
      </c>
      <c r="H123" s="385">
        <v>1</v>
      </c>
      <c r="I123" s="238"/>
      <c r="J123" s="238"/>
    </row>
    <row r="124" spans="1:10" ht="331.2" x14ac:dyDescent="0.25">
      <c r="A124" s="326" t="s">
        <v>409</v>
      </c>
      <c r="B124" s="305" t="s">
        <v>410</v>
      </c>
      <c r="C124" s="260" t="s">
        <v>202</v>
      </c>
      <c r="D124" s="385">
        <v>2</v>
      </c>
      <c r="E124" s="380">
        <f>(30197.95+1.6*9744.25)/1.15</f>
        <v>39816.304347826088</v>
      </c>
      <c r="F124" s="373">
        <f t="shared" si="2"/>
        <v>0.79632608695652174</v>
      </c>
      <c r="G124" s="372" t="s">
        <v>411</v>
      </c>
      <c r="H124" s="385">
        <v>2</v>
      </c>
      <c r="I124" s="238"/>
      <c r="J124" s="238"/>
    </row>
    <row r="125" spans="1:10" ht="278.39999999999998" x14ac:dyDescent="0.45">
      <c r="A125" s="327" t="s">
        <v>412</v>
      </c>
      <c r="B125" s="305" t="s">
        <v>413</v>
      </c>
      <c r="C125" s="328" t="s">
        <v>202</v>
      </c>
      <c r="D125" s="385">
        <v>2</v>
      </c>
      <c r="E125" s="371">
        <f>1712.15/1.15</f>
        <v>1488.826086956522</v>
      </c>
      <c r="F125" s="373">
        <f t="shared" si="2"/>
        <v>2.9776521739130441E-2</v>
      </c>
      <c r="G125" s="372" t="s">
        <v>414</v>
      </c>
      <c r="H125" s="385">
        <v>2</v>
      </c>
      <c r="I125" s="238"/>
      <c r="J125" s="238"/>
    </row>
    <row r="126" spans="1:10" ht="39.6" x14ac:dyDescent="0.45">
      <c r="A126" s="1137" t="s">
        <v>415</v>
      </c>
      <c r="B126" s="305" t="s">
        <v>416</v>
      </c>
      <c r="C126" s="329"/>
      <c r="D126" s="388"/>
      <c r="E126" s="376"/>
      <c r="F126" s="247"/>
      <c r="G126" s="306"/>
      <c r="H126" s="388"/>
      <c r="I126" s="238"/>
      <c r="J126" s="238"/>
    </row>
    <row r="127" spans="1:10" ht="34.799999999999997" x14ac:dyDescent="0.45">
      <c r="A127" s="1138"/>
      <c r="B127" s="305" t="s">
        <v>417</v>
      </c>
      <c r="C127" s="328" t="s">
        <v>202</v>
      </c>
      <c r="D127" s="385">
        <v>4</v>
      </c>
      <c r="E127" s="371">
        <f>597.6/1.15</f>
        <v>519.6521739130435</v>
      </c>
      <c r="F127" s="373">
        <f t="shared" si="2"/>
        <v>2.0786086956521739E-2</v>
      </c>
      <c r="G127" s="306" t="s">
        <v>418</v>
      </c>
      <c r="H127" s="385">
        <v>4</v>
      </c>
      <c r="I127" s="238"/>
      <c r="J127" s="238"/>
    </row>
    <row r="128" spans="1:10" ht="153.6" x14ac:dyDescent="0.45">
      <c r="A128" s="330" t="s">
        <v>419</v>
      </c>
      <c r="B128" s="305" t="s">
        <v>420</v>
      </c>
      <c r="C128" s="328" t="s">
        <v>247</v>
      </c>
      <c r="D128" s="385">
        <v>2</v>
      </c>
      <c r="E128" s="371">
        <f>2474.4/1.15</f>
        <v>2151.6521739130435</v>
      </c>
      <c r="F128" s="373">
        <f t="shared" si="2"/>
        <v>4.3033043478260868E-2</v>
      </c>
      <c r="G128" s="306" t="s">
        <v>421</v>
      </c>
      <c r="H128" s="385">
        <v>2</v>
      </c>
      <c r="I128" s="238"/>
      <c r="J128" s="238"/>
    </row>
    <row r="129" spans="1:10" ht="76.8" x14ac:dyDescent="0.45">
      <c r="A129" s="331" t="s">
        <v>422</v>
      </c>
      <c r="B129" s="305" t="s">
        <v>423</v>
      </c>
      <c r="C129" s="329" t="s">
        <v>247</v>
      </c>
      <c r="D129" s="385">
        <v>8</v>
      </c>
      <c r="E129" s="371">
        <f>(9100+6972.75)/1.15</f>
        <v>13976.304347826088</v>
      </c>
      <c r="F129" s="373">
        <f t="shared" si="2"/>
        <v>1.118104347826087</v>
      </c>
      <c r="G129" s="306" t="s">
        <v>424</v>
      </c>
      <c r="H129" s="385">
        <v>8</v>
      </c>
      <c r="I129" s="238"/>
      <c r="J129" s="238"/>
    </row>
    <row r="130" spans="1:10" ht="19.2" x14ac:dyDescent="0.45">
      <c r="A130" s="332" t="s">
        <v>425</v>
      </c>
      <c r="B130" s="305" t="s">
        <v>426</v>
      </c>
      <c r="C130" s="333" t="s">
        <v>247</v>
      </c>
      <c r="D130" s="385">
        <v>2</v>
      </c>
      <c r="E130" s="371">
        <f>28029.15/1.15</f>
        <v>24373.17391304348</v>
      </c>
      <c r="F130" s="373">
        <f t="shared" si="2"/>
        <v>0.48746347826086961</v>
      </c>
      <c r="G130" s="306" t="s">
        <v>427</v>
      </c>
      <c r="H130" s="385">
        <v>2</v>
      </c>
      <c r="I130" s="238"/>
      <c r="J130" s="238"/>
    </row>
    <row r="131" spans="1:10" ht="15.6" x14ac:dyDescent="0.25">
      <c r="A131" s="247"/>
      <c r="B131" s="247"/>
      <c r="C131" s="247"/>
      <c r="D131" s="247"/>
      <c r="E131" s="247"/>
      <c r="F131" s="247"/>
      <c r="G131" s="247"/>
      <c r="H131" s="238"/>
      <c r="I131" s="238"/>
      <c r="J131" s="238"/>
    </row>
    <row r="132" spans="1:10" ht="15.6" x14ac:dyDescent="0.25">
      <c r="A132" s="247"/>
      <c r="B132" s="247"/>
      <c r="C132" s="247"/>
      <c r="D132" s="247"/>
      <c r="E132" s="247"/>
      <c r="F132" s="247"/>
      <c r="G132" s="247"/>
      <c r="H132" s="238"/>
      <c r="I132" s="238"/>
      <c r="J132" s="238"/>
    </row>
    <row r="133" spans="1:10" ht="15.6" x14ac:dyDescent="0.25">
      <c r="A133" s="255"/>
      <c r="B133" s="1139" t="s">
        <v>238</v>
      </c>
      <c r="C133" s="1140"/>
      <c r="D133" s="1140"/>
      <c r="E133" s="1141"/>
      <c r="F133" s="261">
        <f>SUM(F61:F130)*1.1</f>
        <v>145.54055875652176</v>
      </c>
      <c r="G133" s="256">
        <f>F133+F148</f>
        <v>931.352799156522</v>
      </c>
      <c r="H133" s="368" t="s">
        <v>674</v>
      </c>
      <c r="I133" s="238"/>
      <c r="J133" s="238"/>
    </row>
    <row r="134" spans="1:10" ht="15.6" x14ac:dyDescent="0.25">
      <c r="A134" s="241"/>
      <c r="B134" s="241"/>
      <c r="C134" s="241"/>
      <c r="D134" s="241"/>
      <c r="E134" s="241"/>
      <c r="F134" s="262"/>
      <c r="G134" s="249"/>
      <c r="H134" s="238"/>
      <c r="I134" s="238"/>
      <c r="J134" s="238"/>
    </row>
    <row r="135" spans="1:10" ht="15.6" x14ac:dyDescent="0.25">
      <c r="A135" s="243" t="s">
        <v>220</v>
      </c>
      <c r="B135" s="243" t="s">
        <v>221</v>
      </c>
      <c r="C135" s="243"/>
      <c r="D135" s="243"/>
      <c r="E135" s="243"/>
      <c r="F135" s="243"/>
      <c r="G135" s="243" t="s">
        <v>237</v>
      </c>
      <c r="H135" s="238"/>
      <c r="I135" s="238"/>
      <c r="J135" s="238"/>
    </row>
    <row r="136" spans="1:10" ht="15.6" x14ac:dyDescent="0.25">
      <c r="A136" s="278"/>
      <c r="B136" s="334" t="s">
        <v>273</v>
      </c>
      <c r="C136" s="335" t="s">
        <v>15</v>
      </c>
      <c r="D136" s="335" t="s">
        <v>19</v>
      </c>
      <c r="E136" s="335" t="s">
        <v>274</v>
      </c>
      <c r="F136" s="262"/>
      <c r="G136" s="335" t="s">
        <v>275</v>
      </c>
      <c r="H136" s="238"/>
      <c r="I136" s="238"/>
      <c r="J136" s="238"/>
    </row>
    <row r="137" spans="1:10" ht="19.2" x14ac:dyDescent="0.25">
      <c r="A137" s="281" t="s">
        <v>22</v>
      </c>
      <c r="B137" s="282" t="s">
        <v>276</v>
      </c>
      <c r="C137" s="282"/>
      <c r="D137" s="282"/>
      <c r="E137" s="283"/>
      <c r="F137" s="262"/>
      <c r="G137" s="283"/>
      <c r="H137" s="238"/>
      <c r="I137" s="238"/>
      <c r="J137" s="238"/>
    </row>
    <row r="138" spans="1:10" ht="19.2" x14ac:dyDescent="0.25">
      <c r="A138" s="281">
        <v>1</v>
      </c>
      <c r="B138" s="284" t="s">
        <v>277</v>
      </c>
      <c r="C138" s="285" t="s">
        <v>278</v>
      </c>
      <c r="D138" s="336">
        <v>6980</v>
      </c>
      <c r="E138" s="287">
        <f>(0.8*286.85)+(0.2*271.45)/1.15</f>
        <v>276.68869565217392</v>
      </c>
      <c r="F138" s="381">
        <f>(D138*E138)/10^5</f>
        <v>19.312870956521738</v>
      </c>
      <c r="G138" s="288" t="s">
        <v>279</v>
      </c>
      <c r="H138" s="238"/>
      <c r="I138" s="238"/>
      <c r="J138" s="238"/>
    </row>
    <row r="139" spans="1:10" ht="19.2" x14ac:dyDescent="0.25">
      <c r="A139" s="281" t="s">
        <v>13</v>
      </c>
      <c r="B139" s="282" t="s">
        <v>283</v>
      </c>
      <c r="C139" s="282"/>
      <c r="D139" s="282"/>
      <c r="E139" s="283"/>
      <c r="F139" s="381"/>
      <c r="G139" s="290"/>
      <c r="H139" s="238"/>
      <c r="I139" s="238"/>
      <c r="J139" s="238"/>
    </row>
    <row r="140" spans="1:10" ht="19.2" x14ac:dyDescent="0.25">
      <c r="A140" s="281">
        <v>1</v>
      </c>
      <c r="B140" s="284" t="s">
        <v>284</v>
      </c>
      <c r="C140" s="285" t="s">
        <v>278</v>
      </c>
      <c r="D140" s="286">
        <v>250</v>
      </c>
      <c r="E140" s="293">
        <f>(6670.25+307.95)/1.15</f>
        <v>6068</v>
      </c>
      <c r="F140" s="381">
        <f t="shared" ref="F140:F146" si="3">(D140*E140)/10^5</f>
        <v>15.17</v>
      </c>
      <c r="G140" s="290" t="s">
        <v>285</v>
      </c>
      <c r="H140" s="238"/>
      <c r="I140" s="238"/>
      <c r="J140" s="238"/>
    </row>
    <row r="141" spans="1:10" ht="30" x14ac:dyDescent="0.25">
      <c r="A141" s="281">
        <v>2</v>
      </c>
      <c r="B141" s="284" t="s">
        <v>286</v>
      </c>
      <c r="C141" s="285" t="s">
        <v>278</v>
      </c>
      <c r="D141" s="286">
        <v>1910</v>
      </c>
      <c r="E141" s="287">
        <f>((7997.3*0.8)+(10080.15*0.2)+(6*(307.95*0.5+766.55*0.5)))/1.15</f>
        <v>10119.452173913045</v>
      </c>
      <c r="F141" s="381">
        <f t="shared" si="3"/>
        <v>193.28153652173918</v>
      </c>
      <c r="G141" s="294" t="s">
        <v>287</v>
      </c>
      <c r="H141" s="238"/>
      <c r="I141" s="238"/>
      <c r="J141" s="238"/>
    </row>
    <row r="142" spans="1:10" ht="19.2" x14ac:dyDescent="0.25">
      <c r="A142" s="281">
        <v>3</v>
      </c>
      <c r="B142" s="284" t="s">
        <v>428</v>
      </c>
      <c r="C142" s="285" t="s">
        <v>278</v>
      </c>
      <c r="D142" s="286">
        <v>10</v>
      </c>
      <c r="E142" s="337">
        <f>(8599.35+5*669.55)/1.15</f>
        <v>10388.782608695654</v>
      </c>
      <c r="F142" s="381">
        <f t="shared" si="3"/>
        <v>1.0388782608695655</v>
      </c>
      <c r="G142" s="290" t="s">
        <v>429</v>
      </c>
      <c r="H142" s="238"/>
      <c r="I142" s="238"/>
      <c r="J142" s="238"/>
    </row>
    <row r="143" spans="1:10" ht="19.2" x14ac:dyDescent="0.25">
      <c r="A143" s="281">
        <v>4</v>
      </c>
      <c r="B143" s="284" t="s">
        <v>288</v>
      </c>
      <c r="C143" s="285" t="s">
        <v>289</v>
      </c>
      <c r="D143" s="286">
        <v>210</v>
      </c>
      <c r="E143" s="295">
        <f>(89.65*1000)/1.15</f>
        <v>77956.521739130447</v>
      </c>
      <c r="F143" s="381">
        <f t="shared" si="3"/>
        <v>163.70869565217396</v>
      </c>
      <c r="G143" s="290" t="s">
        <v>290</v>
      </c>
      <c r="H143" s="238"/>
      <c r="I143" s="238"/>
      <c r="J143" s="238"/>
    </row>
    <row r="144" spans="1:10" ht="19.2" x14ac:dyDescent="0.25">
      <c r="A144" s="281">
        <v>5</v>
      </c>
      <c r="B144" s="284" t="s">
        <v>214</v>
      </c>
      <c r="C144" s="285" t="s">
        <v>289</v>
      </c>
      <c r="D144" s="286">
        <v>20</v>
      </c>
      <c r="E144" s="293">
        <f>(78.2*1000)/1.15</f>
        <v>68000</v>
      </c>
      <c r="F144" s="381">
        <f t="shared" si="3"/>
        <v>13.6</v>
      </c>
      <c r="G144" s="290" t="s">
        <v>430</v>
      </c>
      <c r="H144" s="238"/>
      <c r="I144" s="238"/>
      <c r="J144" s="238"/>
    </row>
    <row r="145" spans="1:10" ht="19.2" x14ac:dyDescent="0.25">
      <c r="A145" s="281" t="s">
        <v>45</v>
      </c>
      <c r="B145" s="282" t="s">
        <v>431</v>
      </c>
      <c r="C145" s="282"/>
      <c r="D145" s="282"/>
      <c r="E145" s="283"/>
      <c r="F145" s="381"/>
      <c r="G145" s="283"/>
      <c r="H145" s="238"/>
      <c r="I145" s="238"/>
      <c r="J145" s="238"/>
    </row>
    <row r="146" spans="1:10" ht="19.2" x14ac:dyDescent="0.45">
      <c r="A146" s="281">
        <v>1</v>
      </c>
      <c r="B146" s="284" t="s">
        <v>432</v>
      </c>
      <c r="C146" s="285" t="s">
        <v>336</v>
      </c>
      <c r="D146" s="286">
        <v>4700</v>
      </c>
      <c r="E146" s="338">
        <f>(3060.1+(89.65*50))/1.15</f>
        <v>6558.7826086956529</v>
      </c>
      <c r="F146" s="381">
        <f t="shared" si="3"/>
        <v>308.26278260869572</v>
      </c>
      <c r="G146" s="290" t="s">
        <v>433</v>
      </c>
      <c r="H146" s="238"/>
      <c r="I146" s="238"/>
      <c r="J146" s="238"/>
    </row>
    <row r="147" spans="1:10" ht="15.6" x14ac:dyDescent="0.25">
      <c r="A147" s="241"/>
      <c r="B147" s="241"/>
      <c r="C147" s="241"/>
      <c r="D147" s="241"/>
      <c r="E147" s="241"/>
      <c r="F147" s="262"/>
      <c r="G147" s="249"/>
      <c r="H147" s="238"/>
      <c r="I147" s="238"/>
      <c r="J147" s="238"/>
    </row>
    <row r="148" spans="1:10" ht="15.6" x14ac:dyDescent="0.25">
      <c r="A148" s="255"/>
      <c r="B148" s="255" t="s">
        <v>239</v>
      </c>
      <c r="C148" s="255"/>
      <c r="D148" s="255"/>
      <c r="E148" s="255"/>
      <c r="F148" s="261">
        <f>SUM(F138:F146)*1.1</f>
        <v>785.81224040000018</v>
      </c>
      <c r="G148" s="256"/>
      <c r="H148" s="238"/>
      <c r="I148" s="238"/>
      <c r="J148" s="238"/>
    </row>
  </sheetData>
  <mergeCells count="17">
    <mergeCell ref="A102:A104"/>
    <mergeCell ref="A110:A111"/>
    <mergeCell ref="A115:A116"/>
    <mergeCell ref="A126:A127"/>
    <mergeCell ref="B133:E133"/>
    <mergeCell ref="B27:E27"/>
    <mergeCell ref="B37:E37"/>
    <mergeCell ref="B42:E42"/>
    <mergeCell ref="B43:E43"/>
    <mergeCell ref="A95:A96"/>
    <mergeCell ref="A98:A101"/>
    <mergeCell ref="A1:G1"/>
    <mergeCell ref="A2:G2"/>
    <mergeCell ref="A3:G3"/>
    <mergeCell ref="A4:G4"/>
    <mergeCell ref="A11:G11"/>
    <mergeCell ref="B21:E2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X140"/>
  <sheetViews>
    <sheetView showZeros="0" topLeftCell="AQ13" workbookViewId="0">
      <selection activeCell="F20" sqref="F20"/>
    </sheetView>
  </sheetViews>
  <sheetFormatPr defaultColWidth="8.81640625" defaultRowHeight="15" x14ac:dyDescent="0.25"/>
  <cols>
    <col min="1" max="1" width="5.6328125" style="457" customWidth="1"/>
    <col min="2" max="2" width="26.54296875" style="457" customWidth="1"/>
    <col min="3" max="3" width="11.6328125" style="457" customWidth="1"/>
    <col min="4" max="4" width="8.90625" style="457" customWidth="1"/>
    <col min="5" max="5" width="8" style="457" customWidth="1"/>
    <col min="6" max="6" width="10.90625" style="457" customWidth="1"/>
    <col min="7" max="7" width="11.81640625" style="457" customWidth="1"/>
    <col min="8" max="8" width="10.1796875" style="457" customWidth="1"/>
    <col min="9" max="9" width="12" style="457" customWidth="1"/>
    <col min="10" max="10" width="10.1796875" style="457" customWidth="1"/>
    <col min="11" max="11" width="12" style="457" customWidth="1"/>
    <col min="12" max="12" width="12.90625" style="457" customWidth="1"/>
    <col min="13" max="13" width="12.54296875" style="457" customWidth="1"/>
    <col min="14" max="14" width="8.1796875" style="457" customWidth="1"/>
    <col min="15" max="15" width="9.90625" style="457" customWidth="1"/>
    <col min="16" max="16" width="11.36328125" style="457" customWidth="1"/>
    <col min="17" max="17" width="11.54296875" style="457" customWidth="1"/>
    <col min="18" max="18" width="10.453125" style="457" customWidth="1"/>
    <col min="19" max="19" width="11.6328125" style="457" customWidth="1"/>
    <col min="20" max="20" width="11.81640625" style="457" customWidth="1"/>
    <col min="21" max="21" width="12.08984375" style="457" customWidth="1"/>
    <col min="22" max="22" width="11" style="457" customWidth="1"/>
    <col min="23" max="23" width="10.90625" style="457" customWidth="1"/>
    <col min="24" max="24" width="10.54296875" style="457" customWidth="1"/>
    <col min="25" max="25" width="9.90625" style="457" customWidth="1"/>
    <col min="26" max="26" width="10.81640625" style="457" customWidth="1"/>
    <col min="27" max="27" width="9.81640625" style="457" customWidth="1"/>
    <col min="28" max="28" width="11.1796875" style="457" customWidth="1"/>
    <col min="29" max="29" width="10.36328125" style="457" customWidth="1"/>
    <col min="30" max="30" width="11.90625" style="457" customWidth="1"/>
    <col min="31" max="31" width="8.81640625" style="457"/>
    <col min="32" max="32" width="13.453125" style="457" customWidth="1"/>
    <col min="33" max="33" width="10.90625" style="457" customWidth="1"/>
    <col min="34" max="34" width="11.453125" style="457" customWidth="1"/>
    <col min="35" max="35" width="11.81640625" style="457" customWidth="1"/>
    <col min="36" max="36" width="11.08984375" style="457" customWidth="1"/>
    <col min="37" max="37" width="10.90625" style="457" customWidth="1"/>
    <col min="38" max="42" width="8.81640625" style="457"/>
    <col min="43" max="43" width="10.1796875" style="457" customWidth="1"/>
    <col min="44" max="44" width="11.54296875" style="457" customWidth="1"/>
    <col min="45" max="45" width="12.08984375" style="457" customWidth="1"/>
    <col min="46" max="46" width="13.1796875" style="457" customWidth="1"/>
    <col min="47" max="47" width="14.08984375" style="457" customWidth="1"/>
    <col min="48" max="48" width="11.81640625" style="457" customWidth="1"/>
    <col min="49" max="53" width="8.81640625" style="457"/>
    <col min="54" max="54" width="28.81640625" style="457" customWidth="1"/>
    <col min="55" max="55" width="11.81640625" style="457" customWidth="1"/>
    <col min="56" max="56" width="10" style="457" customWidth="1"/>
    <col min="57" max="57" width="10.453125" style="457" customWidth="1"/>
    <col min="58" max="59" width="8.81640625" style="457"/>
    <col min="60" max="60" width="9.36328125" style="457" customWidth="1"/>
    <col min="61" max="61" width="18.453125" style="457" customWidth="1"/>
    <col min="62" max="62" width="11" style="457" customWidth="1"/>
    <col min="63" max="63" width="9.54296875" style="457" customWidth="1"/>
    <col min="64" max="64" width="10.6328125" style="457" customWidth="1"/>
    <col min="65" max="65" width="9.90625" style="457" customWidth="1"/>
    <col min="66" max="66" width="11.453125" style="457" customWidth="1"/>
    <col min="67" max="67" width="9.90625" style="457" customWidth="1"/>
    <col min="68" max="68" width="10" style="457" customWidth="1"/>
    <col min="69" max="69" width="6.81640625" style="457" customWidth="1"/>
    <col min="70" max="70" width="12.54296875" style="457" customWidth="1"/>
    <col min="71" max="71" width="9.54296875" style="457" customWidth="1"/>
    <col min="72" max="72" width="10.36328125" style="457" customWidth="1"/>
    <col min="73" max="73" width="7.81640625" style="457" customWidth="1"/>
    <col min="74" max="74" width="7.1796875" style="457" customWidth="1"/>
    <col min="75" max="75" width="17.6328125" style="457" customWidth="1"/>
    <col min="76" max="76" width="8.81640625" style="457" customWidth="1"/>
    <col min="77" max="77" width="13.08984375" style="457" bestFit="1" customWidth="1"/>
    <col min="78" max="78" width="13.81640625" style="457" customWidth="1"/>
    <col min="79" max="80" width="8.81640625" style="457"/>
    <col min="81" max="81" width="9" style="457" bestFit="1" customWidth="1"/>
    <col min="82" max="90" width="8.81640625" style="457"/>
    <col min="91" max="91" width="13.08984375" style="457" customWidth="1"/>
    <col min="92" max="92" width="8.81640625" style="457"/>
    <col min="93" max="93" width="9.90625" style="457" customWidth="1"/>
    <col min="94" max="97" width="8.81640625" style="457"/>
    <col min="98" max="98" width="8.54296875" style="457" customWidth="1"/>
    <col min="99" max="99" width="30.36328125" style="457" customWidth="1"/>
    <col min="100" max="100" width="9" style="457" bestFit="1" customWidth="1"/>
    <col min="101" max="101" width="8.81640625" style="457"/>
    <col min="102" max="102" width="5.90625" style="457" customWidth="1"/>
    <col min="103" max="103" width="6.90625" style="457" customWidth="1"/>
    <col min="104" max="104" width="23.90625" style="457" customWidth="1"/>
    <col min="105" max="111" width="8.81640625" style="457"/>
    <col min="112" max="112" width="9" style="457" bestFit="1" customWidth="1"/>
    <col min="113" max="114" width="8.81640625" style="457"/>
    <col min="115" max="115" width="32.90625" style="457" customWidth="1"/>
    <col min="116" max="116" width="16.6328125" style="457" customWidth="1"/>
    <col min="117" max="117" width="10.1796875" style="457" customWidth="1"/>
    <col min="118" max="118" width="12.453125" style="457" customWidth="1"/>
    <col min="119" max="119" width="10" style="457" bestFit="1" customWidth="1"/>
    <col min="120" max="120" width="8.81640625" style="457"/>
    <col min="121" max="121" width="9" style="457" bestFit="1" customWidth="1"/>
    <col min="122" max="123" width="8.81640625" style="457"/>
    <col min="124" max="124" width="11.6328125" style="457" customWidth="1"/>
    <col min="125" max="125" width="8.81640625" style="457"/>
    <col min="126" max="126" width="28.81640625" style="457" customWidth="1"/>
    <col min="127" max="127" width="12.36328125" style="457" customWidth="1"/>
    <col min="128" max="128" width="11.1796875" style="457" customWidth="1"/>
    <col min="129" max="16384" width="8.81640625" style="457"/>
  </cols>
  <sheetData>
    <row r="1" spans="1:93" s="390" customFormat="1" ht="15.6" x14ac:dyDescent="0.25">
      <c r="B1" s="391"/>
      <c r="C1" s="391"/>
      <c r="D1" s="391"/>
      <c r="E1" s="1148" t="s">
        <v>452</v>
      </c>
      <c r="F1" s="1148"/>
      <c r="G1" s="1148"/>
      <c r="H1" s="1148"/>
      <c r="I1" s="1148"/>
      <c r="J1" s="1148"/>
      <c r="K1" s="1148"/>
      <c r="L1" s="391"/>
      <c r="M1" s="391"/>
      <c r="N1" s="391"/>
      <c r="O1" s="392" t="s">
        <v>453</v>
      </c>
      <c r="R1" s="391"/>
      <c r="T1" s="391"/>
      <c r="U1" s="391"/>
      <c r="V1" s="391"/>
      <c r="W1" s="391"/>
      <c r="X1" s="391"/>
      <c r="Y1" s="391"/>
      <c r="Z1" s="391"/>
      <c r="AA1" s="391"/>
      <c r="AB1" s="391"/>
      <c r="AC1" s="391"/>
      <c r="AD1" s="391"/>
      <c r="AE1" s="391"/>
      <c r="AF1" s="392" t="str">
        <f>+O1</f>
        <v>Annexure-6.1.1-2</v>
      </c>
      <c r="AG1" s="392"/>
      <c r="AH1" s="391"/>
      <c r="AI1" s="391"/>
      <c r="AJ1" s="391"/>
      <c r="AK1" s="391"/>
      <c r="AL1" s="391"/>
      <c r="AM1" s="391"/>
      <c r="AN1" s="391"/>
      <c r="AO1" s="391"/>
      <c r="AP1" s="391"/>
      <c r="AQ1" s="391"/>
      <c r="AR1" s="391"/>
      <c r="AS1" s="391"/>
      <c r="AT1" s="392" t="str">
        <f>+AF1</f>
        <v>Annexure-6.1.1-2</v>
      </c>
      <c r="AV1" s="391"/>
      <c r="AW1" s="391"/>
      <c r="AX1" s="391"/>
      <c r="AY1" s="391"/>
      <c r="AZ1" s="391"/>
      <c r="BA1" s="391" t="s">
        <v>454</v>
      </c>
      <c r="BB1" s="391"/>
      <c r="BC1" s="391"/>
      <c r="BD1" s="391"/>
      <c r="BE1" s="391"/>
      <c r="BF1" s="391"/>
      <c r="BG1" s="391"/>
      <c r="BI1" s="393" t="s">
        <v>455</v>
      </c>
      <c r="BJ1" s="394">
        <f>AU22</f>
        <v>144.42091712920148</v>
      </c>
      <c r="BK1" s="393"/>
      <c r="BL1" s="393"/>
      <c r="BM1" s="393"/>
      <c r="BN1" s="393"/>
      <c r="BO1" s="391"/>
      <c r="BP1" s="391"/>
      <c r="BQ1" s="391"/>
      <c r="BR1" s="391"/>
      <c r="BS1" s="391"/>
      <c r="BT1" s="391"/>
      <c r="BU1" s="391"/>
      <c r="CK1" s="395"/>
    </row>
    <row r="2" spans="1:93" s="390" customFormat="1" ht="15.6" x14ac:dyDescent="0.25">
      <c r="B2" s="391"/>
      <c r="C2" s="391"/>
      <c r="D2" s="391"/>
      <c r="E2" s="396" t="str">
        <f>[2]BOQ_R0!B2</f>
        <v>BOKARO STEEL PLANT</v>
      </c>
      <c r="F2" s="396"/>
      <c r="G2" s="392"/>
      <c r="H2" s="392"/>
      <c r="I2" s="392"/>
      <c r="J2" s="392"/>
      <c r="K2" s="392"/>
      <c r="L2" s="391"/>
      <c r="M2" s="391"/>
      <c r="N2" s="391"/>
      <c r="O2" s="392"/>
      <c r="R2" s="391"/>
      <c r="T2" s="391"/>
      <c r="U2" s="391"/>
      <c r="V2" s="391"/>
      <c r="W2" s="391"/>
      <c r="X2" s="391"/>
      <c r="Y2" s="391"/>
      <c r="Z2" s="391"/>
      <c r="AA2" s="391"/>
      <c r="AB2" s="391"/>
      <c r="AC2" s="391"/>
      <c r="AD2" s="391"/>
      <c r="AE2" s="391"/>
      <c r="AF2" s="392"/>
      <c r="AG2" s="392"/>
      <c r="AH2" s="391"/>
      <c r="AI2" s="391"/>
      <c r="AJ2" s="391"/>
      <c r="AK2" s="391"/>
      <c r="AL2" s="391"/>
      <c r="AM2" s="391"/>
      <c r="AN2" s="391"/>
      <c r="AO2" s="391"/>
      <c r="AP2" s="391"/>
      <c r="AQ2" s="391"/>
      <c r="AR2" s="391"/>
      <c r="AS2" s="391"/>
      <c r="AT2" s="392"/>
      <c r="AV2" s="391"/>
      <c r="AW2" s="391"/>
      <c r="AX2" s="391"/>
      <c r="AY2" s="391"/>
      <c r="AZ2" s="391"/>
      <c r="BA2" s="391"/>
      <c r="BE2" s="391"/>
      <c r="BF2" s="391"/>
      <c r="BG2" s="391"/>
      <c r="BI2" s="393"/>
      <c r="BJ2" s="397"/>
      <c r="BK2" s="393"/>
      <c r="BL2" s="393"/>
      <c r="BM2" s="393"/>
      <c r="BN2" s="393"/>
      <c r="BO2" s="391"/>
      <c r="BP2" s="391"/>
      <c r="BQ2" s="391"/>
      <c r="BR2" s="391"/>
      <c r="BS2" s="391"/>
      <c r="BT2" s="391"/>
      <c r="BU2" s="391"/>
      <c r="CK2" s="395"/>
    </row>
    <row r="3" spans="1:93" s="398" customFormat="1" ht="15.6" x14ac:dyDescent="0.25">
      <c r="B3" s="2"/>
      <c r="C3" s="2"/>
      <c r="D3" s="2"/>
      <c r="E3" s="399" t="str">
        <f>[2]BOQ_R0!B3</f>
        <v>Replacement of Balance 4 nos. battery cyclones by ESPs for SP I, BSL</v>
      </c>
      <c r="F3" s="399"/>
      <c r="G3" s="399"/>
      <c r="H3" s="400"/>
      <c r="I3" s="400"/>
      <c r="J3" s="400"/>
      <c r="K3" s="400"/>
      <c r="L3" s="401"/>
      <c r="M3" s="2"/>
      <c r="N3" s="2"/>
      <c r="O3" s="2" t="s">
        <v>456</v>
      </c>
      <c r="R3" s="2"/>
      <c r="S3" s="2"/>
      <c r="T3" s="2"/>
      <c r="U3" s="2"/>
      <c r="V3" s="2"/>
      <c r="W3" s="2"/>
      <c r="X3" s="2"/>
      <c r="Y3" s="2"/>
      <c r="Z3" s="2"/>
      <c r="AA3" s="2"/>
      <c r="AB3" s="2"/>
      <c r="AC3" s="2"/>
      <c r="AD3" s="2"/>
      <c r="AE3" s="2"/>
      <c r="AF3" s="2" t="s">
        <v>457</v>
      </c>
      <c r="AG3" s="2"/>
      <c r="AH3" s="2"/>
      <c r="AI3" s="2"/>
      <c r="AJ3" s="2"/>
      <c r="AK3" s="2"/>
      <c r="AL3" s="2"/>
      <c r="AM3" s="2"/>
      <c r="AN3" s="2"/>
      <c r="AO3" s="2"/>
      <c r="AP3" s="2"/>
      <c r="AQ3" s="2"/>
      <c r="AR3" s="2"/>
      <c r="AS3" s="2"/>
      <c r="AT3" s="2" t="s">
        <v>458</v>
      </c>
      <c r="AV3" s="2"/>
      <c r="AW3" s="2"/>
      <c r="AX3" s="2"/>
      <c r="AY3" s="2"/>
      <c r="AZ3" s="2"/>
      <c r="BA3" s="2"/>
      <c r="BB3" s="402" t="s">
        <v>459</v>
      </c>
      <c r="BC3" s="403" t="s">
        <v>460</v>
      </c>
      <c r="BD3" s="404" t="s">
        <v>461</v>
      </c>
      <c r="BE3" s="2"/>
      <c r="BF3" s="2"/>
      <c r="BG3" s="2"/>
      <c r="BI3" s="3"/>
      <c r="BJ3" s="3"/>
      <c r="BK3" s="3"/>
      <c r="BL3" s="3"/>
      <c r="BM3" s="3"/>
      <c r="BN3" s="3" t="s">
        <v>462</v>
      </c>
      <c r="BO3" s="2"/>
      <c r="BP3" s="2"/>
      <c r="BQ3" s="2"/>
      <c r="BR3" s="2"/>
      <c r="BS3" s="2"/>
      <c r="BT3" s="2"/>
      <c r="BU3" s="2"/>
      <c r="BW3" s="405"/>
      <c r="BY3" s="405"/>
      <c r="BZ3" s="405"/>
      <c r="CC3" s="405"/>
      <c r="CK3" s="405"/>
    </row>
    <row r="4" spans="1:93" s="390" customFormat="1" ht="15.6" x14ac:dyDescent="0.25">
      <c r="B4" s="391"/>
      <c r="D4" s="391"/>
      <c r="E4" s="391"/>
      <c r="F4" s="391"/>
      <c r="G4" s="391"/>
      <c r="H4" s="391"/>
      <c r="I4" s="391"/>
      <c r="J4" s="391"/>
      <c r="K4" s="391"/>
      <c r="L4" s="391"/>
      <c r="M4" s="391"/>
      <c r="N4" s="391"/>
      <c r="O4" s="391" t="s">
        <v>671</v>
      </c>
      <c r="P4" s="406"/>
      <c r="Q4" s="406"/>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V4" s="391"/>
      <c r="AW4" s="391"/>
      <c r="AX4" s="391"/>
      <c r="AY4" s="391"/>
      <c r="AZ4" s="391"/>
      <c r="BA4" s="391"/>
      <c r="BB4" s="407" t="s">
        <v>463</v>
      </c>
      <c r="BC4" s="407" t="s">
        <v>463</v>
      </c>
      <c r="BE4" s="391"/>
      <c r="BF4" s="391"/>
      <c r="BG4" s="391"/>
      <c r="BI4" s="408" t="s">
        <v>663</v>
      </c>
      <c r="BJ4" s="406"/>
      <c r="BK4" s="406"/>
      <c r="BL4" s="406"/>
      <c r="BM4" s="406"/>
      <c r="BN4" s="397"/>
      <c r="BO4" s="391"/>
      <c r="BP4" s="391"/>
      <c r="BQ4" s="391"/>
      <c r="BR4" s="391"/>
      <c r="BS4" s="391"/>
      <c r="BT4" s="391"/>
      <c r="BU4" s="391"/>
      <c r="BW4" s="395"/>
      <c r="BY4" s="395"/>
      <c r="CE4" s="395"/>
      <c r="CF4" s="395"/>
      <c r="CG4" s="395"/>
      <c r="CH4" s="395"/>
      <c r="CI4" s="395"/>
      <c r="CJ4" s="395"/>
      <c r="CK4" s="395"/>
      <c r="CL4" s="395"/>
      <c r="CM4" s="390" t="e">
        <f>+#REF!+#REF!</f>
        <v>#REF!</v>
      </c>
      <c r="CO4" s="390" t="e">
        <f>+#REF!+#REF!</f>
        <v>#REF!</v>
      </c>
    </row>
    <row r="5" spans="1:93" s="390" customFormat="1" ht="19.95" customHeight="1" x14ac:dyDescent="0.25">
      <c r="B5" s="391"/>
      <c r="C5" s="391"/>
      <c r="D5" s="391"/>
      <c r="E5" s="391"/>
      <c r="F5" s="391"/>
      <c r="G5" s="391"/>
      <c r="H5" s="391"/>
      <c r="I5" s="391"/>
      <c r="J5" s="391"/>
      <c r="K5" s="391"/>
      <c r="L5" s="409"/>
      <c r="M5" s="391"/>
      <c r="N5" s="391"/>
      <c r="O5" s="391" t="s">
        <v>347</v>
      </c>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V5" s="391"/>
      <c r="AW5" s="391"/>
      <c r="AX5" s="391"/>
      <c r="AY5" s="391"/>
      <c r="AZ5" s="391"/>
      <c r="BA5" s="391"/>
      <c r="BB5" s="410"/>
      <c r="BC5" s="410"/>
      <c r="BE5" s="1149" t="s">
        <v>464</v>
      </c>
      <c r="BF5" s="391"/>
      <c r="BG5" s="391"/>
      <c r="BH5" s="391"/>
      <c r="BI5" s="393"/>
      <c r="BJ5" s="393"/>
      <c r="BK5" s="393"/>
      <c r="BL5" s="393"/>
      <c r="BM5" s="393"/>
      <c r="BN5" s="393"/>
      <c r="BO5" s="411"/>
      <c r="BP5" s="411"/>
      <c r="BQ5" s="411"/>
      <c r="BR5" s="411"/>
      <c r="BS5" s="411"/>
      <c r="BT5" s="391"/>
      <c r="BU5" s="391"/>
      <c r="BW5" s="395"/>
      <c r="BY5" s="395"/>
      <c r="BZ5" s="395"/>
      <c r="CE5" s="395"/>
      <c r="CF5" s="395"/>
      <c r="CG5" s="395"/>
      <c r="CH5" s="395"/>
      <c r="CI5" s="395"/>
      <c r="CJ5" s="395"/>
      <c r="CK5" s="395"/>
      <c r="CL5" s="395"/>
    </row>
    <row r="6" spans="1:93" s="390" customFormat="1" ht="15.6" x14ac:dyDescent="0.25">
      <c r="B6" s="391"/>
      <c r="C6" s="391"/>
      <c r="D6" s="391"/>
      <c r="E6" s="1148" t="s">
        <v>465</v>
      </c>
      <c r="F6" s="1148"/>
      <c r="G6" s="1148"/>
      <c r="H6" s="1148"/>
      <c r="I6" s="1148"/>
      <c r="J6" s="1148"/>
      <c r="K6" s="1148"/>
      <c r="L6" s="391"/>
      <c r="M6" s="391"/>
      <c r="N6" s="391"/>
      <c r="O6" s="412" t="s">
        <v>466</v>
      </c>
      <c r="P6" s="406"/>
      <c r="Q6" s="406"/>
      <c r="R6" s="391"/>
      <c r="S6" s="391"/>
      <c r="T6" s="391"/>
      <c r="U6" s="391"/>
      <c r="V6" s="391"/>
      <c r="W6" s="391"/>
      <c r="X6" s="391" t="s">
        <v>347</v>
      </c>
      <c r="Y6" s="391"/>
      <c r="Z6" s="391"/>
      <c r="AA6" s="391"/>
      <c r="AB6" s="391"/>
      <c r="AC6" s="391"/>
      <c r="AD6" s="391"/>
      <c r="AE6" s="391"/>
      <c r="AF6" s="391" t="str">
        <f>+O6</f>
        <v>Figures in Rs. Crore</v>
      </c>
      <c r="AG6" s="391"/>
      <c r="AH6" s="391"/>
      <c r="AI6" s="391"/>
      <c r="AJ6" s="391"/>
      <c r="AK6" s="391"/>
      <c r="AL6" s="391"/>
      <c r="AM6" s="391"/>
      <c r="AN6" s="391"/>
      <c r="AO6" s="391"/>
      <c r="AP6" s="391"/>
      <c r="AQ6" s="391"/>
      <c r="AR6" s="391"/>
      <c r="AS6" s="391"/>
      <c r="AT6" s="391" t="str">
        <f>+AF6</f>
        <v>Figures in Rs. Crore</v>
      </c>
      <c r="AV6" s="391"/>
      <c r="AW6" s="391"/>
      <c r="AX6" s="391"/>
      <c r="AY6" s="391"/>
      <c r="AZ6" s="391"/>
      <c r="BA6" s="391"/>
      <c r="BB6" s="413" t="s">
        <v>467</v>
      </c>
      <c r="BC6" s="414"/>
      <c r="BD6" s="390" t="s">
        <v>468</v>
      </c>
      <c r="BE6" s="1149"/>
      <c r="BF6" s="391"/>
      <c r="BG6" s="391"/>
      <c r="BI6" s="393"/>
      <c r="BJ6" s="393"/>
      <c r="BK6" s="393"/>
      <c r="BL6" s="393"/>
      <c r="BM6" s="393"/>
      <c r="BN6" s="393" t="str">
        <f>AT6</f>
        <v>Figures in Rs. Crore</v>
      </c>
      <c r="BO6" s="411"/>
      <c r="BP6" s="411"/>
      <c r="BQ6" s="411"/>
      <c r="BR6" s="411"/>
      <c r="BS6" s="411"/>
      <c r="BT6" s="391"/>
      <c r="BU6" s="391"/>
      <c r="CJ6" s="395"/>
      <c r="CK6" s="395"/>
    </row>
    <row r="7" spans="1:93" s="422" customFormat="1" x14ac:dyDescent="0.25">
      <c r="A7" s="390"/>
      <c r="B7" s="391"/>
      <c r="C7" s="391"/>
      <c r="D7" s="390"/>
      <c r="E7" s="390"/>
      <c r="F7" s="415"/>
      <c r="G7" s="391"/>
      <c r="H7" s="391"/>
      <c r="I7" s="391"/>
      <c r="J7" s="391"/>
      <c r="K7" s="391"/>
      <c r="L7" s="390"/>
      <c r="M7" s="390"/>
      <c r="N7" s="391"/>
      <c r="O7" s="391"/>
      <c r="P7" s="391"/>
      <c r="Q7" s="391"/>
      <c r="R7" s="391"/>
      <c r="S7" s="416"/>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413"/>
      <c r="BC7" s="417"/>
      <c r="BD7" s="418"/>
      <c r="BE7" s="419"/>
      <c r="BF7" s="419"/>
      <c r="BG7" s="419"/>
      <c r="BH7" s="419"/>
      <c r="BI7" s="420" t="s">
        <v>3</v>
      </c>
      <c r="BJ7" s="420" t="s">
        <v>4</v>
      </c>
      <c r="BK7" s="420" t="s">
        <v>16</v>
      </c>
      <c r="BL7" s="420" t="s">
        <v>7</v>
      </c>
      <c r="BM7" s="420" t="s">
        <v>2</v>
      </c>
      <c r="BN7" s="420" t="s">
        <v>5</v>
      </c>
      <c r="BO7" s="421"/>
      <c r="BP7" s="421"/>
      <c r="BQ7" s="421"/>
      <c r="BR7" s="421"/>
      <c r="BS7" s="421"/>
      <c r="BT7" s="419"/>
      <c r="BU7" s="419"/>
    </row>
    <row r="8" spans="1:93" s="434" customFormat="1" ht="15.6" x14ac:dyDescent="0.25">
      <c r="A8" s="423"/>
      <c r="B8" s="424"/>
      <c r="C8" s="424" t="s">
        <v>469</v>
      </c>
      <c r="D8" s="424"/>
      <c r="E8" s="423"/>
      <c r="F8" s="423" t="s">
        <v>470</v>
      </c>
      <c r="G8" s="423"/>
      <c r="H8" s="423"/>
      <c r="I8" s="423" t="s">
        <v>471</v>
      </c>
      <c r="J8" s="423" t="s">
        <v>472</v>
      </c>
      <c r="K8" s="423"/>
      <c r="L8" s="423" t="s">
        <v>473</v>
      </c>
      <c r="M8" s="423" t="s">
        <v>474</v>
      </c>
      <c r="N8" s="423"/>
      <c r="O8" s="423"/>
      <c r="P8" s="423"/>
      <c r="Q8" s="423"/>
      <c r="R8" s="423"/>
      <c r="S8" s="423"/>
      <c r="T8" s="423"/>
      <c r="U8" s="424"/>
      <c r="V8" s="424"/>
      <c r="W8" s="424"/>
      <c r="X8" s="424"/>
      <c r="Y8" s="424"/>
      <c r="Z8" s="424"/>
      <c r="AA8" s="424"/>
      <c r="AB8" s="424"/>
      <c r="AC8" s="424"/>
      <c r="AD8" s="424"/>
      <c r="AE8" s="424"/>
      <c r="AF8" s="424"/>
      <c r="AG8" s="424"/>
      <c r="AH8" s="424"/>
      <c r="AI8" s="424"/>
      <c r="AJ8" s="424"/>
      <c r="AK8" s="424"/>
      <c r="AL8" s="424"/>
      <c r="AM8" s="424"/>
      <c r="AN8" s="424"/>
      <c r="AO8" s="424"/>
      <c r="AP8" s="424"/>
      <c r="AQ8" s="424"/>
      <c r="AR8" s="424"/>
      <c r="AS8" s="424"/>
      <c r="AT8" s="424"/>
      <c r="AU8" s="424"/>
      <c r="AV8" s="425"/>
      <c r="AW8" s="425"/>
      <c r="AX8" s="425"/>
      <c r="AY8" s="425"/>
      <c r="AZ8" s="425"/>
      <c r="BA8" s="425"/>
      <c r="BB8" s="413" t="s">
        <v>475</v>
      </c>
      <c r="BC8" s="426">
        <v>64.239999999999995</v>
      </c>
      <c r="BD8" s="427">
        <f>6.17/24*30/2</f>
        <v>3.8562500000000002</v>
      </c>
      <c r="BE8" s="428">
        <f>BC8+BD8</f>
        <v>68.096249999999998</v>
      </c>
      <c r="BF8" s="429"/>
      <c r="BG8" s="429"/>
      <c r="BH8" s="429"/>
      <c r="BI8" s="430"/>
      <c r="BJ8" s="430" t="s">
        <v>6</v>
      </c>
      <c r="BK8" s="431">
        <v>0</v>
      </c>
      <c r="BL8" s="431">
        <v>1</v>
      </c>
      <c r="BM8" s="432" t="s">
        <v>476</v>
      </c>
      <c r="BN8" s="430" t="s">
        <v>8</v>
      </c>
      <c r="BO8" s="433"/>
      <c r="BP8" s="433"/>
      <c r="BQ8" s="433"/>
      <c r="BR8" s="433"/>
      <c r="BS8" s="433"/>
      <c r="BT8" s="429"/>
      <c r="BU8" s="429"/>
      <c r="CJ8" s="435"/>
      <c r="CK8" s="435"/>
    </row>
    <row r="9" spans="1:93" s="434" customFormat="1" ht="15.6" x14ac:dyDescent="0.25">
      <c r="A9" s="423"/>
      <c r="B9" s="424"/>
      <c r="C9" s="436">
        <f>BC53</f>
        <v>0.05</v>
      </c>
      <c r="D9" s="437"/>
      <c r="E9" s="438"/>
      <c r="F9" s="437">
        <f>BC59</f>
        <v>0.11111111111111112</v>
      </c>
      <c r="G9" s="437"/>
      <c r="H9" s="439"/>
      <c r="I9" s="440">
        <f>+BC33+BC34+BC35+BC36</f>
        <v>7.5000000000000011E-2</v>
      </c>
      <c r="J9" s="436">
        <f>BC54</f>
        <v>0.18</v>
      </c>
      <c r="K9" s="437"/>
      <c r="L9" s="439">
        <f>+$BC$63</f>
        <v>0.05</v>
      </c>
      <c r="M9" s="438">
        <f>BC58</f>
        <v>0.18</v>
      </c>
      <c r="N9" s="423"/>
      <c r="O9" s="423"/>
      <c r="P9" s="423"/>
      <c r="Q9" s="423"/>
      <c r="R9" s="423"/>
      <c r="S9" s="423"/>
      <c r="T9" s="423"/>
      <c r="U9" s="424"/>
      <c r="V9" s="424"/>
      <c r="W9" s="424">
        <f>V18+W18+X18+Y18</f>
        <v>0</v>
      </c>
      <c r="X9" s="424">
        <f>V18+W18</f>
        <v>0</v>
      </c>
      <c r="Y9" s="424"/>
      <c r="Z9" s="424"/>
      <c r="AA9" s="424"/>
      <c r="AB9" s="424"/>
      <c r="AC9" s="424"/>
      <c r="AD9" s="424"/>
      <c r="AE9" s="424"/>
      <c r="AF9" s="424"/>
      <c r="AG9" s="424"/>
      <c r="AH9" s="424"/>
      <c r="AI9" s="424"/>
      <c r="AJ9" s="424"/>
      <c r="AK9" s="424"/>
      <c r="AL9" s="424"/>
      <c r="AM9" s="424"/>
      <c r="AN9" s="424"/>
      <c r="AO9" s="424"/>
      <c r="AP9" s="424"/>
      <c r="AQ9" s="424"/>
      <c r="AR9" s="424"/>
      <c r="AS9" s="424"/>
      <c r="AT9" s="424"/>
      <c r="AU9" s="424"/>
      <c r="AV9" s="425"/>
      <c r="AW9" s="425"/>
      <c r="AX9" s="425"/>
      <c r="AY9" s="425"/>
      <c r="AZ9" s="425"/>
      <c r="BA9" s="425"/>
      <c r="BB9" s="413" t="s">
        <v>477</v>
      </c>
      <c r="BC9" s="441">
        <v>70.760000000000005</v>
      </c>
      <c r="BD9" s="427">
        <f>BD8*1.06795</f>
        <v>4.1182821875000002</v>
      </c>
      <c r="BE9" s="428">
        <f>BC9+BD9</f>
        <v>74.878282187500005</v>
      </c>
      <c r="BF9" s="429"/>
      <c r="BG9" s="429"/>
      <c r="BH9" s="429"/>
      <c r="BI9" s="430"/>
      <c r="BJ9" s="430"/>
      <c r="BK9" s="430"/>
      <c r="BL9" s="430"/>
      <c r="BM9" s="431">
        <v>0.1</v>
      </c>
      <c r="BN9" s="430"/>
      <c r="BO9" s="433"/>
      <c r="BP9" s="433"/>
      <c r="BQ9" s="433"/>
      <c r="BR9" s="433"/>
      <c r="BS9" s="433"/>
      <c r="BT9" s="429"/>
      <c r="BU9" s="429"/>
      <c r="CJ9" s="435"/>
      <c r="CK9" s="435"/>
    </row>
    <row r="10" spans="1:93" ht="15.6" x14ac:dyDescent="0.25">
      <c r="A10" s="442"/>
      <c r="B10" s="443"/>
      <c r="C10" s="444" t="str">
        <f>'[1]Basic cost'!G3</f>
        <v>1USD=Rs.(with forward premium rate)</v>
      </c>
      <c r="D10" s="445">
        <f>'[1]Basic cost'!H3</f>
        <v>68.096249999999998</v>
      </c>
      <c r="E10" s="446"/>
      <c r="F10" s="447"/>
      <c r="G10" s="448"/>
      <c r="H10" s="448"/>
      <c r="I10" s="448"/>
      <c r="J10" s="449"/>
      <c r="K10" s="448"/>
      <c r="L10" s="449"/>
      <c r="M10" s="448"/>
      <c r="N10" s="450"/>
      <c r="O10" s="448"/>
      <c r="P10" s="446"/>
      <c r="Q10" s="446"/>
      <c r="R10" s="446"/>
      <c r="S10" s="446"/>
      <c r="T10" s="446"/>
      <c r="U10" s="443"/>
      <c r="V10" s="443"/>
      <c r="W10" s="443"/>
      <c r="X10" s="443"/>
      <c r="Y10" s="443"/>
      <c r="Z10" s="443"/>
      <c r="AA10" s="443"/>
      <c r="AB10" s="443"/>
      <c r="AC10" s="443"/>
      <c r="AD10" s="443"/>
      <c r="AE10" s="443"/>
      <c r="AF10" s="443"/>
      <c r="AG10" s="443"/>
      <c r="AH10" s="443"/>
      <c r="AI10" s="443"/>
      <c r="AJ10" s="443"/>
      <c r="AK10" s="443"/>
      <c r="AL10" s="443"/>
      <c r="AM10" s="443"/>
      <c r="AN10" s="443"/>
      <c r="AO10" s="443"/>
      <c r="AP10" s="443"/>
      <c r="AQ10" s="443"/>
      <c r="AR10" s="443"/>
      <c r="AS10" s="443"/>
      <c r="AT10" s="443"/>
      <c r="AU10" s="443"/>
      <c r="AV10" s="391"/>
      <c r="AW10" s="391"/>
      <c r="AX10" s="391"/>
      <c r="AY10" s="391"/>
      <c r="AZ10" s="391"/>
      <c r="BA10" s="391"/>
      <c r="BB10" s="413" t="s">
        <v>478</v>
      </c>
      <c r="BC10" s="451"/>
      <c r="BD10" s="452"/>
      <c r="BE10" s="453"/>
      <c r="BF10" s="453"/>
      <c r="BG10" s="453"/>
      <c r="BH10" s="630">
        <v>0.3</v>
      </c>
      <c r="BI10" s="454" t="s">
        <v>479</v>
      </c>
      <c r="BJ10" s="455">
        <f>+BJ1*BH10</f>
        <v>43.326275138760444</v>
      </c>
      <c r="BK10" s="455">
        <f>+BJ10*BK8</f>
        <v>0</v>
      </c>
      <c r="BL10" s="455">
        <f>+BJ10*BL8</f>
        <v>43.326275138760444</v>
      </c>
      <c r="BM10" s="454">
        <f>BL10*BM9/2</f>
        <v>2.1663137569380222</v>
      </c>
      <c r="BN10" s="455">
        <f>+BM10+BL10+BK10</f>
        <v>45.492588895698468</v>
      </c>
      <c r="BO10" s="456"/>
      <c r="BP10" s="456"/>
      <c r="BQ10" s="456"/>
      <c r="BR10" s="456"/>
      <c r="BS10" s="456"/>
      <c r="BT10" s="453"/>
      <c r="BU10" s="453"/>
      <c r="CJ10" s="458"/>
      <c r="CK10" s="458"/>
    </row>
    <row r="11" spans="1:93" ht="15.6" x14ac:dyDescent="0.25">
      <c r="A11" s="442"/>
      <c r="B11" s="442"/>
      <c r="C11" s="444" t="str">
        <f>'[1]Basic cost'!E3</f>
        <v>1EURO=Rs.(with forward premium rate)</v>
      </c>
      <c r="D11" s="445">
        <f>'[1]Basic cost'!F3</f>
        <v>74.878282187500005</v>
      </c>
      <c r="E11" s="459"/>
      <c r="F11" s="460"/>
      <c r="G11" s="446"/>
      <c r="H11" s="446"/>
      <c r="I11" s="446"/>
      <c r="J11" s="446"/>
      <c r="K11" s="446"/>
      <c r="L11" s="446"/>
      <c r="M11" s="446"/>
      <c r="N11" s="446"/>
      <c r="O11" s="446"/>
      <c r="P11" s="446"/>
      <c r="Q11" s="446"/>
      <c r="R11" s="442"/>
      <c r="S11" s="442"/>
      <c r="T11" s="446"/>
      <c r="U11" s="442"/>
      <c r="V11" s="442"/>
      <c r="W11" s="442"/>
      <c r="X11" s="442"/>
      <c r="Y11" s="442"/>
      <c r="Z11" s="446"/>
      <c r="AA11" s="446"/>
      <c r="AB11" s="446"/>
      <c r="AC11" s="446"/>
      <c r="AD11" s="446"/>
      <c r="AE11" s="446"/>
      <c r="AF11" s="446"/>
      <c r="AG11" s="446"/>
      <c r="AH11" s="446"/>
      <c r="AI11" s="446"/>
      <c r="AJ11" s="446"/>
      <c r="AK11" s="446"/>
      <c r="AL11" s="446"/>
      <c r="AM11" s="446"/>
      <c r="AN11" s="446"/>
      <c r="AO11" s="446"/>
      <c r="AP11" s="442"/>
      <c r="AQ11" s="442"/>
      <c r="AR11" s="442"/>
      <c r="AS11" s="446"/>
      <c r="AT11" s="442"/>
      <c r="AU11" s="442"/>
      <c r="AV11" s="395"/>
      <c r="AW11" s="391"/>
      <c r="AX11" s="391"/>
      <c r="AY11" s="391"/>
      <c r="AZ11" s="391"/>
      <c r="BA11" s="391"/>
      <c r="BB11" s="413" t="s">
        <v>480</v>
      </c>
      <c r="BC11" s="451"/>
      <c r="BD11" s="452"/>
      <c r="BE11" s="461"/>
      <c r="BG11" s="453"/>
      <c r="BH11" s="630">
        <v>0.32500000000000001</v>
      </c>
      <c r="BI11" s="454" t="s">
        <v>481</v>
      </c>
      <c r="BJ11" s="455">
        <f>+BJ1*BH11</f>
        <v>46.936798066990484</v>
      </c>
      <c r="BK11" s="455">
        <f>+BJ11*BK8</f>
        <v>0</v>
      </c>
      <c r="BL11" s="455">
        <f>+BJ11*BL8</f>
        <v>46.936798066990484</v>
      </c>
      <c r="BM11" s="454">
        <f>(BL11*BM9/2+BL10*BM9)*12/12</f>
        <v>6.6794674172255695</v>
      </c>
      <c r="BN11" s="455">
        <f>+BM11+BL11+BK11</f>
        <v>53.616265484216051</v>
      </c>
      <c r="BO11" s="456"/>
      <c r="BP11" s="456"/>
      <c r="BQ11" s="456"/>
      <c r="BR11" s="456"/>
      <c r="BS11" s="456"/>
      <c r="BU11" s="453"/>
    </row>
    <row r="12" spans="1:93" ht="15.6" x14ac:dyDescent="0.25">
      <c r="A12" s="462" t="s">
        <v>482</v>
      </c>
      <c r="B12" s="462" t="s">
        <v>483</v>
      </c>
      <c r="C12" s="462" t="s">
        <v>484</v>
      </c>
      <c r="D12" s="1150" t="s">
        <v>485</v>
      </c>
      <c r="E12" s="1150"/>
      <c r="F12" s="1150"/>
      <c r="G12" s="1150"/>
      <c r="H12" s="462" t="s">
        <v>486</v>
      </c>
      <c r="I12" s="462"/>
      <c r="J12" s="462" t="s">
        <v>487</v>
      </c>
      <c r="K12" s="462"/>
      <c r="L12" s="1151" t="s">
        <v>488</v>
      </c>
      <c r="M12" s="1151"/>
      <c r="N12" s="1151" t="s">
        <v>489</v>
      </c>
      <c r="O12" s="1151"/>
      <c r="P12" s="1150" t="s">
        <v>434</v>
      </c>
      <c r="Q12" s="1150"/>
      <c r="R12" s="1150" t="s">
        <v>490</v>
      </c>
      <c r="S12" s="1150"/>
      <c r="T12" s="1150"/>
      <c r="U12" s="1150"/>
      <c r="V12" s="1150" t="s">
        <v>491</v>
      </c>
      <c r="W12" s="1150"/>
      <c r="X12" s="1150"/>
      <c r="Y12" s="1150"/>
      <c r="Z12" s="1150" t="s">
        <v>492</v>
      </c>
      <c r="AA12" s="1150"/>
      <c r="AB12" s="1150"/>
      <c r="AC12" s="1158" t="s">
        <v>493</v>
      </c>
      <c r="AD12" s="1158"/>
      <c r="AE12" s="1158"/>
      <c r="AF12" s="1158"/>
      <c r="AG12" s="1158"/>
      <c r="AH12" s="1158" t="s">
        <v>494</v>
      </c>
      <c r="AI12" s="1158"/>
      <c r="AJ12" s="1158"/>
      <c r="AK12" s="1150" t="s">
        <v>495</v>
      </c>
      <c r="AL12" s="1150"/>
      <c r="AM12" s="1150" t="s">
        <v>496</v>
      </c>
      <c r="AN12" s="1150"/>
      <c r="AO12" s="1150" t="s">
        <v>497</v>
      </c>
      <c r="AP12" s="1150"/>
      <c r="AQ12" s="1150" t="s">
        <v>498</v>
      </c>
      <c r="AR12" s="1150"/>
      <c r="AS12" s="1152" t="s">
        <v>499</v>
      </c>
      <c r="AT12" s="1150"/>
      <c r="AU12" s="1153"/>
      <c r="AV12" s="1154" t="s">
        <v>500</v>
      </c>
      <c r="AW12" s="1155"/>
      <c r="AX12" s="1155"/>
      <c r="AY12" s="422"/>
      <c r="AZ12" s="419"/>
      <c r="BA12" s="466"/>
      <c r="BB12" s="413"/>
      <c r="BC12" s="451"/>
      <c r="BD12" s="452"/>
      <c r="BG12" s="453"/>
      <c r="BH12" s="630">
        <f>0.825-SUM(BH10:BH11)</f>
        <v>0.19999999999999996</v>
      </c>
      <c r="BI12" s="454" t="s">
        <v>664</v>
      </c>
      <c r="BJ12" s="455">
        <f>+BJ1*BH12</f>
        <v>28.884183425840291</v>
      </c>
      <c r="BK12" s="455">
        <f>+BJ12*BK8</f>
        <v>0</v>
      </c>
      <c r="BL12" s="455">
        <f>+BJ12*BL8</f>
        <v>28.884183425840291</v>
      </c>
      <c r="BM12" s="454">
        <f>(BL12*BM9/2+(BL11+BL10)*BM9)*3/12</f>
        <v>2.6176291229667767</v>
      </c>
      <c r="BN12" s="455">
        <f>+BM12+BL12+BK12</f>
        <v>31.501812548807067</v>
      </c>
      <c r="BO12" s="456"/>
      <c r="BP12" s="456"/>
      <c r="BQ12" s="456"/>
      <c r="BR12" s="456"/>
      <c r="BS12" s="456"/>
      <c r="BT12" s="461"/>
      <c r="BU12" s="453"/>
    </row>
    <row r="13" spans="1:93" ht="35.25" customHeight="1" x14ac:dyDescent="0.25">
      <c r="A13" s="395"/>
      <c r="B13" s="395"/>
      <c r="C13" s="395" t="s">
        <v>501</v>
      </c>
      <c r="D13" s="1162" t="s">
        <v>502</v>
      </c>
      <c r="E13" s="1162"/>
      <c r="F13" s="1162" t="s">
        <v>503</v>
      </c>
      <c r="G13" s="1162"/>
      <c r="H13" s="395" t="s">
        <v>502</v>
      </c>
      <c r="I13" s="395" t="s">
        <v>503</v>
      </c>
      <c r="J13" s="395" t="s">
        <v>502</v>
      </c>
      <c r="K13" s="395" t="s">
        <v>503</v>
      </c>
      <c r="L13" s="395" t="s">
        <v>504</v>
      </c>
      <c r="M13" s="395" t="s">
        <v>505</v>
      </c>
      <c r="N13" s="395" t="s">
        <v>502</v>
      </c>
      <c r="O13" s="395" t="s">
        <v>503</v>
      </c>
      <c r="P13" s="467" t="s">
        <v>506</v>
      </c>
      <c r="Q13" s="468" t="s">
        <v>507</v>
      </c>
      <c r="R13" s="395" t="s">
        <v>508</v>
      </c>
      <c r="S13" s="395" t="s">
        <v>509</v>
      </c>
      <c r="T13" s="395" t="s">
        <v>510</v>
      </c>
      <c r="U13" s="395" t="s">
        <v>511</v>
      </c>
      <c r="V13" s="1162" t="s">
        <v>512</v>
      </c>
      <c r="W13" s="1162"/>
      <c r="X13" s="1162"/>
      <c r="Y13" s="395" t="s">
        <v>513</v>
      </c>
      <c r="Z13" s="395" t="s">
        <v>514</v>
      </c>
      <c r="AA13" s="395" t="s">
        <v>515</v>
      </c>
      <c r="AB13" s="395" t="s">
        <v>515</v>
      </c>
      <c r="AC13" s="395" t="s">
        <v>469</v>
      </c>
      <c r="AD13" s="395" t="s">
        <v>516</v>
      </c>
      <c r="AE13" s="395" t="s">
        <v>517</v>
      </c>
      <c r="AF13" s="469" t="str">
        <f>BB61</f>
        <v>Social Welfare surcharge</v>
      </c>
      <c r="AG13" s="395" t="s">
        <v>516</v>
      </c>
      <c r="AH13" s="395" t="s">
        <v>516</v>
      </c>
      <c r="AI13" s="395" t="s">
        <v>516</v>
      </c>
      <c r="AJ13" s="395" t="s">
        <v>506</v>
      </c>
      <c r="AK13" s="395"/>
      <c r="AL13" s="395"/>
      <c r="AM13" s="395"/>
      <c r="AN13" s="395"/>
      <c r="AO13" s="395"/>
      <c r="AP13" s="395"/>
      <c r="AQ13" s="395"/>
      <c r="AR13" s="390"/>
      <c r="AS13" s="470"/>
      <c r="AT13" s="395"/>
      <c r="AU13" s="471"/>
      <c r="AV13" s="1156" t="s">
        <v>518</v>
      </c>
      <c r="AW13" s="1157"/>
      <c r="AX13" s="1157"/>
      <c r="AZ13" s="453"/>
      <c r="BA13" s="472"/>
      <c r="BB13" s="413"/>
      <c r="BC13" s="451"/>
      <c r="BD13" s="452"/>
      <c r="BG13" s="453"/>
      <c r="BH13" s="629">
        <v>0.17499999999999999</v>
      </c>
      <c r="BI13" s="455" t="s">
        <v>519</v>
      </c>
      <c r="BJ13" s="455">
        <f>+BJ1*BH13</f>
        <v>25.273660497610258</v>
      </c>
      <c r="BK13" s="455">
        <f>+BJ13*BK8</f>
        <v>0</v>
      </c>
      <c r="BL13" s="455">
        <f>+BJ13*BL8</f>
        <v>25.273660497610258</v>
      </c>
      <c r="BM13" s="455">
        <v>0</v>
      </c>
      <c r="BN13" s="455">
        <f>+BM13+BL13+BK13</f>
        <v>25.273660497610258</v>
      </c>
      <c r="BO13" s="456"/>
      <c r="BP13" s="456"/>
      <c r="BQ13" s="456"/>
      <c r="BR13" s="456"/>
      <c r="BS13" s="456"/>
      <c r="BU13" s="453"/>
    </row>
    <row r="14" spans="1:93" ht="31.2" x14ac:dyDescent="0.25">
      <c r="A14" s="462"/>
      <c r="B14" s="462"/>
      <c r="C14" s="462"/>
      <c r="D14" s="462" t="s">
        <v>520</v>
      </c>
      <c r="E14" s="462" t="s">
        <v>521</v>
      </c>
      <c r="F14" s="462" t="s">
        <v>520</v>
      </c>
      <c r="G14" s="462" t="s">
        <v>521</v>
      </c>
      <c r="H14" s="462"/>
      <c r="I14" s="462"/>
      <c r="J14" s="462"/>
      <c r="K14" s="462"/>
      <c r="L14" s="462" t="s">
        <v>503</v>
      </c>
      <c r="M14" s="462" t="s">
        <v>503</v>
      </c>
      <c r="N14" s="462"/>
      <c r="O14" s="462"/>
      <c r="P14" s="462"/>
      <c r="Q14" s="462"/>
      <c r="R14" s="462"/>
      <c r="S14" s="462"/>
      <c r="T14" s="462"/>
      <c r="U14" s="462"/>
      <c r="V14" s="474" t="s">
        <v>522</v>
      </c>
      <c r="W14" s="1151" t="s">
        <v>523</v>
      </c>
      <c r="X14" s="1151"/>
      <c r="Y14" s="462"/>
      <c r="Z14" s="462" t="s">
        <v>524</v>
      </c>
      <c r="AA14" s="462" t="s">
        <v>524</v>
      </c>
      <c r="AB14" s="462" t="s">
        <v>525</v>
      </c>
      <c r="AC14" s="462"/>
      <c r="AD14" s="462" t="s">
        <v>526</v>
      </c>
      <c r="AE14" s="462" t="s">
        <v>527</v>
      </c>
      <c r="AF14" s="462"/>
      <c r="AG14" s="462" t="s">
        <v>528</v>
      </c>
      <c r="AH14" s="462" t="s">
        <v>529</v>
      </c>
      <c r="AI14" s="462" t="s">
        <v>530</v>
      </c>
      <c r="AJ14" s="462"/>
      <c r="AK14" s="462"/>
      <c r="AL14" s="462"/>
      <c r="AM14" s="462"/>
      <c r="AN14" s="462"/>
      <c r="AO14" s="462"/>
      <c r="AP14" s="462"/>
      <c r="AQ14" s="462"/>
      <c r="AR14" s="462"/>
      <c r="AS14" s="475"/>
      <c r="AT14" s="462"/>
      <c r="AU14" s="476"/>
      <c r="AV14" s="476" t="s">
        <v>531</v>
      </c>
      <c r="AW14" s="458"/>
      <c r="AX14" s="458"/>
      <c r="AZ14" s="453"/>
      <c r="BA14" s="472"/>
      <c r="BB14" s="413"/>
      <c r="BC14" s="451"/>
      <c r="BD14" s="452"/>
      <c r="BG14" s="453"/>
      <c r="BH14" s="473">
        <f>SUM(BH10:BH13)</f>
        <v>1</v>
      </c>
      <c r="BI14" s="455" t="s">
        <v>1</v>
      </c>
      <c r="BJ14" s="455">
        <f>SUM(BJ10:BJ13)</f>
        <v>144.42091712920148</v>
      </c>
      <c r="BK14" s="455">
        <f>SUM(BK10:BK13)</f>
        <v>0</v>
      </c>
      <c r="BL14" s="455">
        <f>SUM(BL10:BL13)</f>
        <v>144.42091712920148</v>
      </c>
      <c r="BM14" s="455">
        <f>SUM(BM10:BM13)</f>
        <v>11.463410297130368</v>
      </c>
      <c r="BN14" s="455">
        <f>SUM(BN10:BN13)</f>
        <v>155.88432742633182</v>
      </c>
      <c r="BO14" s="456"/>
      <c r="BP14" s="456"/>
      <c r="BQ14" s="456"/>
      <c r="BR14" s="456"/>
      <c r="BS14" s="456"/>
      <c r="BU14" s="453"/>
    </row>
    <row r="15" spans="1:93" ht="15.6" x14ac:dyDescent="0.25">
      <c r="A15" s="395"/>
      <c r="B15" s="395"/>
      <c r="C15" s="390"/>
      <c r="D15" s="395" t="s">
        <v>484</v>
      </c>
      <c r="E15" s="395" t="s">
        <v>484</v>
      </c>
      <c r="F15" s="395" t="s">
        <v>532</v>
      </c>
      <c r="G15" s="395" t="s">
        <v>532</v>
      </c>
      <c r="H15" s="395" t="s">
        <v>484</v>
      </c>
      <c r="I15" s="395" t="s">
        <v>532</v>
      </c>
      <c r="J15" s="395" t="s">
        <v>484</v>
      </c>
      <c r="K15" s="395" t="s">
        <v>532</v>
      </c>
      <c r="L15" s="395" t="s">
        <v>532</v>
      </c>
      <c r="M15" s="395" t="s">
        <v>532</v>
      </c>
      <c r="N15" s="395" t="s">
        <v>484</v>
      </c>
      <c r="O15" s="395" t="s">
        <v>532</v>
      </c>
      <c r="P15" s="395" t="s">
        <v>532</v>
      </c>
      <c r="Q15" s="395" t="s">
        <v>532</v>
      </c>
      <c r="R15" s="395" t="s">
        <v>532</v>
      </c>
      <c r="S15" s="395" t="s">
        <v>532</v>
      </c>
      <c r="T15" s="395" t="s">
        <v>532</v>
      </c>
      <c r="U15" s="395" t="s">
        <v>532</v>
      </c>
      <c r="V15" s="395" t="s">
        <v>484</v>
      </c>
      <c r="W15" s="395" t="s">
        <v>484</v>
      </c>
      <c r="X15" s="395" t="s">
        <v>532</v>
      </c>
      <c r="Y15" s="395" t="s">
        <v>532</v>
      </c>
      <c r="Z15" s="395" t="s">
        <v>484</v>
      </c>
      <c r="AA15" s="395" t="s">
        <v>532</v>
      </c>
      <c r="AB15" s="395" t="s">
        <v>532</v>
      </c>
      <c r="AC15" s="395" t="s">
        <v>532</v>
      </c>
      <c r="AD15" s="395" t="s">
        <v>532</v>
      </c>
      <c r="AE15" s="395" t="s">
        <v>532</v>
      </c>
      <c r="AF15" s="395" t="s">
        <v>532</v>
      </c>
      <c r="AG15" s="395" t="s">
        <v>532</v>
      </c>
      <c r="AH15" s="395" t="s">
        <v>532</v>
      </c>
      <c r="AI15" s="395" t="s">
        <v>532</v>
      </c>
      <c r="AJ15" s="395" t="s">
        <v>532</v>
      </c>
      <c r="AK15" s="395" t="s">
        <v>484</v>
      </c>
      <c r="AL15" s="395" t="s">
        <v>532</v>
      </c>
      <c r="AM15" s="395" t="s">
        <v>484</v>
      </c>
      <c r="AN15" s="395" t="s">
        <v>532</v>
      </c>
      <c r="AO15" s="395" t="s">
        <v>484</v>
      </c>
      <c r="AP15" s="395" t="s">
        <v>532</v>
      </c>
      <c r="AQ15" s="395" t="s">
        <v>484</v>
      </c>
      <c r="AR15" s="395" t="s">
        <v>532</v>
      </c>
      <c r="AS15" s="470" t="s">
        <v>484</v>
      </c>
      <c r="AT15" s="395" t="s">
        <v>532</v>
      </c>
      <c r="AU15" s="471" t="s">
        <v>533</v>
      </c>
      <c r="AV15" s="476" t="s">
        <v>532</v>
      </c>
      <c r="AW15" s="458" t="s">
        <v>532</v>
      </c>
      <c r="AX15" s="458" t="s">
        <v>533</v>
      </c>
      <c r="AZ15" s="453"/>
      <c r="BA15" s="472"/>
      <c r="BB15" s="413"/>
      <c r="BC15" s="477"/>
      <c r="BD15" s="452"/>
      <c r="BG15" s="453"/>
      <c r="BH15" s="453"/>
      <c r="BI15" s="455" t="s">
        <v>534</v>
      </c>
      <c r="BJ15" s="455"/>
      <c r="BK15" s="455"/>
      <c r="BL15" s="455"/>
      <c r="BM15" s="455"/>
      <c r="BN15" s="455">
        <f>AT25</f>
        <v>19.96290507093622</v>
      </c>
      <c r="BO15" s="456"/>
      <c r="BP15" s="456"/>
      <c r="BQ15" s="456"/>
      <c r="BR15" s="456"/>
      <c r="BS15" s="456"/>
      <c r="BU15" s="453"/>
      <c r="CJ15" s="457">
        <f>+CI15*(1.3*1.04)+CI15*0.03</f>
        <v>0</v>
      </c>
    </row>
    <row r="16" spans="1:93" ht="20.25" customHeight="1" x14ac:dyDescent="0.25">
      <c r="A16" s="462" t="s">
        <v>14</v>
      </c>
      <c r="B16" s="462" t="s">
        <v>10</v>
      </c>
      <c r="C16" s="462" t="s">
        <v>11</v>
      </c>
      <c r="D16" s="462" t="s">
        <v>256</v>
      </c>
      <c r="E16" s="462" t="s">
        <v>257</v>
      </c>
      <c r="F16" s="462" t="s">
        <v>535</v>
      </c>
      <c r="G16" s="462" t="s">
        <v>536</v>
      </c>
      <c r="H16" s="462" t="s">
        <v>537</v>
      </c>
      <c r="I16" s="462" t="s">
        <v>18</v>
      </c>
      <c r="J16" s="462" t="s">
        <v>538</v>
      </c>
      <c r="K16" s="462" t="s">
        <v>539</v>
      </c>
      <c r="L16" s="462" t="s">
        <v>540</v>
      </c>
      <c r="M16" s="462" t="s">
        <v>541</v>
      </c>
      <c r="N16" s="462" t="s">
        <v>542</v>
      </c>
      <c r="O16" s="462" t="s">
        <v>543</v>
      </c>
      <c r="P16" s="462" t="s">
        <v>544</v>
      </c>
      <c r="Q16" s="462"/>
      <c r="R16" s="462" t="s">
        <v>545</v>
      </c>
      <c r="S16" s="462" t="s">
        <v>546</v>
      </c>
      <c r="T16" s="478" t="s">
        <v>547</v>
      </c>
      <c r="U16" s="462" t="s">
        <v>9</v>
      </c>
      <c r="V16" s="462" t="s">
        <v>548</v>
      </c>
      <c r="W16" s="462" t="s">
        <v>12</v>
      </c>
      <c r="X16" s="462" t="s">
        <v>549</v>
      </c>
      <c r="Y16" s="462" t="s">
        <v>550</v>
      </c>
      <c r="Z16" s="462" t="s">
        <v>551</v>
      </c>
      <c r="AA16" s="462" t="s">
        <v>552</v>
      </c>
      <c r="AB16" s="462" t="s">
        <v>553</v>
      </c>
      <c r="AC16" s="462" t="s">
        <v>554</v>
      </c>
      <c r="AD16" s="462" t="s">
        <v>555</v>
      </c>
      <c r="AE16" s="462" t="s">
        <v>556</v>
      </c>
      <c r="AF16" s="462" t="s">
        <v>557</v>
      </c>
      <c r="AG16" s="462" t="s">
        <v>558</v>
      </c>
      <c r="AH16" s="462" t="s">
        <v>559</v>
      </c>
      <c r="AI16" s="462" t="s">
        <v>560</v>
      </c>
      <c r="AJ16" s="462" t="s">
        <v>561</v>
      </c>
      <c r="AK16" s="462" t="s">
        <v>562</v>
      </c>
      <c r="AL16" s="462" t="s">
        <v>563</v>
      </c>
      <c r="AM16" s="462" t="s">
        <v>564</v>
      </c>
      <c r="AN16" s="462" t="s">
        <v>565</v>
      </c>
      <c r="AO16" s="462" t="s">
        <v>566</v>
      </c>
      <c r="AP16" s="462" t="s">
        <v>567</v>
      </c>
      <c r="AQ16" s="462" t="s">
        <v>568</v>
      </c>
      <c r="AR16" s="462" t="s">
        <v>569</v>
      </c>
      <c r="AS16" s="475" t="s">
        <v>570</v>
      </c>
      <c r="AT16" s="462" t="s">
        <v>571</v>
      </c>
      <c r="AU16" s="476" t="s">
        <v>572</v>
      </c>
      <c r="AV16" s="476" t="s">
        <v>570</v>
      </c>
      <c r="AW16" s="458"/>
      <c r="AX16" s="458"/>
      <c r="AZ16" s="453"/>
      <c r="BA16" s="472"/>
      <c r="BB16" s="413"/>
      <c r="BC16" s="477"/>
      <c r="BD16" s="452"/>
      <c r="BG16" s="453"/>
      <c r="BH16" s="453"/>
      <c r="BI16" s="455" t="s">
        <v>573</v>
      </c>
      <c r="BJ16" s="455"/>
      <c r="BK16" s="455"/>
      <c r="BL16" s="455"/>
      <c r="BM16" s="455"/>
      <c r="BN16" s="455">
        <f>+BN14-BN15</f>
        <v>135.92142235539561</v>
      </c>
      <c r="BO16" s="456"/>
      <c r="BP16" s="456"/>
      <c r="BQ16" s="456"/>
      <c r="BR16" s="456"/>
      <c r="BS16" s="456"/>
      <c r="BU16" s="453"/>
      <c r="CJ16" s="457">
        <f>+CI16*(1.3*1.04)+CI16*0.03</f>
        <v>0</v>
      </c>
    </row>
    <row r="17" spans="1:73" s="487" customFormat="1" ht="21" customHeight="1" x14ac:dyDescent="0.25">
      <c r="A17" s="479"/>
      <c r="B17" s="480"/>
      <c r="C17" s="481"/>
      <c r="D17" s="482"/>
      <c r="E17" s="482"/>
      <c r="F17" s="482"/>
      <c r="G17" s="482"/>
      <c r="H17" s="482"/>
      <c r="I17" s="482"/>
      <c r="J17" s="483"/>
      <c r="K17" s="482"/>
      <c r="L17" s="482"/>
      <c r="M17" s="482"/>
      <c r="N17" s="482"/>
      <c r="O17" s="482"/>
      <c r="P17" s="482"/>
      <c r="Q17" s="482"/>
      <c r="R17" s="482"/>
      <c r="S17" s="482"/>
      <c r="T17" s="482"/>
      <c r="U17" s="482"/>
      <c r="V17" s="482"/>
      <c r="W17" s="482"/>
      <c r="X17" s="482"/>
      <c r="Y17" s="482"/>
      <c r="Z17" s="482"/>
      <c r="AA17" s="482"/>
      <c r="AB17" s="482"/>
      <c r="AC17" s="482"/>
      <c r="AD17" s="482"/>
      <c r="AE17" s="482"/>
      <c r="AF17" s="482"/>
      <c r="AG17" s="482"/>
      <c r="AH17" s="482"/>
      <c r="AI17" s="482"/>
      <c r="AJ17" s="482"/>
      <c r="AK17" s="483"/>
      <c r="AL17" s="482"/>
      <c r="AM17" s="482"/>
      <c r="AN17" s="482"/>
      <c r="AO17" s="482"/>
      <c r="AP17" s="483"/>
      <c r="AQ17" s="482"/>
      <c r="AR17" s="482"/>
      <c r="AS17" s="484"/>
      <c r="AT17" s="482"/>
      <c r="AU17" s="485"/>
      <c r="AV17" s="486"/>
      <c r="AZ17" s="488"/>
      <c r="BA17" s="489"/>
      <c r="BB17" s="413"/>
      <c r="BC17" s="451"/>
      <c r="BD17" s="490"/>
      <c r="BE17" s="488"/>
      <c r="BF17" s="488"/>
      <c r="BG17" s="488"/>
      <c r="BH17" s="488"/>
      <c r="BI17" s="488"/>
      <c r="BJ17" s="488"/>
      <c r="BK17" s="488"/>
      <c r="BL17" s="488"/>
      <c r="BM17" s="488"/>
      <c r="BN17" s="488"/>
      <c r="BO17" s="488"/>
      <c r="BP17" s="488"/>
      <c r="BQ17" s="488"/>
      <c r="BR17" s="488"/>
      <c r="BU17" s="488"/>
    </row>
    <row r="18" spans="1:73" s="500" customFormat="1" ht="36" customHeight="1" x14ac:dyDescent="0.25">
      <c r="A18" s="491" t="s">
        <v>574</v>
      </c>
      <c r="B18" s="492" t="s">
        <v>660</v>
      </c>
      <c r="C18" s="493"/>
      <c r="D18" s="494"/>
      <c r="E18" s="494"/>
      <c r="F18" s="494"/>
      <c r="G18" s="494"/>
      <c r="H18" s="494"/>
      <c r="I18" s="494"/>
      <c r="J18" s="495"/>
      <c r="K18" s="494"/>
      <c r="L18" s="494"/>
      <c r="M18" s="494"/>
      <c r="N18" s="494"/>
      <c r="O18" s="494"/>
      <c r="P18" s="494"/>
      <c r="Q18" s="494"/>
      <c r="R18" s="494">
        <f>($BD$25*(D18+$BC$40*D18)+$BC$25*F18)</f>
        <v>0</v>
      </c>
      <c r="S18" s="496">
        <f>$BC$27*(J18+$BC$40*J18+K18+L18+M18)</f>
        <v>0</v>
      </c>
      <c r="T18" s="494">
        <f>$BC$29*(N18+$BC$40*N18+O18)</f>
        <v>0</v>
      </c>
      <c r="U18" s="494"/>
      <c r="V18" s="494">
        <f>$BC$34*(D18+J18+N18+$BC$40*(D18+J18+N18)+F18+K18+L18+M18+O18+P18+R18+S18+T18+U18)*0</f>
        <v>0</v>
      </c>
      <c r="W18" s="494">
        <f>($BC$35*(D18+J18+N18+$BC$40*(D18+J18+N18)+F18+K18+L18+M18+O18+P18+Q18+R18+S18+T18+U18))*0</f>
        <v>0</v>
      </c>
      <c r="X18" s="494">
        <f>$BC$36*(D18+J18+N18+$BC$40*(D18+J18+N18)+F18+K18+L18+M18+O18+P18+Q18+R18+S18+T18+U18)*0</f>
        <v>0</v>
      </c>
      <c r="Y18" s="496">
        <f>$BC$33*(D18+J18+N18+$BC$40*(D18+J18+N18)+F18+K18+L18+M18+O18+P18+Q18+R18+S18+T18+U18)</f>
        <v>0</v>
      </c>
      <c r="Z18" s="494">
        <f>$BC$40*(D18+H18+J18+N18)</f>
        <v>0</v>
      </c>
      <c r="AA18" s="494">
        <f>($BC$43*(D18+H18+$BC$40*(D18+H18))+$BC$45*(J18+N18+$BC$40*(J18+N18)))</f>
        <v>0</v>
      </c>
      <c r="AB18" s="494">
        <f>$BC$47*(F18+I18)+$BC$49*(K18+L18+O18)</f>
        <v>0</v>
      </c>
      <c r="AC18" s="494">
        <f>$BC$53*(D18+H18+J18+N18+Z18)</f>
        <v>0</v>
      </c>
      <c r="AD18" s="494">
        <f>$BC$54*((D18+E18+H18+J18+N18+Z18)+AC18+AF18)</f>
        <v>0</v>
      </c>
      <c r="AE18" s="494">
        <f>$BC$59*(E18+V18+W18+AK18+AM18+AO18)</f>
        <v>0</v>
      </c>
      <c r="AF18" s="496">
        <f>$BC$61*(AC18)</f>
        <v>0</v>
      </c>
      <c r="AG18" s="494">
        <f>$BC$55*(E18+V18+W18+AE18+AK18+AM18+AO18)</f>
        <v>0</v>
      </c>
      <c r="AH18" s="494">
        <f>$BC$56*(F18+G18+I18+K18+L18+M18+O18)</f>
        <v>0</v>
      </c>
      <c r="AI18" s="494">
        <f>$BC$57*(G18+P18+Q18+R18+S18+T18+U18+X18+AL18+AN18+AP18)+$BC$58*(AA18+AB18)</f>
        <v>0</v>
      </c>
      <c r="AJ18" s="494"/>
      <c r="AK18" s="495"/>
      <c r="AL18" s="494"/>
      <c r="AM18" s="494"/>
      <c r="AN18" s="494"/>
      <c r="AO18" s="494"/>
      <c r="AP18" s="495"/>
      <c r="AQ18" s="494">
        <f>+$BC$63*(D18+E18+H18+J18+N18+V18+W18+Z18+AK18+AM18+AO18)</f>
        <v>0</v>
      </c>
      <c r="AR18" s="494">
        <f>+$BC$63*(F18+G18+I18+K18+L18+M18+O18+P18+Q18+R18+S18+T18+U18+X18+Y18+AA18+AB18+AC18+AD18+AE18+AF18+AG18+AH18+AI18+AJ18+AL18+AN18+AP18)</f>
        <v>0</v>
      </c>
      <c r="AS18" s="497">
        <f>D18+E18+H18+J18+N18+V18+W18+Z18+AK18+AM18+AO18+AQ18</f>
        <v>0</v>
      </c>
      <c r="AT18" s="494">
        <f>(F18+G18+I18+K18+L18+M18+O18+P18+Q18+R18+S18+T18+U18+X18+Y18+AA18+AB18+AC18+AD18+AE18+AF18+AG18+AH18+AI18+AJ18+AL18+AN18+AP18+AR18)</f>
        <v>0</v>
      </c>
      <c r="AU18" s="498">
        <f>AS18+AT18</f>
        <v>0</v>
      </c>
      <c r="AV18" s="499"/>
      <c r="AW18" s="500">
        <f>AU18-AR18-AQ18-Y18</f>
        <v>0</v>
      </c>
      <c r="AX18" s="501">
        <f>AD18+AH18-$BC$56*(L18+M18)+$BC$55*(V18+W18+AE18+AK18+AM18+AO18)+$BC$57*(Q18+R18+T18+$BC$27*(J18+K18)+X18+AL18+AN18+AP18)+$BC$58*(AA18+AB18)</f>
        <v>0</v>
      </c>
      <c r="AY18" s="500">
        <f>AW18-AX18</f>
        <v>0</v>
      </c>
      <c r="AZ18" s="501"/>
      <c r="BA18" s="501"/>
      <c r="BE18" s="501"/>
      <c r="BF18" s="501"/>
      <c r="BG18" s="501"/>
      <c r="BH18" s="501"/>
      <c r="BI18" s="501"/>
      <c r="BJ18" s="501"/>
      <c r="BK18" s="501"/>
      <c r="BL18" s="501"/>
      <c r="BM18" s="501"/>
      <c r="BN18" s="501"/>
      <c r="BO18" s="501"/>
      <c r="BP18" s="501"/>
      <c r="BQ18" s="501"/>
      <c r="BR18" s="501"/>
      <c r="BU18" s="501"/>
    </row>
    <row r="19" spans="1:73" s="504" customFormat="1" ht="26.25" customHeight="1" x14ac:dyDescent="0.25">
      <c r="A19" s="491" t="s">
        <v>575</v>
      </c>
      <c r="B19" s="502" t="str">
        <f>E3</f>
        <v>Replacement of Balance 4 nos. battery cyclones by ESPs for SP I, BSL</v>
      </c>
      <c r="C19" s="493"/>
      <c r="D19" s="494"/>
      <c r="E19" s="494"/>
      <c r="F19" s="494">
        <f>[2]BOQ_R0!G43/100</f>
        <v>76.653085443976266</v>
      </c>
      <c r="G19" s="494"/>
      <c r="H19" s="494"/>
      <c r="I19" s="494"/>
      <c r="J19" s="495"/>
      <c r="K19" s="494">
        <f>[2]BOQ_R0!G46/100</f>
        <v>3.2</v>
      </c>
      <c r="L19" s="494">
        <f>[2]BOQ_R0!G50/100</f>
        <v>0.54</v>
      </c>
      <c r="M19" s="494"/>
      <c r="N19" s="494"/>
      <c r="O19" s="494"/>
      <c r="P19" s="494">
        <f>[2]BOQ_R0!G133/100</f>
        <v>1.4554055875652177</v>
      </c>
      <c r="Q19" s="494">
        <f>[2]BOQ_R0!G148/100</f>
        <v>7.8581224040000022</v>
      </c>
      <c r="R19" s="494">
        <f>($BD$25*(D19+$BC$40*D19)+$BC$25*F19)</f>
        <v>15.330617088795254</v>
      </c>
      <c r="S19" s="494">
        <f>$BC$27*(J19+$BC$40*J19+K19+L19+M19)</f>
        <v>0.74800000000000011</v>
      </c>
      <c r="T19" s="494">
        <f>$BC$29*(N19+$BC$40*N19+O19)</f>
        <v>0</v>
      </c>
      <c r="U19" s="494">
        <f>[2]BOQ_R0!G57/100</f>
        <v>1.2856000000000001</v>
      </c>
      <c r="V19" s="494">
        <f>$BC$34*(D19+J19+N19+$BC$40*(D19+J19+N19)+F19+K19+L19+M19+O19+P19+R19+S19+T19+U19)</f>
        <v>0</v>
      </c>
      <c r="W19" s="494">
        <f>($BC$35*(D19+J19+N19+$BC$40*(D19+J19+N19)+F19+K19+L19+M19+O19+P19+Q19+R19+S19+T19+U19))</f>
        <v>0</v>
      </c>
      <c r="X19" s="494">
        <f>$BC$36*(D19+J19+N19+$BC$40*(D19+J19+N19)+F19+K19+L19+M19+O19+P19+Q19+R19+S19+T19+U19)</f>
        <v>5.353541526216838</v>
      </c>
      <c r="Y19" s="494">
        <f>$BC$33*(D19+J19+N19+$BC$40*(D19+J19+N19)+F19+K19+L19+M19+O19+P19+Q19+R19+S19+T19+U19)</f>
        <v>2.676770763108419</v>
      </c>
      <c r="Z19" s="494">
        <f>$BC$40*(D19+H19+J19+N19)</f>
        <v>0</v>
      </c>
      <c r="AA19" s="494">
        <f>($BC$43*(D19+H19+$BC$40*(D19+H19))+$BC$45*(J19+N19+$BC$40*(J19+N19)))</f>
        <v>0</v>
      </c>
      <c r="AB19" s="494">
        <f>$BC$47*(F19+I19)+$BC$49*(K19+L19+O19)</f>
        <v>1.8696617088795253</v>
      </c>
      <c r="AC19" s="494">
        <f>$BC$53*(D19+H19+J19+N19+Z19)</f>
        <v>0</v>
      </c>
      <c r="AD19" s="494">
        <f>$BC$54*((D19+E19+H19+J19+N19+Z19)+AC19+AF19)</f>
        <v>0</v>
      </c>
      <c r="AE19" s="494">
        <f>$BC$59*(V19+W19+AK19+AM19+AO19)</f>
        <v>0</v>
      </c>
      <c r="AF19" s="496">
        <f>$BC$61*(AC19)</f>
        <v>0</v>
      </c>
      <c r="AG19" s="494">
        <f>$BC$55*(V19+W19+AE19+AK19+AM19+AO19)</f>
        <v>0</v>
      </c>
      <c r="AH19" s="494">
        <f>$BC$56*(F19+G19+I19+K19+L19+M19+O19)</f>
        <v>14.47075537991573</v>
      </c>
      <c r="AI19" s="494">
        <f>$BC$57*(P19+Q19+R19+S19+T19+U19+X19+AL19+AN19+AP19)+$BC$58*(AA19+AB19)</f>
        <v>6.1021706967822302</v>
      </c>
      <c r="AJ19" s="494"/>
      <c r="AK19" s="495"/>
      <c r="AL19" s="494"/>
      <c r="AM19" s="494"/>
      <c r="AN19" s="494"/>
      <c r="AO19" s="494"/>
      <c r="AP19" s="495"/>
      <c r="AQ19" s="494">
        <f>+$BC$63*(D19+E19+H19+J19+N19+V19+W19+Z19+AK19+AM19+AO19)</f>
        <v>0</v>
      </c>
      <c r="AR19" s="494">
        <f>+$BC$63*(F19+G19+I19+K19+L19+M19+O19+P19+Q19+R19+S19+T19+U19+X19+Y19+AA19+AB19+AC19+AD19+AE19+AF19+AG19+AH19+AI19+AJ19+AL19+AN19+AP19)</f>
        <v>6.8771865299619748</v>
      </c>
      <c r="AS19" s="497">
        <f>D19+E19+H19+J19+N19+V19+W19+Z19+AK19+AM19+AO19+AQ19</f>
        <v>0</v>
      </c>
      <c r="AT19" s="494">
        <f>(F19+G19+I19+K19+L19+M19+O19+P19+Q19+R19+S19+T19+U19+X19+Y19+AA19+AB19+AC19+AD19+AE19+AF19+AG19+AH19+AI19+AJ19+AL19+AN19+AP19+AR19)</f>
        <v>144.42091712920148</v>
      </c>
      <c r="AU19" s="498">
        <f>AS19+AT19</f>
        <v>144.42091712920148</v>
      </c>
      <c r="AV19" s="499"/>
      <c r="AW19" s="500">
        <f>AU19-AR19-AQ19-Y19</f>
        <v>134.86695983613109</v>
      </c>
      <c r="AX19" s="501">
        <f>AD19+AH19-$BC$56*(L19+M19)+$BC$55*(V19+W19+AE19+AK19+AM19+AO19)+$BC$57*(Q19+R19+T19+$BC$27*(J19+K19)+X19+AL19+AN19+AP19)+$BC$58*(AA19+AB19)</f>
        <v>19.96290507093622</v>
      </c>
      <c r="AY19" s="104">
        <f>AW19-AX19</f>
        <v>114.90405476519487</v>
      </c>
      <c r="AZ19" s="638">
        <f>AY19/4</f>
        <v>28.726013691298718</v>
      </c>
      <c r="BA19" s="503"/>
      <c r="BE19" s="503"/>
      <c r="BF19" s="503"/>
      <c r="BG19" s="503"/>
      <c r="BH19" s="503"/>
      <c r="BI19" s="503"/>
      <c r="BJ19" s="503"/>
      <c r="BK19" s="503"/>
      <c r="BL19" s="503"/>
      <c r="BM19" s="503"/>
      <c r="BN19" s="503"/>
      <c r="BO19" s="503"/>
      <c r="BP19" s="503"/>
      <c r="BQ19" s="503"/>
      <c r="BR19" s="503"/>
      <c r="BU19" s="503"/>
    </row>
    <row r="20" spans="1:73" s="504" customFormat="1" ht="32.25" customHeight="1" x14ac:dyDescent="0.25">
      <c r="A20" s="491" t="s">
        <v>576</v>
      </c>
      <c r="B20" s="502" t="s">
        <v>661</v>
      </c>
      <c r="C20" s="493"/>
      <c r="D20" s="494"/>
      <c r="E20" s="494"/>
      <c r="F20" s="494"/>
      <c r="G20" s="494"/>
      <c r="H20" s="494"/>
      <c r="I20" s="494"/>
      <c r="J20" s="495"/>
      <c r="K20" s="494"/>
      <c r="L20" s="494"/>
      <c r="M20" s="494"/>
      <c r="N20" s="494"/>
      <c r="O20" s="494"/>
      <c r="P20" s="494"/>
      <c r="Q20" s="494"/>
      <c r="R20" s="494">
        <f>($BD$25*(D20+$BC$40*D20)+$BC$25*F20)</f>
        <v>0</v>
      </c>
      <c r="S20" s="494">
        <f>$BC$27*(J20+$BC$40*J20+K20+L20+M20)</f>
        <v>0</v>
      </c>
      <c r="T20" s="494">
        <f>$BC$29*(N20+$BC$40*N20+O20)</f>
        <v>0</v>
      </c>
      <c r="U20" s="494"/>
      <c r="V20" s="494">
        <f>$BC$34*(D20+J20+N20+$BC$40*(D20+J20+N20)+F20+K20+L20+M20+O20+P20+R20+S20+T20+U20)</f>
        <v>0</v>
      </c>
      <c r="W20" s="494">
        <f>($BC$35*(D20+J20+N20+$BC$40*(D20+J20+N20)+F20+K20+L20+M20+O20+P20+Q20+R20+S20+T20+U20))</f>
        <v>0</v>
      </c>
      <c r="X20" s="494">
        <f>$BC$36*(D20+J20+N20+$BC$40*(D20+J20+N20)+F20+K20+L20+M20+O20+P20+Q20+R20+S20+T20+U20)</f>
        <v>0</v>
      </c>
      <c r="Y20" s="494">
        <f>$BC$33*(D20+J20+N20+$BC$40*(D20+J20+N20)+F20+K20+L20+M20+O20+P20+Q20+R20+S20+T20+U20)</f>
        <v>0</v>
      </c>
      <c r="Z20" s="494">
        <f>$BC$40*(D20+H20+J20+N20)</f>
        <v>0</v>
      </c>
      <c r="AA20" s="494">
        <f>($BC$43*(D20+H20+$BC$40*(D20+H20))+$BC$45*(J20+N20+$BC$40*(J20+N20)))</f>
        <v>0</v>
      </c>
      <c r="AB20" s="494">
        <f>$BC$47*(F20+I20)+$BC$49*(K20+L20+O20)</f>
        <v>0</v>
      </c>
      <c r="AC20" s="494">
        <f>$BC$53*(D20+H20+J20+N20+Z20)</f>
        <v>0</v>
      </c>
      <c r="AD20" s="494">
        <f>$BC$54*((D20+E20+H20+J20+N20+Z20)+AC20+AF20)</f>
        <v>0</v>
      </c>
      <c r="AE20" s="494">
        <f>$BC$59*(V20+W20+AK20+AM20+AO20)</f>
        <v>0</v>
      </c>
      <c r="AF20" s="496">
        <f>$BC$61*(AC20)</f>
        <v>0</v>
      </c>
      <c r="AG20" s="494">
        <f>$BC$55*(V20+W20+AE20+AK20+AM20+AO20)</f>
        <v>0</v>
      </c>
      <c r="AH20" s="494">
        <f>$BC$56*(F20+G20+I20+K20+L20+M20+O20)</f>
        <v>0</v>
      </c>
      <c r="AI20" s="494">
        <f>$BC$57*(P20+Q20+R20+S20+T20+U20+X20+AL20+AN20+AP20)+$BC$58*(AA20+AB20)</f>
        <v>0</v>
      </c>
      <c r="AJ20" s="494"/>
      <c r="AK20" s="495"/>
      <c r="AL20" s="494"/>
      <c r="AM20" s="494"/>
      <c r="AN20" s="494"/>
      <c r="AO20" s="494"/>
      <c r="AP20" s="495"/>
      <c r="AQ20" s="494">
        <f>+$BC$63*(D20+E20+H20+J20+N20+V20+W20+Z20+AK20+AM20+AO20)</f>
        <v>0</v>
      </c>
      <c r="AR20" s="494">
        <f>+$BC$63*(F20+G20+I20+K20+L20+M20+O20+P20+Q20+R20+S20+T20+U20+X20+Y20+AA20+AB20+AC20+AD20+AE20+AF20+AG20+AH20+AI20+AJ20+AL20+AN20+AP20)</f>
        <v>0</v>
      </c>
      <c r="AS20" s="497">
        <f>D20+E20+H20+J20+N20+V20+W20+Z20+AK20+AM20+AO20+AQ20</f>
        <v>0</v>
      </c>
      <c r="AT20" s="494">
        <f>(F20+G20+I20+K20+L20+M20+O20+P20+Q20+R20+S20+T20+U20+X20+Y20+AA20+AB20+AC20+AD20+AE20+AF20+AG20+AH20+AI20+AJ20+AL20+AN20+AP20+AR20)</f>
        <v>0</v>
      </c>
      <c r="AU20" s="498">
        <f>AS20+AT20</f>
        <v>0</v>
      </c>
      <c r="AV20" s="499"/>
      <c r="AW20" s="500">
        <f>AU20-AR20-AQ20-Y20</f>
        <v>0</v>
      </c>
      <c r="AX20" s="501">
        <f>AD20+AH20-$BC$56*(L20+M20)+$BC$55*(V20+W20+AE20+AK20+AM20+AO20)+$BC$57*(Q20+R20+T20+$BC$27*(J20+K20)+X20+AL20+AN20+AP20)+$BC$58*(AA20+AB20)</f>
        <v>0</v>
      </c>
      <c r="AY20" s="500">
        <f>AW20-AX20</f>
        <v>0</v>
      </c>
      <c r="AZ20" s="503"/>
      <c r="BA20" s="503"/>
      <c r="BE20" s="503"/>
      <c r="BF20" s="503"/>
      <c r="BG20" s="503"/>
      <c r="BH20" s="503"/>
      <c r="BI20" s="503"/>
      <c r="BJ20" s="503"/>
      <c r="BK20" s="503"/>
      <c r="BL20" s="503"/>
      <c r="BM20" s="503"/>
      <c r="BN20" s="503"/>
      <c r="BO20" s="503"/>
      <c r="BP20" s="503"/>
      <c r="BQ20" s="503"/>
      <c r="BR20" s="503"/>
      <c r="BU20" s="503"/>
    </row>
    <row r="21" spans="1:73" s="504" customFormat="1" ht="33.75" customHeight="1" x14ac:dyDescent="0.25">
      <c r="A21" s="505" t="s">
        <v>577</v>
      </c>
      <c r="B21" s="506" t="s">
        <v>662</v>
      </c>
      <c r="C21" s="507"/>
      <c r="D21" s="508"/>
      <c r="E21" s="508"/>
      <c r="F21" s="508"/>
      <c r="G21" s="508"/>
      <c r="H21" s="508"/>
      <c r="I21" s="508"/>
      <c r="J21" s="509"/>
      <c r="K21" s="508"/>
      <c r="L21" s="508"/>
      <c r="M21" s="508"/>
      <c r="N21" s="508"/>
      <c r="O21" s="508"/>
      <c r="P21" s="508"/>
      <c r="Q21" s="508"/>
      <c r="R21" s="510">
        <f>($BD$25*(D21+$BC$40*D21)+$BC$25*F21)*0</f>
        <v>0</v>
      </c>
      <c r="S21" s="508">
        <f>$BC$27*(J21+$BC$40*J21+K21+L21+M21)</f>
        <v>0</v>
      </c>
      <c r="T21" s="508">
        <f>$BC$29*(N21+$BC$40*N21+O21)</f>
        <v>0</v>
      </c>
      <c r="U21" s="508"/>
      <c r="V21" s="508">
        <f>$BC$34*(D21+J21+N21+$BC$40*(D21+J21+N21)+F21+K21+L21+M21+O21+P21+R21+S21+T21+U21)*0</f>
        <v>0</v>
      </c>
      <c r="W21" s="508">
        <f>($BC$35*(D21+J21+N21+$BC$40*(D21+J21+N21)+F21+K21+L21+M21+O21+P21+Q21+R21+S21+T21+U21))*0</f>
        <v>0</v>
      </c>
      <c r="X21" s="510">
        <f>$BC$36*(D21+J21+N21+$BC$40*(D21+J21+N21)+F21+K21+L21+M21+O21+P21+Q21+R21+S21+T21+U21)*0</f>
        <v>0</v>
      </c>
      <c r="Y21" s="508">
        <f>$BC$33*(D21+J21+N21+$BC$40*(D21+J21+N21)+F21+K21+L21+M21+O21+P21+Q21+R21+S21+T21+U21)</f>
        <v>0</v>
      </c>
      <c r="Z21" s="508">
        <f>$BC$40*(D21+H21+J21+N21)</f>
        <v>0</v>
      </c>
      <c r="AA21" s="494">
        <f>($BC$43*(D21+H21+$BC$40*(D21+H21))+$BC$45*(J21+N21+$BC$40*(J21+N21)))</f>
        <v>0</v>
      </c>
      <c r="AB21" s="494">
        <f>$BC$47*(F21+I21)+$BC$49*(K21+L21+O21)</f>
        <v>0</v>
      </c>
      <c r="AC21" s="494">
        <f>$BC$53*(D21+H21+J21+N21+Z21)</f>
        <v>0</v>
      </c>
      <c r="AD21" s="494">
        <f>$BC$54*((D21+E21+H21+J21+N21+Z21)+AC21+AF21)</f>
        <v>0</v>
      </c>
      <c r="AE21" s="494">
        <f>$BC$59*(V21+W21+AK21+AM21+AO21)</f>
        <v>0</v>
      </c>
      <c r="AF21" s="496">
        <f>$BC$61*(AC21)</f>
        <v>0</v>
      </c>
      <c r="AG21" s="494">
        <f>$BC$55*(V21+W21+AE21+AK21+AM21+AO21)</f>
        <v>0</v>
      </c>
      <c r="AH21" s="494">
        <f>$BC$56*(F21+G21+I21+K21+L21+M21+O21)</f>
        <v>0</v>
      </c>
      <c r="AI21" s="494">
        <f>$BC$57*(P21+Q21+R21+S21+T21+U21+X21+AL21+AN21+AP21)+$BC$58*(AA21+AB21)</f>
        <v>0</v>
      </c>
      <c r="AJ21" s="494"/>
      <c r="AK21" s="495"/>
      <c r="AL21" s="494"/>
      <c r="AM21" s="494"/>
      <c r="AN21" s="494"/>
      <c r="AO21" s="494"/>
      <c r="AP21" s="495"/>
      <c r="AQ21" s="494">
        <f>+$BC$63*(D21+E21+H21+J21+N21+V21+W21+Z21+AK21+AM21+AO21)</f>
        <v>0</v>
      </c>
      <c r="AR21" s="494">
        <f>+$BC$63*(F21+G21+I21+K21+L21+M21+O21+P21+Q21+R21+S21+T21+U21+X21+Y21+AA21+AB21+AC21+AD21+AE21+AF21+AG21+AH21+AI21+AJ21+AL21+AN21+AP21)</f>
        <v>0</v>
      </c>
      <c r="AS21" s="497">
        <f>D21+E21+H21+J21+N21+V21+W21+Z21+AK21+AM21+AO21+AQ21</f>
        <v>0</v>
      </c>
      <c r="AT21" s="494">
        <f>(F21+G21+I21+K21+L21+M21+O21+P21+Q21+R21+S21+T21+U21+X21+Y21+AA21+AB21+AC21+AD21+AE21+AF21+AG21+AH21+AI21+AJ21+AL21+AN21+AP21+AR21)</f>
        <v>0</v>
      </c>
      <c r="AU21" s="498">
        <f>AS21+AT21</f>
        <v>0</v>
      </c>
      <c r="AV21" s="499"/>
      <c r="AW21" s="500">
        <f>AU21-AR21-AQ21-Y21</f>
        <v>0</v>
      </c>
      <c r="AX21" s="501">
        <f>AD21+AH21-$BC$56*(L21+M21)+$BC$55*(V21+W21+AE21+AK21+AM21+AO21)+$BC$57*(Q21+R21+T21+$BC$27*(J21+K21)+X21+AL21+AN21+AP21)+$BC$58*(AA21+AB21)</f>
        <v>0</v>
      </c>
      <c r="AY21" s="500">
        <f>AW21-AX21</f>
        <v>0</v>
      </c>
      <c r="AZ21" s="503"/>
      <c r="BA21" s="503"/>
      <c r="BE21" s="503"/>
      <c r="BF21" s="503"/>
      <c r="BG21" s="503"/>
      <c r="BH21" s="503"/>
      <c r="BI21" s="503"/>
      <c r="BJ21" s="503"/>
      <c r="BK21" s="503"/>
      <c r="BL21" s="503"/>
      <c r="BM21" s="503"/>
      <c r="BN21" s="503"/>
      <c r="BO21" s="503"/>
      <c r="BP21" s="503"/>
      <c r="BQ21" s="503"/>
      <c r="BR21" s="503"/>
      <c r="BU21" s="503"/>
    </row>
    <row r="22" spans="1:73" s="504" customFormat="1" ht="25.5" customHeight="1" x14ac:dyDescent="0.25">
      <c r="A22" s="511">
        <v>1</v>
      </c>
      <c r="B22" s="512" t="s">
        <v>578</v>
      </c>
      <c r="C22" s="493"/>
      <c r="D22" s="494"/>
      <c r="E22" s="494"/>
      <c r="F22" s="494"/>
      <c r="G22" s="494"/>
      <c r="H22" s="494"/>
      <c r="I22" s="494"/>
      <c r="J22" s="495"/>
      <c r="K22" s="494"/>
      <c r="L22" s="494"/>
      <c r="M22" s="494"/>
      <c r="N22" s="494"/>
      <c r="O22" s="494"/>
      <c r="P22" s="494"/>
      <c r="Q22" s="494"/>
      <c r="R22" s="494"/>
      <c r="S22" s="496"/>
      <c r="T22" s="494"/>
      <c r="U22" s="494"/>
      <c r="V22" s="494"/>
      <c r="W22" s="494"/>
      <c r="X22" s="494"/>
      <c r="Y22" s="494"/>
      <c r="Z22" s="494"/>
      <c r="AA22" s="494"/>
      <c r="AB22" s="494"/>
      <c r="AC22" s="494"/>
      <c r="AD22" s="494"/>
      <c r="AE22" s="494"/>
      <c r="AF22" s="494"/>
      <c r="AG22" s="494"/>
      <c r="AH22" s="494"/>
      <c r="AI22" s="494"/>
      <c r="AJ22" s="494"/>
      <c r="AK22" s="495"/>
      <c r="AL22" s="494"/>
      <c r="AM22" s="494"/>
      <c r="AN22" s="494"/>
      <c r="AO22" s="494"/>
      <c r="AP22" s="495"/>
      <c r="AQ22" s="494"/>
      <c r="AR22" s="494"/>
      <c r="AS22" s="513">
        <f>SUM(AS18:AS21)</f>
        <v>0</v>
      </c>
      <c r="AT22" s="514">
        <f>SUM(AT18:AT21)</f>
        <v>144.42091712920148</v>
      </c>
      <c r="AU22" s="515">
        <f>SUM(AU18:AU21)*[1]Finan.summary!G21</f>
        <v>144.42091712920148</v>
      </c>
      <c r="AV22" s="516"/>
      <c r="AX22" s="504">
        <f>SUM(AX18:AX21)</f>
        <v>19.96290507093622</v>
      </c>
      <c r="AZ22" s="503"/>
      <c r="BA22" s="503"/>
      <c r="BB22" s="453" t="s">
        <v>579</v>
      </c>
      <c r="BC22" s="453"/>
      <c r="BD22" s="453"/>
      <c r="BE22" s="503"/>
      <c r="BF22" s="503"/>
      <c r="BG22" s="503"/>
      <c r="BH22" s="503"/>
      <c r="BI22" s="503"/>
      <c r="BJ22" s="503"/>
      <c r="BK22" s="503"/>
      <c r="BL22" s="503"/>
      <c r="BM22" s="503"/>
      <c r="BN22" s="503"/>
      <c r="BO22" s="503"/>
      <c r="BP22" s="503"/>
      <c r="BQ22" s="503"/>
      <c r="BR22" s="503"/>
      <c r="BU22" s="503"/>
    </row>
    <row r="23" spans="1:73" s="422" customFormat="1" ht="24.6" x14ac:dyDescent="0.25">
      <c r="A23" s="517">
        <v>2</v>
      </c>
      <c r="B23" s="397" t="s">
        <v>2</v>
      </c>
      <c r="C23" s="482"/>
      <c r="D23" s="482"/>
      <c r="E23" s="482"/>
      <c r="F23" s="482"/>
      <c r="G23" s="482"/>
      <c r="H23" s="482"/>
      <c r="I23" s="482"/>
      <c r="J23" s="482"/>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94"/>
      <c r="AJ23" s="482"/>
      <c r="AK23" s="482"/>
      <c r="AL23" s="482"/>
      <c r="AM23" s="482"/>
      <c r="AN23" s="482"/>
      <c r="AO23" s="482"/>
      <c r="AP23" s="482"/>
      <c r="AQ23" s="482"/>
      <c r="AR23" s="482"/>
      <c r="AS23" s="484"/>
      <c r="AT23" s="482">
        <f>+BM14</f>
        <v>11.463410297130368</v>
      </c>
      <c r="AU23" s="485">
        <f>+AT23+AS23</f>
        <v>11.463410297130368</v>
      </c>
      <c r="AV23" s="518"/>
      <c r="AW23" s="419"/>
      <c r="AX23" s="419"/>
      <c r="AZ23" s="419"/>
      <c r="BA23" s="419"/>
      <c r="BB23" s="453"/>
      <c r="BC23" s="453"/>
      <c r="BD23" s="453"/>
      <c r="BE23" s="419"/>
      <c r="BF23" s="419"/>
      <c r="BG23" s="465"/>
      <c r="BN23" s="419"/>
      <c r="BU23" s="419"/>
    </row>
    <row r="24" spans="1:73" ht="27.75" customHeight="1" x14ac:dyDescent="0.25">
      <c r="A24" s="519">
        <v>3</v>
      </c>
      <c r="B24" s="520" t="s">
        <v>580</v>
      </c>
      <c r="C24" s="521"/>
      <c r="D24" s="521"/>
      <c r="E24" s="521"/>
      <c r="F24" s="521"/>
      <c r="G24" s="521"/>
      <c r="H24" s="521"/>
      <c r="I24" s="521"/>
      <c r="J24" s="521"/>
      <c r="K24" s="521"/>
      <c r="L24" s="521"/>
      <c r="M24" s="521"/>
      <c r="N24" s="521"/>
      <c r="O24" s="521"/>
      <c r="P24" s="521"/>
      <c r="Q24" s="521"/>
      <c r="R24" s="521"/>
      <c r="S24" s="521"/>
      <c r="T24" s="521"/>
      <c r="U24" s="521"/>
      <c r="V24" s="521"/>
      <c r="W24" s="521"/>
      <c r="X24" s="521"/>
      <c r="Y24" s="521"/>
      <c r="Z24" s="521"/>
      <c r="AA24" s="521"/>
      <c r="AB24" s="521"/>
      <c r="AC24" s="521"/>
      <c r="AD24" s="521"/>
      <c r="AE24" s="521"/>
      <c r="AF24" s="521"/>
      <c r="AG24" s="521"/>
      <c r="AH24" s="521"/>
      <c r="AI24" s="494"/>
      <c r="AJ24" s="521"/>
      <c r="AK24" s="521"/>
      <c r="AL24" s="521"/>
      <c r="AM24" s="521"/>
      <c r="AN24" s="521"/>
      <c r="AO24" s="521"/>
      <c r="AP24" s="521"/>
      <c r="AQ24" s="521"/>
      <c r="AR24" s="521"/>
      <c r="AS24" s="522">
        <f>SUM(AS22:AS23)</f>
        <v>0</v>
      </c>
      <c r="AT24" s="521">
        <f>SUM(AT22:AT23)</f>
        <v>155.88432742633185</v>
      </c>
      <c r="AU24" s="523">
        <f>SUM(AU22:AU23)</f>
        <v>155.88432742633185</v>
      </c>
      <c r="AV24" s="524"/>
      <c r="AW24" s="525"/>
      <c r="AX24" s="453"/>
      <c r="AZ24" s="453"/>
      <c r="BA24" s="453"/>
      <c r="BB24" s="453" t="s">
        <v>581</v>
      </c>
      <c r="BC24" s="453" t="s">
        <v>582</v>
      </c>
      <c r="BD24" s="453" t="s">
        <v>524</v>
      </c>
      <c r="BE24" s="453"/>
      <c r="BF24" s="453"/>
      <c r="BG24" s="453"/>
      <c r="BH24" s="458"/>
      <c r="BN24" s="453"/>
      <c r="BU24" s="453"/>
    </row>
    <row r="25" spans="1:73" ht="21.75" customHeight="1" x14ac:dyDescent="0.25">
      <c r="A25" s="517">
        <v>4</v>
      </c>
      <c r="B25" s="397" t="s">
        <v>534</v>
      </c>
      <c r="C25" s="482"/>
      <c r="D25" s="482"/>
      <c r="E25" s="526">
        <f>SUM(E18:E21)</f>
        <v>0</v>
      </c>
      <c r="F25" s="482"/>
      <c r="G25" s="526">
        <f>SUM(G18:G21)</f>
        <v>0</v>
      </c>
      <c r="H25" s="482"/>
      <c r="I25" s="482"/>
      <c r="J25" s="526">
        <f>SUM(J18:J21)</f>
        <v>0</v>
      </c>
      <c r="K25" s="527">
        <f>SUM(K18:K21)</f>
        <v>3.2</v>
      </c>
      <c r="L25" s="526">
        <f>SUM(L18:L21)</f>
        <v>0.54</v>
      </c>
      <c r="M25" s="526">
        <f>SUM(M18:M21)</f>
        <v>0</v>
      </c>
      <c r="N25" s="482"/>
      <c r="O25" s="482"/>
      <c r="P25" s="482"/>
      <c r="Q25" s="526">
        <f>SUM(Q18:Q21)</f>
        <v>7.8581224040000022</v>
      </c>
      <c r="R25" s="526">
        <f>SUM(R18:R21)</f>
        <v>15.330617088795254</v>
      </c>
      <c r="S25" s="526">
        <f>SUM(S18:S21)-$BC$27*(L25+M25)</f>
        <v>0.64000000000000012</v>
      </c>
      <c r="T25" s="526">
        <f>SUM(T18:T21)</f>
        <v>0</v>
      </c>
      <c r="U25" s="482"/>
      <c r="V25" s="526">
        <f>SUM(V18:V21)</f>
        <v>0</v>
      </c>
      <c r="W25" s="526">
        <f>SUM(W18:W21)</f>
        <v>0</v>
      </c>
      <c r="X25" s="526">
        <f>SUM(X18:X21)</f>
        <v>5.353541526216838</v>
      </c>
      <c r="Y25" s="482"/>
      <c r="Z25" s="482"/>
      <c r="AA25" s="526">
        <f>SUM(AA18:AA21)</f>
        <v>0</v>
      </c>
      <c r="AB25" s="526">
        <f>SUM(AB18:AB21)</f>
        <v>1.8696617088795253</v>
      </c>
      <c r="AC25" s="482"/>
      <c r="AD25" s="528">
        <f>SUM(AD18:AD21)</f>
        <v>0</v>
      </c>
      <c r="AE25" s="526">
        <f>SUM(AE18:AE21)</f>
        <v>0</v>
      </c>
      <c r="AF25" s="482"/>
      <c r="AG25" s="528">
        <f>SUM(AG18:AG21)</f>
        <v>0</v>
      </c>
      <c r="AH25" s="528">
        <f>SUM(AH18:AH21)-$BC$56*(L25+M25)</f>
        <v>14.373555379915729</v>
      </c>
      <c r="AI25" s="529">
        <f>$BC$57*(Q25+R25+T25+$BC$27*(J25+K25)+X25+AL25+AN25+AP25)+$BC$58*(AA25+AB25)</f>
        <v>5.589349691020491</v>
      </c>
      <c r="AJ25" s="482"/>
      <c r="AK25" s="526">
        <f t="shared" ref="AK25:AP25" si="0">SUM(AK18:AK21)</f>
        <v>0</v>
      </c>
      <c r="AL25" s="526">
        <f t="shared" si="0"/>
        <v>0</v>
      </c>
      <c r="AM25" s="526">
        <f t="shared" si="0"/>
        <v>0</v>
      </c>
      <c r="AN25" s="526">
        <f t="shared" si="0"/>
        <v>0</v>
      </c>
      <c r="AO25" s="526">
        <f t="shared" si="0"/>
        <v>0</v>
      </c>
      <c r="AP25" s="526">
        <f t="shared" si="0"/>
        <v>0</v>
      </c>
      <c r="AQ25" s="482"/>
      <c r="AR25" s="482"/>
      <c r="AS25" s="484"/>
      <c r="AT25" s="482">
        <f>AD25+AG25+AH25+AI25</f>
        <v>19.96290507093622</v>
      </c>
      <c r="AU25" s="485">
        <f>(+AT25+AS25)*[1]Finan.summary!G21</f>
        <v>19.96290507093622</v>
      </c>
      <c r="AV25" s="524"/>
      <c r="AW25" s="453"/>
      <c r="AX25" s="453"/>
      <c r="AZ25" s="453"/>
      <c r="BA25" s="453"/>
      <c r="BB25" s="453" t="s">
        <v>583</v>
      </c>
      <c r="BC25" s="634">
        <f>12%*0+20%</f>
        <v>0.2</v>
      </c>
      <c r="BD25" s="530">
        <f>6%</f>
        <v>0.06</v>
      </c>
      <c r="BE25" s="453"/>
      <c r="BF25" s="453"/>
      <c r="BG25" s="531"/>
      <c r="BN25" s="453"/>
    </row>
    <row r="26" spans="1:73" s="536" customFormat="1" ht="26.25" customHeight="1" x14ac:dyDescent="0.25">
      <c r="A26" s="519">
        <v>5</v>
      </c>
      <c r="B26" s="520" t="s">
        <v>584</v>
      </c>
      <c r="C26" s="532"/>
      <c r="D26" s="532"/>
      <c r="E26" s="532"/>
      <c r="F26" s="532"/>
      <c r="G26" s="532"/>
      <c r="H26" s="532"/>
      <c r="I26" s="532"/>
      <c r="J26" s="532"/>
      <c r="K26" s="532"/>
      <c r="L26" s="532"/>
      <c r="M26" s="532"/>
      <c r="N26" s="532"/>
      <c r="O26" s="532"/>
      <c r="P26" s="532"/>
      <c r="Q26" s="532"/>
      <c r="R26" s="532"/>
      <c r="S26" s="532"/>
      <c r="T26" s="532"/>
      <c r="U26" s="532"/>
      <c r="V26" s="532"/>
      <c r="W26" s="532"/>
      <c r="X26" s="532"/>
      <c r="Y26" s="532"/>
      <c r="Z26" s="532"/>
      <c r="AA26" s="532"/>
      <c r="AB26" s="532"/>
      <c r="AC26" s="532"/>
      <c r="AD26" s="532"/>
      <c r="AE26" s="532"/>
      <c r="AF26" s="532"/>
      <c r="AG26" s="532"/>
      <c r="AH26" s="532"/>
      <c r="AI26" s="532"/>
      <c r="AJ26" s="532"/>
      <c r="AK26" s="532"/>
      <c r="AL26" s="532"/>
      <c r="AM26" s="532"/>
      <c r="AN26" s="532"/>
      <c r="AO26" s="532"/>
      <c r="AP26" s="532"/>
      <c r="AQ26" s="532"/>
      <c r="AR26" s="532"/>
      <c r="AS26" s="533"/>
      <c r="AT26" s="532"/>
      <c r="AU26" s="523">
        <f>+AU24-AU25</f>
        <v>135.92142235539563</v>
      </c>
      <c r="AV26" s="534"/>
      <c r="AW26" s="535"/>
      <c r="AX26" s="535"/>
      <c r="AZ26" s="535"/>
      <c r="BA26" s="535"/>
      <c r="BB26" s="535" t="s">
        <v>585</v>
      </c>
      <c r="BC26" s="537"/>
      <c r="BD26" s="535"/>
      <c r="BE26" s="535"/>
      <c r="BF26" s="535"/>
      <c r="BM26" s="535"/>
      <c r="BN26" s="535"/>
    </row>
    <row r="27" spans="1:73" s="390" customFormat="1" ht="20.100000000000001" customHeight="1" x14ac:dyDescent="0.25">
      <c r="A27" s="538"/>
      <c r="B27" s="397"/>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W27" s="391"/>
      <c r="AX27" s="391"/>
      <c r="AY27" s="391"/>
      <c r="AZ27" s="391"/>
      <c r="BA27" s="391"/>
      <c r="BB27" s="391" t="s">
        <v>586</v>
      </c>
      <c r="BC27" s="539">
        <v>0.2</v>
      </c>
      <c r="BD27" s="391"/>
      <c r="BE27" s="391"/>
      <c r="BF27" s="391"/>
      <c r="BG27" s="391"/>
      <c r="BH27" s="391"/>
      <c r="BI27" s="391"/>
      <c r="BJ27" s="391"/>
      <c r="BK27" s="391"/>
      <c r="BL27" s="391"/>
      <c r="BM27" s="391"/>
      <c r="BN27" s="391"/>
      <c r="BR27" s="391"/>
      <c r="BS27" s="391"/>
      <c r="BT27" s="391"/>
      <c r="BU27" s="391"/>
    </row>
    <row r="28" spans="1:73" s="390" customFormat="1" ht="15.6" x14ac:dyDescent="0.25">
      <c r="B28" s="391"/>
      <c r="C28" s="391"/>
      <c r="D28" s="391"/>
      <c r="E28" s="391"/>
      <c r="F28" s="391"/>
      <c r="H28" s="391"/>
      <c r="I28" s="391"/>
      <c r="J28" s="391"/>
      <c r="L28" s="391"/>
      <c r="M28" s="391"/>
      <c r="N28" s="391"/>
      <c r="O28" s="391"/>
      <c r="P28" s="392"/>
      <c r="Q28" s="392"/>
      <c r="R28" s="391"/>
      <c r="T28" s="391"/>
      <c r="U28" s="391"/>
      <c r="V28" s="391"/>
      <c r="W28" s="391"/>
      <c r="X28" s="391"/>
      <c r="Y28" s="391"/>
      <c r="Z28" s="391"/>
      <c r="AA28" s="391"/>
      <c r="AB28" s="391"/>
      <c r="AC28" s="391"/>
      <c r="AD28" s="391"/>
      <c r="AE28" s="391"/>
      <c r="AF28" s="392"/>
      <c r="AG28" s="392"/>
      <c r="AH28" s="391"/>
      <c r="AI28" s="391"/>
      <c r="AJ28" s="391"/>
      <c r="AK28" s="391"/>
      <c r="AL28" s="391"/>
      <c r="AM28" s="391"/>
      <c r="AN28" s="391"/>
      <c r="AO28" s="391"/>
      <c r="AP28" s="391"/>
      <c r="AQ28" s="391"/>
      <c r="AR28" s="391"/>
      <c r="AS28" s="391"/>
      <c r="AT28" s="391"/>
      <c r="AU28" s="392"/>
      <c r="AV28" s="391"/>
      <c r="AW28" s="391"/>
      <c r="AX28" s="391"/>
      <c r="AY28" s="391"/>
      <c r="AZ28" s="391"/>
      <c r="BA28" s="391"/>
      <c r="BB28" s="391" t="s">
        <v>587</v>
      </c>
      <c r="BC28" s="539"/>
      <c r="BD28" s="391"/>
      <c r="BE28" s="391"/>
      <c r="BF28" s="391"/>
      <c r="BG28" s="391"/>
      <c r="BH28" s="411"/>
      <c r="BI28" s="411"/>
      <c r="BK28" s="540"/>
      <c r="BL28" s="391"/>
      <c r="BM28" s="391"/>
      <c r="BN28" s="391"/>
      <c r="BR28" s="541"/>
      <c r="BS28" s="391"/>
      <c r="BT28" s="541"/>
      <c r="BU28" s="391"/>
    </row>
    <row r="29" spans="1:73" s="390" customFormat="1" x14ac:dyDescent="0.25">
      <c r="B29" s="391"/>
      <c r="C29" s="391"/>
      <c r="D29" s="391"/>
      <c r="E29" s="391"/>
      <c r="F29" s="391"/>
      <c r="G29" s="391"/>
      <c r="H29" s="391"/>
      <c r="I29" s="391"/>
      <c r="J29" s="391"/>
      <c r="K29" s="391"/>
      <c r="L29" s="409"/>
      <c r="M29" s="391"/>
      <c r="N29" s="391"/>
      <c r="O29" s="391"/>
      <c r="P29" s="391"/>
      <c r="Q29" s="391"/>
      <c r="R29" s="391"/>
      <c r="S29" s="391"/>
      <c r="T29" s="391"/>
      <c r="U29" s="391"/>
      <c r="V29" s="391"/>
      <c r="W29" s="391"/>
      <c r="X29" s="391"/>
      <c r="Y29" s="391"/>
      <c r="Z29" s="391"/>
      <c r="AA29" s="391"/>
      <c r="AB29" s="391"/>
      <c r="AC29" s="391"/>
      <c r="AD29" s="391"/>
      <c r="AE29" s="391"/>
      <c r="AF29" s="391"/>
      <c r="AG29" s="391"/>
      <c r="AH29" s="391"/>
      <c r="AI29" s="391"/>
      <c r="AJ29" s="391"/>
      <c r="AK29" s="391"/>
      <c r="AL29" s="391"/>
      <c r="AM29" s="391"/>
      <c r="AN29" s="391"/>
      <c r="AO29" s="391"/>
      <c r="AP29" s="391"/>
      <c r="AQ29" s="391"/>
      <c r="AR29" s="391"/>
      <c r="AS29" s="391"/>
      <c r="AT29" s="391"/>
      <c r="AU29" s="391"/>
      <c r="AV29" s="391"/>
      <c r="AW29" s="391"/>
      <c r="AX29" s="391"/>
      <c r="AY29" s="391"/>
      <c r="AZ29" s="391"/>
      <c r="BA29" s="391"/>
      <c r="BB29" s="391" t="s">
        <v>532</v>
      </c>
      <c r="BC29" s="539">
        <v>0.12</v>
      </c>
      <c r="BD29" s="391"/>
      <c r="BE29" s="391"/>
      <c r="BF29" s="391"/>
      <c r="BG29" s="542"/>
      <c r="BH29" s="411"/>
      <c r="BI29" s="411"/>
      <c r="BJ29" s="411"/>
      <c r="BK29" s="391"/>
      <c r="BL29" s="391"/>
      <c r="BM29" s="391"/>
      <c r="BN29" s="391"/>
      <c r="BP29" s="391"/>
      <c r="BQ29" s="391"/>
      <c r="BR29" s="391"/>
      <c r="BS29" s="391"/>
      <c r="BT29" s="391"/>
      <c r="BU29" s="391"/>
    </row>
    <row r="30" spans="1:73" s="390" customFormat="1" x14ac:dyDescent="0.25">
      <c r="B30" s="391"/>
      <c r="C30" s="391"/>
      <c r="D30" s="391"/>
      <c r="E30" s="391"/>
      <c r="H30" s="391"/>
      <c r="I30" s="391"/>
      <c r="J30" s="391"/>
      <c r="K30" s="409"/>
      <c r="L30" s="391"/>
      <c r="M30" s="391"/>
      <c r="N30" s="391"/>
      <c r="O30" s="391"/>
      <c r="P30" s="391"/>
      <c r="Q30" s="391"/>
      <c r="R30" s="391"/>
      <c r="S30" s="391"/>
      <c r="T30" s="391"/>
      <c r="U30" s="391"/>
      <c r="V30" s="391"/>
      <c r="W30" s="391"/>
      <c r="X30" s="391"/>
      <c r="Y30" s="391"/>
      <c r="Z30" s="391"/>
      <c r="AA30" s="391"/>
      <c r="AB30" s="391"/>
      <c r="AC30" s="391"/>
      <c r="AD30" s="391"/>
      <c r="AE30" s="391"/>
      <c r="AF30" s="391"/>
      <c r="AG30" s="391"/>
      <c r="AH30" s="391"/>
      <c r="AI30" s="391"/>
      <c r="AJ30" s="391"/>
      <c r="AK30" s="391"/>
      <c r="AL30" s="391"/>
      <c r="AM30" s="391"/>
      <c r="AN30" s="391"/>
      <c r="AO30" s="391"/>
      <c r="AP30" s="391"/>
      <c r="AQ30" s="391"/>
      <c r="AR30" s="391"/>
      <c r="AS30" s="391"/>
      <c r="AT30" s="391"/>
      <c r="AU30" s="391"/>
      <c r="AV30" s="391"/>
      <c r="AW30" s="391"/>
      <c r="AX30" s="391"/>
      <c r="AY30" s="391"/>
      <c r="AZ30" s="391"/>
      <c r="BA30" s="391"/>
      <c r="BE30" s="539"/>
      <c r="BF30" s="391"/>
      <c r="BG30" s="391"/>
      <c r="BH30" s="411"/>
      <c r="BI30" s="411"/>
      <c r="BK30" s="391"/>
      <c r="BL30" s="391"/>
      <c r="BM30" s="391"/>
      <c r="BN30" s="391"/>
      <c r="BP30" s="391"/>
      <c r="BQ30" s="391"/>
      <c r="BR30" s="391"/>
      <c r="BS30" s="391"/>
      <c r="BT30" s="391"/>
      <c r="BU30" s="391"/>
    </row>
    <row r="31" spans="1:73" s="390" customFormat="1" x14ac:dyDescent="0.25">
      <c r="B31" s="391"/>
      <c r="C31" s="391"/>
      <c r="D31" s="391"/>
      <c r="E31" s="391"/>
      <c r="F31" s="391"/>
      <c r="G31" s="391"/>
      <c r="H31" s="391"/>
      <c r="I31" s="391"/>
      <c r="J31" s="391"/>
      <c r="K31" s="391"/>
      <c r="L31" s="409"/>
      <c r="M31" s="391"/>
      <c r="N31" s="391"/>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1"/>
      <c r="AM31" s="391"/>
      <c r="AN31" s="391"/>
      <c r="AO31" s="391"/>
      <c r="AP31" s="391"/>
      <c r="AQ31" s="391"/>
      <c r="AR31" s="391"/>
      <c r="AS31" s="391"/>
      <c r="AT31" s="391"/>
      <c r="AU31" s="391"/>
      <c r="AV31" s="391"/>
      <c r="AW31" s="391"/>
      <c r="AX31" s="391"/>
      <c r="AY31" s="391"/>
      <c r="AZ31" s="391"/>
      <c r="BA31" s="391"/>
      <c r="BB31" s="391" t="s">
        <v>588</v>
      </c>
      <c r="BC31" s="539"/>
      <c r="BE31" s="391"/>
      <c r="BF31" s="391"/>
      <c r="BG31" s="391"/>
      <c r="BH31" s="411"/>
      <c r="BI31" s="411"/>
      <c r="BJ31" s="411"/>
      <c r="BK31" s="391"/>
      <c r="BL31" s="391"/>
      <c r="BM31" s="391"/>
      <c r="BN31" s="391"/>
      <c r="BP31" s="391"/>
      <c r="BQ31" s="391"/>
      <c r="BR31" s="391"/>
      <c r="BS31" s="391"/>
      <c r="BT31" s="391"/>
      <c r="BU31" s="391"/>
    </row>
    <row r="32" spans="1:73" s="390" customFormat="1" x14ac:dyDescent="0.25">
      <c r="B32" s="391"/>
      <c r="C32" s="391"/>
      <c r="D32" s="391"/>
      <c r="E32" s="391"/>
      <c r="F32" s="391"/>
      <c r="G32" s="391"/>
      <c r="H32" s="391"/>
      <c r="I32" s="391"/>
      <c r="J32" s="391"/>
      <c r="K32" s="391"/>
      <c r="L32" s="391"/>
      <c r="M32" s="391"/>
      <c r="N32" s="391"/>
      <c r="O32" s="391"/>
      <c r="P32" s="391"/>
      <c r="Q32" s="391"/>
      <c r="R32" s="391"/>
      <c r="S32" s="391"/>
      <c r="T32" s="391"/>
      <c r="U32" s="391"/>
      <c r="V32" s="391"/>
      <c r="W32" s="391"/>
      <c r="X32" s="391"/>
      <c r="Y32" s="391"/>
      <c r="Z32" s="391"/>
      <c r="AA32" s="391"/>
      <c r="AB32" s="391"/>
      <c r="AC32" s="391"/>
      <c r="AD32" s="391"/>
      <c r="AE32" s="391"/>
      <c r="AF32" s="391"/>
      <c r="AG32" s="391"/>
      <c r="AH32" s="391"/>
      <c r="AI32" s="391"/>
      <c r="AJ32" s="391"/>
      <c r="AK32" s="391"/>
      <c r="AL32" s="391"/>
      <c r="AM32" s="391"/>
      <c r="AN32" s="391"/>
      <c r="AO32" s="391"/>
      <c r="AP32" s="391"/>
      <c r="AQ32" s="391"/>
      <c r="AR32" s="391"/>
      <c r="AS32" s="391"/>
      <c r="AT32" s="391"/>
      <c r="AU32" s="391"/>
      <c r="AV32" s="391"/>
      <c r="AW32" s="391"/>
      <c r="AX32" s="391"/>
      <c r="AY32" s="391"/>
      <c r="AZ32" s="391"/>
      <c r="BA32" s="391"/>
      <c r="BB32" s="391" t="s">
        <v>589</v>
      </c>
      <c r="BC32" s="543">
        <v>0</v>
      </c>
      <c r="BD32" s="391"/>
      <c r="BE32" s="391"/>
      <c r="BF32" s="391"/>
      <c r="BG32" s="544"/>
      <c r="BH32" s="391"/>
      <c r="BI32" s="391"/>
      <c r="BJ32" s="391"/>
      <c r="BK32" s="391"/>
      <c r="BL32" s="391"/>
      <c r="BM32" s="391"/>
      <c r="BN32" s="391"/>
      <c r="BP32" s="391"/>
      <c r="BQ32" s="391"/>
      <c r="BR32" s="391"/>
      <c r="BS32" s="391"/>
      <c r="BT32" s="391"/>
      <c r="BU32" s="391"/>
    </row>
    <row r="33" spans="1:89" s="390" customFormat="1" x14ac:dyDescent="0.25">
      <c r="B33" s="391"/>
      <c r="C33" s="391"/>
      <c r="F33" s="415"/>
      <c r="G33" s="391"/>
      <c r="H33" s="391"/>
      <c r="I33" s="391"/>
      <c r="J33" s="391"/>
      <c r="K33" s="391"/>
      <c r="L33" s="391"/>
      <c r="M33" s="391"/>
      <c r="N33" s="391"/>
      <c r="O33" s="391"/>
      <c r="P33" s="391"/>
      <c r="Q33" s="391"/>
      <c r="R33" s="391"/>
      <c r="S33" s="416"/>
      <c r="T33" s="391"/>
      <c r="U33" s="391"/>
      <c r="V33" s="391"/>
      <c r="W33" s="391"/>
      <c r="X33" s="391"/>
      <c r="Y33" s="391"/>
      <c r="Z33" s="391"/>
      <c r="AA33" s="391"/>
      <c r="AB33" s="391"/>
      <c r="AC33" s="391"/>
      <c r="AD33" s="391"/>
      <c r="AE33" s="391"/>
      <c r="AF33" s="391"/>
      <c r="AG33" s="391"/>
      <c r="AH33" s="391"/>
      <c r="AI33" s="391"/>
      <c r="AJ33" s="391"/>
      <c r="AK33" s="391"/>
      <c r="AL33" s="391"/>
      <c r="AM33" s="391"/>
      <c r="AN33" s="391"/>
      <c r="AO33" s="391"/>
      <c r="AP33" s="391"/>
      <c r="AQ33" s="391"/>
      <c r="AR33" s="391"/>
      <c r="AS33" s="391"/>
      <c r="AT33" s="391"/>
      <c r="AU33" s="391"/>
      <c r="AV33" s="391"/>
      <c r="AW33" s="391"/>
      <c r="AX33" s="391"/>
      <c r="AY33" s="391"/>
      <c r="AZ33" s="391"/>
      <c r="BA33" s="391"/>
      <c r="BB33" s="391" t="s">
        <v>590</v>
      </c>
      <c r="BC33" s="545">
        <v>2.5000000000000001E-2</v>
      </c>
      <c r="BD33" s="391"/>
      <c r="BE33" s="391"/>
      <c r="BF33" s="391"/>
      <c r="BG33" s="544"/>
      <c r="BH33" s="391"/>
      <c r="BI33" s="391"/>
      <c r="BJ33" s="391"/>
      <c r="BK33" s="391"/>
      <c r="BL33" s="391"/>
      <c r="BM33" s="391"/>
      <c r="BN33" s="391"/>
      <c r="BP33" s="391"/>
      <c r="BQ33" s="391"/>
      <c r="BR33" s="391"/>
      <c r="BS33" s="391"/>
      <c r="BT33" s="391"/>
      <c r="BU33" s="391"/>
    </row>
    <row r="34" spans="1:89" s="390" customFormat="1" x14ac:dyDescent="0.25">
      <c r="B34" s="391"/>
      <c r="C34" s="391"/>
      <c r="D34" s="391"/>
      <c r="E34" s="391"/>
      <c r="U34" s="391"/>
      <c r="V34" s="391"/>
      <c r="W34" s="391"/>
      <c r="X34" s="391"/>
      <c r="Y34" s="391"/>
      <c r="Z34" s="391"/>
      <c r="AA34" s="391"/>
      <c r="AB34" s="391"/>
      <c r="AC34" s="391"/>
      <c r="AD34" s="391"/>
      <c r="AE34" s="391"/>
      <c r="AF34" s="391"/>
      <c r="AG34" s="391"/>
      <c r="AH34" s="391"/>
      <c r="AI34" s="391"/>
      <c r="AJ34" s="391"/>
      <c r="AK34" s="391"/>
      <c r="AL34" s="391"/>
      <c r="AM34" s="391"/>
      <c r="AN34" s="391"/>
      <c r="AO34" s="391"/>
      <c r="AP34" s="391"/>
      <c r="AQ34" s="391"/>
      <c r="AR34" s="391"/>
      <c r="AS34" s="391"/>
      <c r="AT34" s="391"/>
      <c r="AU34" s="391"/>
      <c r="AV34" s="391"/>
      <c r="AW34" s="391"/>
      <c r="AX34" s="391"/>
      <c r="AY34" s="391"/>
      <c r="AZ34" s="391"/>
      <c r="BA34" s="391"/>
      <c r="BB34" s="391" t="s">
        <v>591</v>
      </c>
      <c r="BC34" s="545">
        <f>1%*0</f>
        <v>0</v>
      </c>
      <c r="BD34" s="391" t="s">
        <v>592</v>
      </c>
      <c r="BE34" s="391"/>
      <c r="BF34" s="411"/>
      <c r="BG34" s="411"/>
      <c r="BH34" s="411"/>
      <c r="BI34" s="411"/>
      <c r="BJ34" s="411"/>
      <c r="BK34" s="411"/>
      <c r="BL34" s="411"/>
      <c r="BM34" s="411"/>
      <c r="BP34" s="391"/>
      <c r="BQ34" s="391"/>
      <c r="BR34" s="391"/>
      <c r="BS34" s="391" t="s">
        <v>347</v>
      </c>
      <c r="BT34" s="391"/>
      <c r="BU34" s="391"/>
    </row>
    <row r="35" spans="1:89" s="390" customFormat="1" x14ac:dyDescent="0.25">
      <c r="B35" s="391"/>
      <c r="C35" s="391"/>
      <c r="D35" s="391"/>
      <c r="E35" s="546"/>
      <c r="F35" s="415"/>
      <c r="G35" s="547"/>
      <c r="H35" s="548"/>
      <c r="I35" s="548"/>
      <c r="J35" s="548"/>
      <c r="K35" s="548"/>
      <c r="L35" s="548"/>
      <c r="M35" s="548"/>
      <c r="U35" s="391"/>
      <c r="V35" s="391"/>
      <c r="W35" s="391"/>
      <c r="X35" s="391"/>
      <c r="Y35" s="391"/>
      <c r="Z35" s="391"/>
      <c r="AA35" s="391"/>
      <c r="AB35" s="391"/>
      <c r="AC35" s="391"/>
      <c r="AD35" s="391"/>
      <c r="AE35" s="391"/>
      <c r="AF35" s="391"/>
      <c r="AG35" s="391"/>
      <c r="AH35" s="391"/>
      <c r="AI35" s="391"/>
      <c r="AJ35" s="391"/>
      <c r="AK35" s="391"/>
      <c r="AL35" s="391"/>
      <c r="AM35" s="391"/>
      <c r="AN35" s="391"/>
      <c r="AO35" s="391"/>
      <c r="AP35" s="391"/>
      <c r="AQ35" s="391"/>
      <c r="AR35" s="391"/>
      <c r="AS35" s="391"/>
      <c r="AT35" s="391"/>
      <c r="AU35" s="391"/>
      <c r="AV35" s="391"/>
      <c r="AW35" s="391"/>
      <c r="AX35" s="391"/>
      <c r="AY35" s="391"/>
      <c r="AZ35" s="391"/>
      <c r="BA35" s="391"/>
      <c r="BB35" s="391" t="s">
        <v>593</v>
      </c>
      <c r="BC35" s="545">
        <f>2.5%*0</f>
        <v>0</v>
      </c>
      <c r="BD35" s="391"/>
      <c r="BE35" s="391"/>
      <c r="BF35" s="411"/>
      <c r="BG35" s="411"/>
      <c r="BH35" s="411"/>
      <c r="BI35" s="411"/>
      <c r="BJ35" s="411"/>
      <c r="BK35" s="411"/>
      <c r="BL35" s="411"/>
      <c r="BM35" s="411"/>
      <c r="BP35" s="391"/>
      <c r="BQ35" s="391"/>
      <c r="BR35" s="391"/>
      <c r="BS35" s="391"/>
      <c r="BT35" s="391"/>
      <c r="BU35" s="391"/>
    </row>
    <row r="36" spans="1:89" s="390" customFormat="1" ht="15.6" x14ac:dyDescent="0.25">
      <c r="A36" s="395"/>
      <c r="B36" s="391"/>
      <c r="C36" s="391"/>
      <c r="D36" s="391"/>
      <c r="F36" s="415"/>
      <c r="G36" s="548"/>
      <c r="H36" s="548"/>
      <c r="I36" s="548"/>
      <c r="J36" s="549"/>
      <c r="K36" s="548"/>
      <c r="L36" s="549"/>
      <c r="M36" s="548"/>
      <c r="N36" s="550"/>
      <c r="O36" s="548"/>
      <c r="U36" s="391"/>
      <c r="V36" s="391"/>
      <c r="W36" s="391"/>
      <c r="X36" s="391"/>
      <c r="Y36" s="391"/>
      <c r="Z36" s="391"/>
      <c r="AA36" s="391"/>
      <c r="AB36" s="391"/>
      <c r="AC36" s="391"/>
      <c r="AD36" s="391"/>
      <c r="AE36" s="391"/>
      <c r="AF36" s="391"/>
      <c r="AG36" s="391"/>
      <c r="AH36" s="391"/>
      <c r="AI36" s="391"/>
      <c r="AJ36" s="391"/>
      <c r="AK36" s="391"/>
      <c r="AL36" s="391"/>
      <c r="AM36" s="391"/>
      <c r="AN36" s="391"/>
      <c r="AO36" s="391"/>
      <c r="AP36" s="391"/>
      <c r="AQ36" s="391"/>
      <c r="AR36" s="391"/>
      <c r="AS36" s="391"/>
      <c r="AT36" s="391"/>
      <c r="AU36" s="391"/>
      <c r="AV36" s="391"/>
      <c r="AW36" s="391"/>
      <c r="AX36" s="391"/>
      <c r="AY36" s="391"/>
      <c r="AZ36" s="391"/>
      <c r="BA36" s="391"/>
      <c r="BB36" s="391" t="s">
        <v>594</v>
      </c>
      <c r="BC36" s="545">
        <v>0.05</v>
      </c>
      <c r="BD36" s="391"/>
      <c r="BE36" s="391"/>
      <c r="BF36" s="411"/>
      <c r="BG36" s="411"/>
      <c r="BH36" s="411"/>
      <c r="BI36" s="411"/>
      <c r="BJ36" s="411"/>
      <c r="BK36" s="411"/>
      <c r="BL36" s="411"/>
      <c r="BM36" s="411"/>
      <c r="BP36" s="391"/>
      <c r="BQ36" s="391"/>
      <c r="BR36" s="391"/>
      <c r="BS36" s="391"/>
      <c r="BT36" s="391"/>
      <c r="BU36" s="391"/>
    </row>
    <row r="37" spans="1:89" s="390" customFormat="1" ht="15.6" x14ac:dyDescent="0.25">
      <c r="A37" s="395"/>
      <c r="B37" s="395"/>
      <c r="C37" s="395"/>
      <c r="D37" s="395"/>
      <c r="E37" s="546"/>
      <c r="R37" s="395"/>
      <c r="S37" s="395"/>
      <c r="U37" s="395"/>
      <c r="V37" s="395"/>
      <c r="W37" s="395"/>
      <c r="X37" s="395"/>
      <c r="Y37" s="395"/>
      <c r="AP37" s="395"/>
      <c r="AQ37" s="395"/>
      <c r="AR37" s="395"/>
      <c r="AT37" s="395"/>
      <c r="AU37" s="395"/>
      <c r="AV37" s="395"/>
      <c r="AW37" s="391"/>
      <c r="AX37" s="391"/>
      <c r="AY37" s="391"/>
      <c r="AZ37" s="391"/>
      <c r="BA37" s="391"/>
      <c r="BB37" s="391"/>
      <c r="BC37" s="551">
        <f>SUM(BC35:BC36)</f>
        <v>0.05</v>
      </c>
      <c r="BD37" s="391"/>
      <c r="BE37" s="391"/>
      <c r="BF37" s="411"/>
      <c r="BG37" s="411"/>
      <c r="BH37" s="411"/>
      <c r="BI37" s="411"/>
      <c r="BJ37" s="411"/>
      <c r="BK37" s="411"/>
      <c r="BL37" s="411"/>
      <c r="BM37" s="411"/>
      <c r="BP37" s="391"/>
      <c r="BQ37" s="391"/>
      <c r="BR37" s="391"/>
      <c r="BS37" s="391"/>
      <c r="BT37" s="391"/>
      <c r="BU37" s="391"/>
    </row>
    <row r="38" spans="1:89" s="390" customFormat="1" ht="15.6" x14ac:dyDescent="0.25">
      <c r="A38" s="395"/>
      <c r="B38" s="395"/>
      <c r="C38" s="395"/>
      <c r="D38" s="395"/>
      <c r="E38" s="395"/>
      <c r="F38" s="395"/>
      <c r="G38" s="395"/>
      <c r="H38" s="395"/>
      <c r="I38" s="395"/>
      <c r="J38" s="395"/>
      <c r="K38" s="395"/>
      <c r="L38" s="395"/>
      <c r="M38" s="395"/>
      <c r="N38" s="395"/>
      <c r="O38" s="395"/>
      <c r="P38" s="395"/>
      <c r="Q38" s="395"/>
      <c r="R38" s="395"/>
      <c r="S38" s="395"/>
      <c r="T38" s="395"/>
      <c r="U38" s="395"/>
      <c r="V38" s="395"/>
      <c r="W38" s="1159"/>
      <c r="X38" s="1160"/>
      <c r="Y38" s="1160"/>
      <c r="Z38" s="1160"/>
      <c r="AA38" s="395"/>
      <c r="AB38" s="395"/>
      <c r="AC38" s="395"/>
      <c r="AD38" s="395"/>
      <c r="AE38" s="395"/>
      <c r="AF38" s="395"/>
      <c r="AG38" s="395"/>
      <c r="AI38" s="395"/>
      <c r="AJ38" s="395"/>
      <c r="AK38" s="395"/>
      <c r="AL38" s="395"/>
      <c r="AM38" s="395"/>
      <c r="AN38" s="395"/>
      <c r="AO38" s="395"/>
      <c r="AP38" s="395"/>
      <c r="AQ38" s="395"/>
      <c r="AR38" s="395"/>
      <c r="AS38" s="395"/>
      <c r="AT38" s="552"/>
      <c r="AU38" s="393"/>
      <c r="AV38" s="393"/>
      <c r="AW38" s="391"/>
      <c r="AX38" s="391"/>
      <c r="AY38" s="391"/>
      <c r="AZ38" s="391"/>
      <c r="BA38" s="391"/>
      <c r="BB38" s="3"/>
      <c r="BC38" s="3"/>
      <c r="BD38" s="553"/>
      <c r="BE38" s="391"/>
      <c r="BF38" s="411"/>
      <c r="BG38" s="411"/>
      <c r="BH38" s="411"/>
      <c r="BI38" s="411"/>
      <c r="BJ38" s="411"/>
      <c r="BK38" s="411"/>
      <c r="BL38" s="411"/>
      <c r="BM38" s="411"/>
      <c r="BP38" s="391"/>
      <c r="BQ38" s="391"/>
      <c r="BR38" s="391"/>
      <c r="BS38" s="391"/>
      <c r="BT38" s="391"/>
      <c r="BU38" s="391"/>
    </row>
    <row r="39" spans="1:89" s="390" customFormat="1" ht="15.6" x14ac:dyDescent="0.25">
      <c r="A39" s="395"/>
      <c r="B39" s="395"/>
      <c r="C39" s="395"/>
      <c r="D39" s="395"/>
      <c r="E39" s="395"/>
      <c r="F39" s="395"/>
      <c r="G39" s="395"/>
      <c r="H39" s="395"/>
      <c r="I39" s="395"/>
      <c r="J39" s="395"/>
      <c r="K39" s="395"/>
      <c r="L39" s="395"/>
      <c r="M39" s="395"/>
      <c r="N39" s="395"/>
      <c r="O39" s="395"/>
      <c r="P39" s="395"/>
      <c r="Q39" s="395"/>
      <c r="R39" s="395"/>
      <c r="S39" s="395"/>
      <c r="T39" s="395"/>
      <c r="U39" s="395"/>
      <c r="V39" s="395"/>
      <c r="W39" s="395"/>
      <c r="Y39" s="1159"/>
      <c r="Z39" s="1160"/>
      <c r="AA39" s="395"/>
      <c r="AB39" s="395"/>
      <c r="AC39" s="395"/>
      <c r="AD39" s="395"/>
      <c r="AE39" s="395"/>
      <c r="AF39" s="395"/>
      <c r="AG39" s="395"/>
      <c r="AH39" s="395"/>
      <c r="AI39" s="395"/>
      <c r="AJ39" s="395"/>
      <c r="AK39" s="395"/>
      <c r="AL39" s="395"/>
      <c r="AM39" s="395"/>
      <c r="AN39" s="395"/>
      <c r="AO39" s="395"/>
      <c r="AP39" s="395"/>
      <c r="AQ39" s="395"/>
      <c r="AR39" s="395"/>
      <c r="AT39" s="395"/>
      <c r="AU39" s="395"/>
      <c r="AV39" s="395"/>
      <c r="AW39" s="391"/>
      <c r="AX39" s="391"/>
      <c r="AY39" s="391"/>
      <c r="AZ39" s="391"/>
      <c r="BA39" s="391"/>
      <c r="BB39" s="391" t="s">
        <v>595</v>
      </c>
      <c r="BC39" s="539"/>
      <c r="BD39" s="553"/>
      <c r="BE39" s="391"/>
      <c r="BF39" s="411"/>
      <c r="BG39" s="411"/>
      <c r="BH39" s="411"/>
      <c r="BI39" s="411"/>
      <c r="BJ39" s="411"/>
      <c r="BK39" s="411"/>
      <c r="BL39" s="411"/>
      <c r="BM39" s="411"/>
      <c r="BP39" s="391"/>
      <c r="BQ39" s="391"/>
      <c r="BR39" s="391"/>
      <c r="BS39" s="391"/>
      <c r="BT39" s="391"/>
      <c r="BU39" s="391"/>
      <c r="CJ39" s="554"/>
      <c r="CK39" s="554"/>
    </row>
    <row r="40" spans="1:89" s="390" customFormat="1" ht="15.6" x14ac:dyDescent="0.25">
      <c r="A40" s="395"/>
      <c r="B40" s="395"/>
      <c r="C40" s="395"/>
      <c r="D40" s="395"/>
      <c r="E40" s="395"/>
      <c r="F40" s="395"/>
      <c r="G40" s="395"/>
      <c r="H40" s="395"/>
      <c r="I40" s="395"/>
      <c r="J40" s="395"/>
      <c r="K40" s="395"/>
      <c r="L40" s="395"/>
      <c r="M40" s="395"/>
      <c r="N40" s="395"/>
      <c r="O40" s="395"/>
      <c r="P40" s="395"/>
      <c r="Q40" s="395"/>
      <c r="R40" s="395"/>
      <c r="S40" s="395"/>
      <c r="T40" s="395"/>
      <c r="U40" s="395"/>
      <c r="V40" s="395"/>
      <c r="W40" s="395"/>
      <c r="X40" s="395"/>
      <c r="Y40" s="395"/>
      <c r="Z40" s="395"/>
      <c r="AA40" s="395"/>
      <c r="AB40" s="395"/>
      <c r="AC40" s="395"/>
      <c r="AD40" s="395"/>
      <c r="AE40" s="395"/>
      <c r="AF40" s="395"/>
      <c r="AG40" s="395"/>
      <c r="AH40" s="395"/>
      <c r="AI40" s="395"/>
      <c r="AJ40" s="395"/>
      <c r="AK40" s="395"/>
      <c r="AL40" s="395"/>
      <c r="AM40" s="395"/>
      <c r="AN40" s="395"/>
      <c r="AO40" s="395"/>
      <c r="AP40" s="395"/>
      <c r="AQ40" s="395"/>
      <c r="AR40" s="395"/>
      <c r="AS40" s="395"/>
      <c r="AT40" s="395"/>
      <c r="AU40" s="395"/>
      <c r="AV40" s="395"/>
      <c r="AW40" s="391"/>
      <c r="AX40" s="391"/>
      <c r="AY40" s="391"/>
      <c r="AZ40" s="391"/>
      <c r="BA40" s="391"/>
      <c r="BB40" s="391" t="s">
        <v>596</v>
      </c>
      <c r="BC40" s="539">
        <v>7.0000000000000007E-2</v>
      </c>
      <c r="BD40" s="391"/>
      <c r="BE40" s="391"/>
      <c r="BF40" s="411"/>
      <c r="BG40" s="411"/>
      <c r="BH40" s="411"/>
      <c r="BI40" s="411"/>
      <c r="BJ40" s="411"/>
      <c r="BK40" s="411"/>
      <c r="BL40" s="411"/>
      <c r="BM40" s="411"/>
      <c r="BP40" s="391"/>
      <c r="BQ40" s="391"/>
      <c r="BR40" s="391"/>
      <c r="BS40" s="391"/>
      <c r="BT40" s="391"/>
      <c r="BU40" s="391"/>
      <c r="CJ40" s="554"/>
      <c r="CK40" s="554"/>
    </row>
    <row r="41" spans="1:89" s="390" customFormat="1" ht="15.6" x14ac:dyDescent="0.25">
      <c r="A41" s="395"/>
      <c r="B41" s="395"/>
      <c r="D41" s="395"/>
      <c r="E41" s="395"/>
      <c r="F41" s="395"/>
      <c r="G41" s="395"/>
      <c r="H41" s="395"/>
      <c r="I41" s="395"/>
      <c r="J41" s="395"/>
      <c r="K41" s="395"/>
      <c r="L41" s="395"/>
      <c r="M41" s="395"/>
      <c r="N41" s="395"/>
      <c r="O41" s="395"/>
      <c r="P41" s="395"/>
      <c r="Q41" s="395"/>
      <c r="R41" s="395"/>
      <c r="S41" s="395"/>
      <c r="T41" s="395"/>
      <c r="U41" s="395"/>
      <c r="V41" s="395"/>
      <c r="W41" s="395"/>
      <c r="X41" s="395"/>
      <c r="Y41" s="395"/>
      <c r="Z41" s="395"/>
      <c r="AA41" s="395"/>
      <c r="AB41" s="395"/>
      <c r="AC41" s="395"/>
      <c r="AD41" s="395"/>
      <c r="AE41" s="395"/>
      <c r="AF41" s="395"/>
      <c r="AG41" s="395"/>
      <c r="AH41" s="395"/>
      <c r="AI41" s="395"/>
      <c r="AJ41" s="395"/>
      <c r="AK41" s="395"/>
      <c r="AL41" s="395"/>
      <c r="AM41" s="395"/>
      <c r="AN41" s="395"/>
      <c r="AO41" s="395"/>
      <c r="AP41" s="395"/>
      <c r="AQ41" s="395"/>
      <c r="AR41" s="395"/>
      <c r="AS41" s="395"/>
      <c r="AT41" s="395"/>
      <c r="AU41" s="395"/>
      <c r="AV41" s="395"/>
      <c r="AW41" s="391"/>
      <c r="AX41" s="391"/>
      <c r="AY41" s="391"/>
      <c r="AZ41" s="391"/>
      <c r="BA41" s="391"/>
      <c r="BB41" s="391" t="s">
        <v>597</v>
      </c>
      <c r="BC41" s="539"/>
      <c r="BD41" s="391"/>
      <c r="BE41" s="391"/>
      <c r="BF41" s="391"/>
      <c r="BG41" s="541"/>
      <c r="BP41" s="391"/>
      <c r="BQ41" s="391"/>
      <c r="BR41" s="391"/>
      <c r="BS41" s="391"/>
      <c r="BT41" s="391"/>
      <c r="BU41" s="391"/>
      <c r="CJ41" s="554"/>
      <c r="CK41" s="554"/>
    </row>
    <row r="42" spans="1:89" s="390" customFormat="1" ht="15.6" x14ac:dyDescent="0.25">
      <c r="A42" s="395"/>
      <c r="B42" s="395"/>
      <c r="C42" s="395"/>
      <c r="D42" s="395"/>
      <c r="E42" s="395"/>
      <c r="F42" s="395"/>
      <c r="G42" s="395"/>
      <c r="H42" s="395"/>
      <c r="I42" s="395"/>
      <c r="J42" s="395"/>
      <c r="K42" s="395"/>
      <c r="L42" s="395"/>
      <c r="M42" s="395"/>
      <c r="N42" s="395"/>
      <c r="O42" s="395"/>
      <c r="P42" s="395"/>
      <c r="Q42" s="395"/>
      <c r="R42" s="395"/>
      <c r="S42" s="395"/>
      <c r="T42" s="546"/>
      <c r="U42" s="395"/>
      <c r="V42" s="395"/>
      <c r="W42" s="395"/>
      <c r="X42" s="395"/>
      <c r="Y42" s="395"/>
      <c r="Z42" s="395"/>
      <c r="AA42" s="395"/>
      <c r="AB42" s="395"/>
      <c r="AC42" s="395"/>
      <c r="AD42" s="395"/>
      <c r="AE42" s="395"/>
      <c r="AF42" s="395"/>
      <c r="AG42" s="395"/>
      <c r="AH42" s="395"/>
      <c r="AI42" s="395"/>
      <c r="AJ42" s="395"/>
      <c r="AK42" s="395"/>
      <c r="AL42" s="395"/>
      <c r="AM42" s="395"/>
      <c r="AN42" s="395"/>
      <c r="AO42" s="395"/>
      <c r="AP42" s="395"/>
      <c r="AQ42" s="395"/>
      <c r="AR42" s="395"/>
      <c r="AS42" s="395"/>
      <c r="AT42" s="395"/>
      <c r="AU42" s="395"/>
      <c r="AV42" s="395"/>
      <c r="AW42" s="391"/>
      <c r="AX42" s="391"/>
      <c r="AY42" s="391"/>
      <c r="AZ42" s="391"/>
      <c r="BA42" s="391"/>
      <c r="BB42" s="391" t="s">
        <v>598</v>
      </c>
      <c r="BC42" s="539"/>
      <c r="BD42" s="391"/>
      <c r="BE42" s="391"/>
      <c r="BF42" s="391"/>
      <c r="BG42" s="541"/>
      <c r="BQ42" s="391"/>
      <c r="BR42" s="391"/>
      <c r="BS42" s="391"/>
      <c r="BT42" s="391"/>
      <c r="BU42" s="391"/>
      <c r="CJ42" s="554"/>
      <c r="CK42" s="554"/>
    </row>
    <row r="43" spans="1:89" s="390" customFormat="1" ht="14.1" customHeight="1" x14ac:dyDescent="0.25">
      <c r="A43" s="395"/>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395"/>
      <c r="AI43" s="395"/>
      <c r="AJ43" s="395"/>
      <c r="AK43" s="395"/>
      <c r="AL43" s="395"/>
      <c r="AM43" s="395"/>
      <c r="AN43" s="395"/>
      <c r="AO43" s="395"/>
      <c r="AP43" s="395"/>
      <c r="AQ43" s="395"/>
      <c r="AR43" s="395"/>
      <c r="AS43" s="395"/>
      <c r="AT43" s="395"/>
      <c r="AU43" s="395"/>
      <c r="AV43" s="395"/>
      <c r="AW43" s="391"/>
      <c r="AX43" s="391"/>
      <c r="AY43" s="391"/>
      <c r="AZ43" s="391"/>
      <c r="BA43" s="391"/>
      <c r="BB43" s="391" t="s">
        <v>599</v>
      </c>
      <c r="BC43" s="539">
        <v>0.03</v>
      </c>
      <c r="BD43" s="391"/>
      <c r="BE43" s="391"/>
      <c r="BF43" s="391"/>
      <c r="BG43" s="391"/>
      <c r="BQ43" s="391"/>
      <c r="BR43" s="391"/>
      <c r="BS43" s="391"/>
      <c r="BT43" s="391"/>
      <c r="BU43" s="391"/>
      <c r="CJ43" s="554"/>
      <c r="CK43" s="554"/>
    </row>
    <row r="44" spans="1:89" s="390" customFormat="1" x14ac:dyDescent="0.25">
      <c r="A44" s="555"/>
      <c r="C44" s="556"/>
      <c r="D44" s="391"/>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91"/>
      <c r="AI44" s="391"/>
      <c r="AJ44" s="391"/>
      <c r="AK44" s="391"/>
      <c r="AL44" s="391"/>
      <c r="AM44" s="391"/>
      <c r="AN44" s="391"/>
      <c r="AO44" s="391"/>
      <c r="AP44" s="391"/>
      <c r="AQ44" s="391"/>
      <c r="AR44" s="391"/>
      <c r="AS44" s="391"/>
      <c r="AT44" s="391"/>
      <c r="AU44" s="391"/>
      <c r="AV44" s="391"/>
      <c r="AW44" s="391"/>
      <c r="AX44" s="391"/>
      <c r="AY44" s="391"/>
      <c r="AZ44" s="391"/>
      <c r="BA44" s="391"/>
      <c r="BB44" s="391" t="s">
        <v>600</v>
      </c>
      <c r="BC44" s="539"/>
      <c r="BD44" s="391"/>
      <c r="BE44" s="391"/>
      <c r="BF44" s="391"/>
      <c r="BG44" s="391"/>
      <c r="BH44" s="391"/>
      <c r="BI44" s="391"/>
      <c r="BJ44" s="391"/>
      <c r="BK44" s="391"/>
      <c r="BL44" s="557"/>
      <c r="BM44" s="391"/>
      <c r="BN44" s="391"/>
      <c r="BO44" s="391"/>
      <c r="BP44" s="391"/>
      <c r="BQ44" s="391"/>
      <c r="BR44" s="391"/>
      <c r="BS44" s="391"/>
      <c r="BT44" s="391"/>
      <c r="BU44" s="391"/>
      <c r="CJ44" s="554"/>
      <c r="CK44" s="554"/>
    </row>
    <row r="45" spans="1:89" s="390" customFormat="1" x14ac:dyDescent="0.25">
      <c r="A45" s="555"/>
      <c r="C45" s="556"/>
      <c r="D45" s="391"/>
      <c r="E45" s="391"/>
      <c r="F45" s="391"/>
      <c r="G45" s="391"/>
      <c r="H45" s="391"/>
      <c r="I45" s="391"/>
      <c r="K45" s="391"/>
      <c r="L45" s="391"/>
      <c r="M45" s="391"/>
      <c r="N45" s="391"/>
      <c r="O45" s="391"/>
      <c r="P45" s="391"/>
      <c r="Q45" s="391"/>
      <c r="R45" s="391"/>
      <c r="S45" s="391"/>
      <c r="T45" s="391"/>
      <c r="U45" s="391"/>
      <c r="V45" s="391"/>
      <c r="W45" s="391"/>
      <c r="X45" s="391"/>
      <c r="Y45" s="391"/>
      <c r="Z45" s="391"/>
      <c r="AA45" s="391"/>
      <c r="AB45" s="391"/>
      <c r="AC45" s="391"/>
      <c r="AD45" s="554"/>
      <c r="AE45" s="391"/>
      <c r="AF45" s="391"/>
      <c r="AG45" s="391"/>
      <c r="AH45" s="391"/>
      <c r="AI45" s="391"/>
      <c r="AJ45" s="391"/>
      <c r="AK45" s="391"/>
      <c r="AM45" s="391"/>
      <c r="AN45" s="391"/>
      <c r="AO45" s="391"/>
      <c r="AP45" s="391"/>
      <c r="AR45" s="391"/>
      <c r="AS45" s="391"/>
      <c r="AT45" s="391"/>
      <c r="AU45" s="391"/>
      <c r="AV45" s="391"/>
      <c r="AW45" s="391"/>
      <c r="AX45" s="391"/>
      <c r="AY45" s="391"/>
      <c r="AZ45" s="391"/>
      <c r="BA45" s="391"/>
      <c r="BB45" s="391" t="s">
        <v>601</v>
      </c>
      <c r="BC45" s="539">
        <v>0.1</v>
      </c>
      <c r="BD45" s="391"/>
      <c r="BE45" s="391"/>
      <c r="BF45" s="391"/>
      <c r="BG45" s="391"/>
      <c r="BH45" s="391"/>
      <c r="BI45" s="391"/>
      <c r="BO45" s="391"/>
      <c r="BP45" s="391"/>
      <c r="BQ45" s="391"/>
      <c r="BR45" s="391"/>
      <c r="BS45" s="391"/>
      <c r="BT45" s="391"/>
      <c r="BU45" s="391"/>
      <c r="CJ45" s="554"/>
      <c r="CK45" s="554"/>
    </row>
    <row r="46" spans="1:89" s="390" customFormat="1" x14ac:dyDescent="0.25">
      <c r="A46" s="555"/>
      <c r="B46" s="391"/>
      <c r="C46" s="391"/>
      <c r="D46" s="391"/>
      <c r="E46" s="391"/>
      <c r="F46" s="391"/>
      <c r="G46" s="391"/>
      <c r="H46" s="391"/>
      <c r="I46" s="391"/>
      <c r="K46" s="391"/>
      <c r="L46" s="391"/>
      <c r="M46" s="391"/>
      <c r="N46" s="391"/>
      <c r="O46" s="391"/>
      <c r="P46" s="391"/>
      <c r="Q46" s="391"/>
      <c r="R46" s="391"/>
      <c r="S46" s="391"/>
      <c r="T46" s="391"/>
      <c r="U46" s="391"/>
      <c r="V46" s="391"/>
      <c r="W46" s="391"/>
      <c r="X46" s="391"/>
      <c r="Y46" s="391"/>
      <c r="Z46" s="391"/>
      <c r="AA46" s="391"/>
      <c r="AB46" s="391"/>
      <c r="AC46" s="391"/>
      <c r="AD46" s="554"/>
      <c r="AE46" s="391"/>
      <c r="AF46" s="391"/>
      <c r="AG46" s="391"/>
      <c r="AH46" s="391"/>
      <c r="AI46" s="391"/>
      <c r="AJ46" s="391"/>
      <c r="AK46" s="391"/>
      <c r="AM46" s="391"/>
      <c r="AN46" s="391"/>
      <c r="AO46" s="391"/>
      <c r="AP46" s="391"/>
      <c r="AR46" s="391"/>
      <c r="AS46" s="391"/>
      <c r="AT46" s="391"/>
      <c r="AU46" s="391"/>
      <c r="AV46" s="391"/>
      <c r="AW46" s="391"/>
      <c r="AX46" s="391"/>
      <c r="AY46" s="391"/>
      <c r="AZ46" s="391"/>
      <c r="BA46" s="391"/>
      <c r="BB46" s="391" t="s">
        <v>602</v>
      </c>
      <c r="BC46" s="539"/>
      <c r="BD46" s="391"/>
      <c r="BE46" s="391"/>
      <c r="BF46" s="391"/>
      <c r="BG46" s="391"/>
      <c r="BI46" s="391"/>
      <c r="BS46" s="391"/>
      <c r="BT46" s="391"/>
      <c r="BU46" s="391"/>
      <c r="CJ46" s="554"/>
      <c r="CK46" s="554"/>
    </row>
    <row r="47" spans="1:89" s="390" customFormat="1" x14ac:dyDescent="0.25">
      <c r="A47" s="555"/>
      <c r="B47" s="391"/>
      <c r="C47" s="391"/>
      <c r="D47" s="391"/>
      <c r="E47" s="391"/>
      <c r="F47" s="391"/>
      <c r="G47" s="391"/>
      <c r="H47" s="391"/>
      <c r="I47" s="391"/>
      <c r="J47" s="391"/>
      <c r="K47" s="391"/>
      <c r="L47" s="391"/>
      <c r="M47" s="391"/>
      <c r="N47" s="391"/>
      <c r="O47" s="391"/>
      <c r="P47" s="391"/>
      <c r="Q47" s="391"/>
      <c r="R47" s="391"/>
      <c r="S47" s="391"/>
      <c r="T47" s="391"/>
      <c r="U47" s="391"/>
      <c r="V47" s="391"/>
      <c r="W47" s="391"/>
      <c r="X47" s="391"/>
      <c r="Y47" s="391"/>
      <c r="Z47" s="391"/>
      <c r="AA47" s="391"/>
      <c r="AB47" s="391"/>
      <c r="AC47" s="391"/>
      <c r="AD47" s="391"/>
      <c r="AE47" s="391"/>
      <c r="AF47" s="391"/>
      <c r="AG47" s="391"/>
      <c r="AH47" s="391"/>
      <c r="AI47" s="391"/>
      <c r="AJ47" s="391"/>
      <c r="AK47" s="391"/>
      <c r="AL47" s="391"/>
      <c r="AM47" s="391"/>
      <c r="AN47" s="391"/>
      <c r="AO47" s="391"/>
      <c r="AP47" s="391"/>
      <c r="AQ47" s="391"/>
      <c r="AR47" s="391"/>
      <c r="AS47" s="391"/>
      <c r="AT47" s="391"/>
      <c r="AU47" s="391"/>
      <c r="AV47" s="391"/>
      <c r="AW47" s="391"/>
      <c r="AX47" s="391"/>
      <c r="AY47" s="391"/>
      <c r="AZ47" s="391"/>
      <c r="BA47" s="391"/>
      <c r="BB47" s="391" t="s">
        <v>603</v>
      </c>
      <c r="BC47" s="539">
        <v>0.02</v>
      </c>
      <c r="BD47" s="391"/>
      <c r="BE47" s="391"/>
      <c r="BF47" s="391"/>
      <c r="BG47" s="391"/>
      <c r="BS47" s="391"/>
      <c r="BT47" s="391"/>
      <c r="BU47" s="391"/>
      <c r="CJ47" s="554"/>
      <c r="CK47" s="554"/>
    </row>
    <row r="48" spans="1:89" s="390" customFormat="1" x14ac:dyDescent="0.25">
      <c r="A48" s="555"/>
      <c r="B48" s="391"/>
      <c r="C48" s="391"/>
      <c r="D48" s="391"/>
      <c r="E48" s="391"/>
      <c r="F48" s="391"/>
      <c r="G48" s="391"/>
      <c r="H48" s="391"/>
      <c r="I48" s="391"/>
      <c r="J48" s="391"/>
      <c r="K48" s="391"/>
      <c r="L48" s="391"/>
      <c r="M48" s="391"/>
      <c r="N48" s="391"/>
      <c r="O48" s="391"/>
      <c r="P48" s="391"/>
      <c r="Q48" s="391"/>
      <c r="R48" s="391"/>
      <c r="S48" s="391"/>
      <c r="T48" s="391"/>
      <c r="U48" s="391"/>
      <c r="V48" s="391"/>
      <c r="W48" s="391"/>
      <c r="X48" s="391"/>
      <c r="Y48" s="391"/>
      <c r="Z48" s="391"/>
      <c r="AA48" s="391"/>
      <c r="AB48" s="391"/>
      <c r="AC48" s="391"/>
      <c r="AD48" s="391"/>
      <c r="AE48" s="391"/>
      <c r="AF48" s="391"/>
      <c r="AG48" s="391"/>
      <c r="AH48" s="391"/>
      <c r="AI48" s="391"/>
      <c r="AJ48" s="391"/>
      <c r="AK48" s="391"/>
      <c r="AL48" s="391"/>
      <c r="AM48" s="391"/>
      <c r="AN48" s="391"/>
      <c r="AO48" s="391"/>
      <c r="AP48" s="391"/>
      <c r="AQ48" s="391"/>
      <c r="AR48" s="391"/>
      <c r="AS48" s="391"/>
      <c r="AT48" s="391"/>
      <c r="AU48" s="391"/>
      <c r="AV48" s="391"/>
      <c r="AW48" s="391"/>
      <c r="AX48" s="391"/>
      <c r="AY48" s="391"/>
      <c r="AZ48" s="391"/>
      <c r="BA48" s="391"/>
      <c r="BB48" s="391" t="s">
        <v>604</v>
      </c>
      <c r="BC48" s="539"/>
      <c r="BD48" s="391"/>
      <c r="BE48" s="391"/>
      <c r="BF48" s="391"/>
      <c r="BG48" s="391"/>
      <c r="BS48" s="391"/>
      <c r="BT48" s="391"/>
      <c r="BU48" s="391"/>
      <c r="CJ48" s="554"/>
      <c r="CK48" s="554"/>
    </row>
    <row r="49" spans="12:128" s="390" customFormat="1" x14ac:dyDescent="0.25">
      <c r="AW49" s="391"/>
      <c r="AX49" s="391"/>
      <c r="AY49" s="391"/>
      <c r="AZ49" s="391"/>
      <c r="BA49" s="391"/>
      <c r="BB49" s="391" t="s">
        <v>605</v>
      </c>
      <c r="BC49" s="539">
        <v>0.09</v>
      </c>
      <c r="BD49" s="391"/>
      <c r="BE49" s="391"/>
      <c r="BF49" s="391"/>
      <c r="BG49" s="391"/>
      <c r="BI49" s="391"/>
      <c r="BJ49" s="391"/>
      <c r="BK49" s="391"/>
      <c r="BL49" s="391"/>
      <c r="BM49" s="391"/>
      <c r="BN49" s="391"/>
      <c r="BS49" s="391"/>
      <c r="BT49" s="391"/>
      <c r="BU49" s="391"/>
      <c r="CJ49" s="554"/>
      <c r="CK49" s="554"/>
    </row>
    <row r="50" spans="12:128" s="390" customFormat="1" hidden="1" x14ac:dyDescent="0.25">
      <c r="L50" s="391"/>
      <c r="M50" s="391"/>
      <c r="N50" s="391"/>
      <c r="O50" s="391"/>
      <c r="R50" s="391"/>
      <c r="S50" s="391"/>
      <c r="T50" s="391"/>
      <c r="U50" s="391"/>
      <c r="V50" s="391"/>
      <c r="W50" s="391"/>
      <c r="X50" s="391"/>
      <c r="Y50" s="391"/>
      <c r="Z50" s="391"/>
      <c r="AA50" s="391"/>
      <c r="AB50" s="391"/>
      <c r="AC50" s="391"/>
      <c r="AD50" s="391"/>
      <c r="AE50" s="391"/>
      <c r="AF50" s="391"/>
      <c r="AG50" s="391"/>
      <c r="AH50" s="391"/>
      <c r="AI50" s="391"/>
      <c r="AJ50" s="391"/>
      <c r="AK50" s="391"/>
      <c r="AL50" s="391"/>
      <c r="AM50" s="391"/>
      <c r="AN50" s="391"/>
      <c r="AO50" s="391"/>
      <c r="AP50" s="391"/>
      <c r="AQ50" s="391"/>
      <c r="AR50" s="391"/>
      <c r="AS50" s="391"/>
      <c r="AT50" s="391"/>
      <c r="AU50" s="391"/>
      <c r="AV50" s="391"/>
      <c r="AW50" s="391"/>
      <c r="AX50" s="391"/>
      <c r="AY50" s="391"/>
      <c r="AZ50" s="391"/>
      <c r="BA50" s="391"/>
      <c r="BD50" s="391"/>
      <c r="BE50" s="391"/>
      <c r="BF50" s="391"/>
      <c r="BG50" s="391"/>
      <c r="BI50" s="390" t="s">
        <v>455</v>
      </c>
      <c r="BJ50" s="390" t="e">
        <f>+#REF!</f>
        <v>#REF!</v>
      </c>
      <c r="BN50" s="391"/>
      <c r="BS50" s="391"/>
      <c r="BT50" s="391"/>
      <c r="BU50" s="391"/>
      <c r="CJ50" s="554"/>
      <c r="CK50" s="554"/>
    </row>
    <row r="51" spans="12:128" s="390" customFormat="1" x14ac:dyDescent="0.25">
      <c r="L51" s="391"/>
      <c r="M51" s="391"/>
      <c r="N51" s="391"/>
      <c r="O51" s="391"/>
      <c r="R51" s="391"/>
      <c r="S51" s="391"/>
      <c r="T51" s="391"/>
      <c r="U51" s="391"/>
      <c r="V51" s="391"/>
      <c r="W51" s="391"/>
      <c r="X51" s="391"/>
      <c r="Y51" s="391"/>
      <c r="Z51" s="391"/>
      <c r="AA51" s="391"/>
      <c r="AB51" s="391"/>
      <c r="AC51" s="391"/>
      <c r="AD51" s="391"/>
      <c r="AE51" s="391"/>
      <c r="AF51" s="391"/>
      <c r="AG51" s="391"/>
      <c r="AH51" s="391"/>
      <c r="AI51" s="391"/>
      <c r="AJ51" s="391"/>
      <c r="AK51" s="391"/>
      <c r="AL51" s="391"/>
      <c r="AM51" s="391"/>
      <c r="AN51" s="391"/>
      <c r="AO51" s="391"/>
      <c r="AP51" s="391"/>
      <c r="AQ51" s="391"/>
      <c r="AR51" s="391"/>
      <c r="AS51" s="391"/>
      <c r="AT51" s="391"/>
      <c r="AU51" s="391"/>
      <c r="AV51" s="391"/>
      <c r="AW51" s="391"/>
      <c r="AX51" s="391"/>
      <c r="AY51" s="391"/>
      <c r="AZ51" s="391"/>
      <c r="BA51" s="391"/>
      <c r="BB51" s="391" t="s">
        <v>606</v>
      </c>
      <c r="BC51" s="539"/>
      <c r="BD51" s="391"/>
      <c r="BE51" s="391"/>
      <c r="BF51" s="391"/>
      <c r="BG51" s="391"/>
      <c r="BI51" s="411"/>
      <c r="BJ51" s="411"/>
      <c r="BK51" s="411"/>
      <c r="BL51" s="411"/>
      <c r="BM51" s="411"/>
      <c r="BN51" s="411"/>
      <c r="BS51" s="391"/>
      <c r="BT51" s="391"/>
      <c r="BU51" s="391"/>
      <c r="CJ51" s="554"/>
      <c r="CK51" s="554"/>
    </row>
    <row r="52" spans="12:128" s="390" customFormat="1" x14ac:dyDescent="0.25">
      <c r="L52" s="391"/>
      <c r="M52" s="391"/>
      <c r="N52" s="391"/>
      <c r="O52" s="391"/>
      <c r="R52" s="391"/>
      <c r="S52" s="391"/>
      <c r="T52" s="391"/>
      <c r="U52" s="391"/>
      <c r="V52" s="391"/>
      <c r="W52" s="391"/>
      <c r="X52" s="391"/>
      <c r="Y52" s="391"/>
      <c r="Z52" s="391"/>
      <c r="AA52" s="391"/>
      <c r="AB52" s="391"/>
      <c r="AC52" s="391"/>
      <c r="AD52" s="391"/>
      <c r="AE52" s="391"/>
      <c r="AF52" s="391"/>
      <c r="AG52" s="391"/>
      <c r="AH52" s="391"/>
      <c r="AI52" s="391"/>
      <c r="AJ52" s="391"/>
      <c r="AK52" s="391"/>
      <c r="AL52" s="391"/>
      <c r="AM52" s="391"/>
      <c r="AN52" s="391"/>
      <c r="AO52" s="391"/>
      <c r="AP52" s="391"/>
      <c r="AQ52" s="391"/>
      <c r="AR52" s="391"/>
      <c r="AS52" s="391"/>
      <c r="AT52" s="391"/>
      <c r="AU52" s="391"/>
      <c r="AV52" s="391"/>
      <c r="AW52" s="391"/>
      <c r="AX52" s="391"/>
      <c r="AY52" s="391"/>
      <c r="AZ52" s="391"/>
      <c r="BA52" s="391"/>
      <c r="BB52" s="391" t="s">
        <v>607</v>
      </c>
      <c r="BC52" s="539"/>
      <c r="BD52" s="391"/>
      <c r="BE52" s="391"/>
      <c r="BF52" s="391"/>
      <c r="BG52" s="391"/>
      <c r="BI52" s="411"/>
      <c r="BJ52" s="411"/>
      <c r="BK52" s="411"/>
      <c r="BL52" s="411"/>
      <c r="BM52" s="411"/>
      <c r="BN52" s="411"/>
      <c r="BS52" s="391"/>
      <c r="BT52" s="391"/>
      <c r="BU52" s="391"/>
      <c r="CJ52" s="554"/>
      <c r="CK52" s="554"/>
    </row>
    <row r="53" spans="12:128" s="390" customFormat="1" x14ac:dyDescent="0.25">
      <c r="L53" s="391"/>
      <c r="M53" s="391"/>
      <c r="N53" s="391"/>
      <c r="O53" s="391"/>
      <c r="R53" s="391"/>
      <c r="S53" s="391"/>
      <c r="T53" s="391"/>
      <c r="U53" s="391"/>
      <c r="V53" s="391"/>
      <c r="W53" s="391"/>
      <c r="X53" s="391"/>
      <c r="Y53" s="391"/>
      <c r="Z53" s="391"/>
      <c r="AA53" s="391"/>
      <c r="AB53" s="391"/>
      <c r="AC53" s="391"/>
      <c r="AD53" s="391"/>
      <c r="AE53" s="391"/>
      <c r="AF53" s="391"/>
      <c r="AG53" s="391"/>
      <c r="AH53" s="391"/>
      <c r="AI53" s="391"/>
      <c r="AJ53" s="391"/>
      <c r="AK53" s="391"/>
      <c r="AL53" s="391"/>
      <c r="AM53" s="391"/>
      <c r="AN53" s="391"/>
      <c r="AO53" s="391"/>
      <c r="AP53" s="391"/>
      <c r="AQ53" s="391"/>
      <c r="AR53" s="391"/>
      <c r="AS53" s="391"/>
      <c r="AT53" s="391"/>
      <c r="AU53" s="391"/>
      <c r="AV53" s="391"/>
      <c r="AW53" s="391"/>
      <c r="AX53" s="391"/>
      <c r="AY53" s="391"/>
      <c r="AZ53" s="391"/>
      <c r="BA53" s="391"/>
      <c r="BB53" s="558" t="s">
        <v>608</v>
      </c>
      <c r="BC53" s="559">
        <f>7.5%*0+5%</f>
        <v>0.05</v>
      </c>
      <c r="BD53" s="391"/>
      <c r="BE53" s="391"/>
      <c r="BF53" s="391"/>
      <c r="BG53" s="391"/>
      <c r="BI53" s="411"/>
      <c r="BJ53" s="411"/>
      <c r="BK53" s="411"/>
      <c r="BL53" s="411"/>
      <c r="BM53" s="411"/>
      <c r="BN53" s="411"/>
      <c r="BS53" s="391"/>
      <c r="BT53" s="391"/>
      <c r="BU53" s="391"/>
      <c r="CJ53" s="554"/>
      <c r="CK53" s="554"/>
      <c r="CL53" s="391"/>
    </row>
    <row r="54" spans="12:128" s="390" customFormat="1" x14ac:dyDescent="0.25">
      <c r="L54" s="391"/>
      <c r="M54" s="391"/>
      <c r="N54" s="391"/>
      <c r="O54" s="391"/>
      <c r="R54" s="391"/>
      <c r="S54" s="391"/>
      <c r="T54" s="391"/>
      <c r="U54" s="391"/>
      <c r="V54" s="391"/>
      <c r="W54" s="391"/>
      <c r="X54" s="391"/>
      <c r="Y54" s="391"/>
      <c r="Z54" s="391"/>
      <c r="AA54" s="391"/>
      <c r="AB54" s="391"/>
      <c r="AC54" s="391"/>
      <c r="AD54" s="391"/>
      <c r="AE54" s="391"/>
      <c r="AF54" s="391"/>
      <c r="AG54" s="391"/>
      <c r="AH54" s="391"/>
      <c r="AI54" s="391"/>
      <c r="AJ54" s="391"/>
      <c r="AK54" s="391"/>
      <c r="AL54" s="391"/>
      <c r="AM54" s="391"/>
      <c r="AN54" s="391"/>
      <c r="AO54" s="391"/>
      <c r="AP54" s="391"/>
      <c r="AQ54" s="391"/>
      <c r="AR54" s="391"/>
      <c r="AS54" s="391"/>
      <c r="AT54" s="391"/>
      <c r="AU54" s="391"/>
      <c r="AV54" s="391"/>
      <c r="AW54" s="391"/>
      <c r="AX54" s="391"/>
      <c r="AY54" s="391"/>
      <c r="AZ54" s="391"/>
      <c r="BA54" s="391"/>
      <c r="BB54" s="558" t="s">
        <v>609</v>
      </c>
      <c r="BC54" s="560">
        <v>0.18</v>
      </c>
      <c r="BD54" s="391"/>
      <c r="BE54" s="391"/>
      <c r="BF54" s="391"/>
      <c r="BG54" s="391"/>
      <c r="BI54" s="411"/>
      <c r="BJ54" s="411"/>
      <c r="BK54" s="411"/>
      <c r="BL54" s="411"/>
      <c r="BM54" s="411"/>
      <c r="BN54" s="411"/>
      <c r="BS54" s="391"/>
      <c r="BT54" s="391"/>
      <c r="BU54" s="391"/>
      <c r="CJ54" s="554"/>
      <c r="CK54" s="554"/>
      <c r="CL54" s="391"/>
    </row>
    <row r="55" spans="12:128" s="390" customFormat="1" ht="15.9" customHeight="1" x14ac:dyDescent="0.25">
      <c r="L55" s="391"/>
      <c r="M55" s="391"/>
      <c r="N55" s="391"/>
      <c r="O55" s="391"/>
      <c r="R55" s="391"/>
      <c r="S55" s="391"/>
      <c r="T55" s="391"/>
      <c r="U55" s="391"/>
      <c r="V55" s="391"/>
      <c r="W55" s="391"/>
      <c r="X55" s="391"/>
      <c r="Y55" s="391"/>
      <c r="Z55" s="391"/>
      <c r="AA55" s="391"/>
      <c r="AB55" s="391"/>
      <c r="AC55" s="391"/>
      <c r="AD55" s="391"/>
      <c r="AE55" s="391"/>
      <c r="AF55" s="391"/>
      <c r="AG55" s="391"/>
      <c r="AH55" s="391"/>
      <c r="AI55" s="391"/>
      <c r="AJ55" s="391"/>
      <c r="AK55" s="391"/>
      <c r="AL55" s="391"/>
      <c r="AM55" s="391"/>
      <c r="AN55" s="391"/>
      <c r="AO55" s="391"/>
      <c r="AP55" s="391"/>
      <c r="AQ55" s="391"/>
      <c r="AR55" s="391"/>
      <c r="AS55" s="391"/>
      <c r="AT55" s="391"/>
      <c r="AU55" s="391"/>
      <c r="AV55" s="391"/>
      <c r="AW55" s="391"/>
      <c r="AX55" s="391"/>
      <c r="AY55" s="391"/>
      <c r="AZ55" s="391"/>
      <c r="BA55" s="391"/>
      <c r="BB55" s="558" t="s">
        <v>610</v>
      </c>
      <c r="BC55" s="560">
        <v>0.18</v>
      </c>
      <c r="BD55" s="391"/>
      <c r="BE55" s="391"/>
      <c r="BF55" s="391"/>
      <c r="BG55" s="391"/>
      <c r="BI55" s="411"/>
      <c r="BJ55" s="411"/>
      <c r="BK55" s="411"/>
      <c r="BL55" s="411"/>
      <c r="BM55" s="411"/>
      <c r="BN55" s="411"/>
      <c r="BS55" s="391"/>
      <c r="BT55" s="391"/>
      <c r="BU55" s="391"/>
      <c r="DC55" s="554"/>
      <c r="DH55" s="391"/>
      <c r="DJ55" s="561">
        <v>6</v>
      </c>
      <c r="DK55" s="390" t="s">
        <v>611</v>
      </c>
      <c r="DN55" s="390">
        <v>14</v>
      </c>
      <c r="DP55" s="561">
        <v>11</v>
      </c>
      <c r="DS55" s="390" t="e">
        <f>#REF!</f>
        <v>#REF!</v>
      </c>
      <c r="DT55" s="390" t="e">
        <f t="shared" ref="DT55:DT61" si="1">DS55+DR55-DQ55</f>
        <v>#REF!</v>
      </c>
      <c r="DV55" s="562" t="s">
        <v>612</v>
      </c>
      <c r="DW55" s="544" t="s">
        <v>613</v>
      </c>
      <c r="DX55" s="551" t="e">
        <f>#REF!</f>
        <v>#REF!</v>
      </c>
    </row>
    <row r="56" spans="12:128" s="390" customFormat="1" ht="17.100000000000001" customHeight="1" x14ac:dyDescent="0.25">
      <c r="L56" s="391"/>
      <c r="M56" s="391"/>
      <c r="N56" s="391"/>
      <c r="O56" s="391"/>
      <c r="R56" s="391"/>
      <c r="S56" s="391"/>
      <c r="T56" s="391"/>
      <c r="U56" s="391"/>
      <c r="V56" s="391"/>
      <c r="W56" s="391"/>
      <c r="X56" s="391"/>
      <c r="Y56" s="391"/>
      <c r="Z56" s="391"/>
      <c r="AA56" s="391"/>
      <c r="AB56" s="391"/>
      <c r="AC56" s="391"/>
      <c r="AD56" s="391"/>
      <c r="AE56" s="391"/>
      <c r="AF56" s="391"/>
      <c r="AG56" s="391"/>
      <c r="AH56" s="391"/>
      <c r="AI56" s="391"/>
      <c r="AJ56" s="391"/>
      <c r="AK56" s="391"/>
      <c r="AL56" s="391"/>
      <c r="AM56" s="391"/>
      <c r="AN56" s="391"/>
      <c r="AO56" s="391"/>
      <c r="AP56" s="391"/>
      <c r="AQ56" s="391"/>
      <c r="AR56" s="391"/>
      <c r="AS56" s="391"/>
      <c r="AT56" s="391"/>
      <c r="AU56" s="391"/>
      <c r="AV56" s="391"/>
      <c r="AW56" s="391"/>
      <c r="AX56" s="391"/>
      <c r="AY56" s="391"/>
      <c r="AZ56" s="391"/>
      <c r="BA56" s="391"/>
      <c r="BB56" s="558" t="s">
        <v>614</v>
      </c>
      <c r="BC56" s="560">
        <v>0.18</v>
      </c>
      <c r="BD56" s="391"/>
      <c r="BE56" s="563"/>
      <c r="BF56" s="391"/>
      <c r="BG56" s="391"/>
      <c r="BI56" s="411"/>
      <c r="BJ56" s="411"/>
      <c r="BK56" s="411"/>
      <c r="BL56" s="411"/>
      <c r="BM56" s="411"/>
      <c r="BN56" s="411"/>
      <c r="BS56" s="391"/>
      <c r="BT56" s="391"/>
      <c r="BU56" s="391"/>
      <c r="DC56" s="554"/>
      <c r="DH56" s="391"/>
      <c r="DJ56" s="561" t="s">
        <v>13</v>
      </c>
      <c r="DK56" s="390" t="s">
        <v>615</v>
      </c>
      <c r="DM56" s="390" t="s">
        <v>616</v>
      </c>
      <c r="DP56" s="561">
        <v>12</v>
      </c>
      <c r="DS56" s="390" t="e">
        <f>#REF!</f>
        <v>#REF!</v>
      </c>
      <c r="DT56" s="390" t="e">
        <f t="shared" si="1"/>
        <v>#REF!</v>
      </c>
    </row>
    <row r="57" spans="12:128" s="390" customFormat="1" x14ac:dyDescent="0.25">
      <c r="L57" s="391"/>
      <c r="M57" s="391"/>
      <c r="N57" s="391"/>
      <c r="O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1"/>
      <c r="AT57" s="391"/>
      <c r="AU57" s="391"/>
      <c r="AV57" s="391"/>
      <c r="AW57" s="391"/>
      <c r="AX57" s="391"/>
      <c r="AY57" s="391"/>
      <c r="AZ57" s="391"/>
      <c r="BA57" s="391"/>
      <c r="BB57" s="558" t="s">
        <v>617</v>
      </c>
      <c r="BC57" s="560">
        <v>0.18</v>
      </c>
      <c r="BD57" s="391"/>
      <c r="BE57" s="391"/>
      <c r="BF57" s="391"/>
      <c r="BG57" s="391"/>
      <c r="BI57" s="411"/>
      <c r="BJ57" s="411"/>
      <c r="BK57" s="411"/>
      <c r="BL57" s="411"/>
      <c r="BM57" s="411"/>
      <c r="BN57" s="411"/>
      <c r="BS57" s="391"/>
      <c r="BT57" s="391"/>
      <c r="BU57" s="391"/>
      <c r="DC57" s="554"/>
      <c r="DD57" s="554"/>
      <c r="DE57" s="554"/>
      <c r="DF57" s="391"/>
      <c r="DG57" s="391"/>
      <c r="DH57" s="391"/>
      <c r="DJ57" s="561">
        <v>1</v>
      </c>
      <c r="DK57" s="390" t="s">
        <v>618</v>
      </c>
      <c r="DM57" s="390" t="s">
        <v>619</v>
      </c>
      <c r="DN57" s="561">
        <f>30*0.7*6*0.7*3*365</f>
        <v>96578.999999999985</v>
      </c>
      <c r="DP57" s="561">
        <v>13</v>
      </c>
      <c r="DS57" s="390" t="e">
        <f>#REF!</f>
        <v>#REF!</v>
      </c>
      <c r="DT57" s="390" t="e">
        <f t="shared" si="1"/>
        <v>#REF!</v>
      </c>
      <c r="DV57" s="562" t="s">
        <v>620</v>
      </c>
      <c r="DW57" s="562" t="s">
        <v>621</v>
      </c>
      <c r="DX57" s="562" t="e">
        <f>#REF!</f>
        <v>#REF!</v>
      </c>
    </row>
    <row r="58" spans="12:128" s="390" customFormat="1" x14ac:dyDescent="0.25">
      <c r="L58" s="391"/>
      <c r="M58" s="391"/>
      <c r="N58" s="391"/>
      <c r="O58" s="391"/>
      <c r="R58" s="391"/>
      <c r="S58" s="391"/>
      <c r="T58" s="391"/>
      <c r="U58" s="391"/>
      <c r="V58" s="391"/>
      <c r="W58" s="391"/>
      <c r="X58" s="391"/>
      <c r="Y58" s="391"/>
      <c r="Z58" s="391"/>
      <c r="AA58" s="391"/>
      <c r="AB58" s="391"/>
      <c r="AC58" s="391"/>
      <c r="AD58" s="391"/>
      <c r="AE58" s="391"/>
      <c r="AF58" s="391"/>
      <c r="AG58" s="391"/>
      <c r="AH58" s="391"/>
      <c r="AI58" s="391"/>
      <c r="AJ58" s="391"/>
      <c r="AK58" s="391"/>
      <c r="AL58" s="391"/>
      <c r="AM58" s="391"/>
      <c r="AN58" s="391"/>
      <c r="AO58" s="391"/>
      <c r="AP58" s="391"/>
      <c r="AQ58" s="391"/>
      <c r="AR58" s="391"/>
      <c r="AS58" s="391"/>
      <c r="AT58" s="391"/>
      <c r="AU58" s="391"/>
      <c r="AV58" s="391"/>
      <c r="AW58" s="391"/>
      <c r="AX58" s="391"/>
      <c r="AY58" s="391"/>
      <c r="AZ58" s="391"/>
      <c r="BA58" s="391"/>
      <c r="BB58" s="558" t="s">
        <v>622</v>
      </c>
      <c r="BC58" s="560">
        <v>0.18</v>
      </c>
      <c r="BD58" s="391"/>
      <c r="BE58" s="391"/>
      <c r="BF58" s="391"/>
      <c r="BG58" s="391"/>
      <c r="BH58" s="391"/>
      <c r="BI58" s="411"/>
      <c r="BJ58" s="411"/>
      <c r="BK58" s="411"/>
      <c r="BL58" s="411"/>
      <c r="BM58" s="411"/>
      <c r="BN58" s="411"/>
      <c r="BO58" s="391"/>
      <c r="BP58" s="391"/>
      <c r="BQ58" s="391"/>
      <c r="BR58" s="391"/>
      <c r="BS58" s="391"/>
      <c r="BT58" s="391"/>
      <c r="BU58" s="391"/>
      <c r="DC58" s="554"/>
      <c r="DD58" s="554"/>
      <c r="DE58" s="554"/>
      <c r="DF58" s="391"/>
      <c r="DG58" s="391"/>
      <c r="DH58" s="391"/>
      <c r="DJ58" s="561">
        <v>2</v>
      </c>
      <c r="DK58" s="390" t="s">
        <v>623</v>
      </c>
      <c r="DM58" s="390" t="s">
        <v>624</v>
      </c>
      <c r="DN58" s="390">
        <f>DN57*3.17/10^5</f>
        <v>3.0615542999999992</v>
      </c>
      <c r="DP58" s="561">
        <v>14</v>
      </c>
      <c r="DS58" s="390" t="e">
        <f>#REF!</f>
        <v>#REF!</v>
      </c>
      <c r="DT58" s="390" t="e">
        <f t="shared" si="1"/>
        <v>#REF!</v>
      </c>
    </row>
    <row r="59" spans="12:128" s="390" customFormat="1" x14ac:dyDescent="0.25">
      <c r="L59" s="391"/>
      <c r="M59" s="391"/>
      <c r="N59" s="391"/>
      <c r="O59" s="391"/>
      <c r="R59" s="391"/>
      <c r="S59" s="391"/>
      <c r="T59" s="391"/>
      <c r="U59" s="391"/>
      <c r="V59" s="391"/>
      <c r="W59" s="391"/>
      <c r="X59" s="391"/>
      <c r="Y59" s="391"/>
      <c r="Z59" s="391"/>
      <c r="AA59" s="391"/>
      <c r="AB59" s="391"/>
      <c r="AC59" s="391"/>
      <c r="AD59" s="391"/>
      <c r="AE59" s="391"/>
      <c r="AF59" s="391"/>
      <c r="AG59" s="391"/>
      <c r="AH59" s="391"/>
      <c r="AI59" s="391"/>
      <c r="AJ59" s="391"/>
      <c r="AK59" s="391"/>
      <c r="AL59" s="391"/>
      <c r="AM59" s="391"/>
      <c r="AN59" s="391"/>
      <c r="AO59" s="391"/>
      <c r="AP59" s="391"/>
      <c r="AQ59" s="391"/>
      <c r="AR59" s="391"/>
      <c r="AS59" s="391"/>
      <c r="AT59" s="391"/>
      <c r="AU59" s="391"/>
      <c r="AV59" s="391"/>
      <c r="AW59" s="391"/>
      <c r="AX59" s="391"/>
      <c r="AY59" s="391"/>
      <c r="AZ59" s="391"/>
      <c r="BA59" s="391"/>
      <c r="BB59" s="391" t="s">
        <v>625</v>
      </c>
      <c r="BC59" s="551">
        <f>0.1/(1-0.1)</f>
        <v>0.11111111111111112</v>
      </c>
      <c r="BD59" s="391"/>
      <c r="BE59" s="391"/>
      <c r="BF59" s="391"/>
      <c r="BG59" s="391"/>
      <c r="BH59" s="391"/>
      <c r="BI59" s="411"/>
      <c r="BJ59" s="411"/>
      <c r="BK59" s="411"/>
      <c r="BL59" s="411"/>
      <c r="BM59" s="411"/>
      <c r="BN59" s="411"/>
      <c r="BO59" s="391"/>
      <c r="BP59" s="391"/>
      <c r="BQ59" s="391"/>
      <c r="BR59" s="391"/>
      <c r="BS59" s="391"/>
      <c r="BT59" s="391"/>
      <c r="BU59" s="391"/>
      <c r="DC59" s="554"/>
      <c r="DD59" s="554"/>
      <c r="DE59" s="554"/>
      <c r="DF59" s="554"/>
      <c r="DG59" s="554"/>
      <c r="DH59" s="554"/>
      <c r="DJ59" s="561">
        <v>3</v>
      </c>
      <c r="DK59" s="390" t="s">
        <v>626</v>
      </c>
      <c r="DM59" s="390" t="s">
        <v>624</v>
      </c>
      <c r="DN59" s="390" t="e">
        <f>0.02*#REF!</f>
        <v>#REF!</v>
      </c>
      <c r="DP59" s="561">
        <v>15</v>
      </c>
      <c r="DS59" s="390" t="e">
        <f>#REF!</f>
        <v>#REF!</v>
      </c>
      <c r="DT59" s="390" t="e">
        <f t="shared" si="1"/>
        <v>#REF!</v>
      </c>
      <c r="DV59" s="562"/>
      <c r="DW59" s="562"/>
      <c r="DX59" s="562"/>
    </row>
    <row r="60" spans="12:128" s="390" customFormat="1" x14ac:dyDescent="0.25">
      <c r="L60" s="391"/>
      <c r="M60" s="391"/>
      <c r="N60" s="391"/>
      <c r="O60" s="391"/>
      <c r="R60" s="391"/>
      <c r="S60" s="391"/>
      <c r="T60" s="391"/>
      <c r="U60" s="391"/>
      <c r="V60" s="391"/>
      <c r="W60" s="391"/>
      <c r="X60" s="391"/>
      <c r="Y60" s="391"/>
      <c r="Z60" s="391"/>
      <c r="AA60" s="391"/>
      <c r="AB60" s="391"/>
      <c r="AC60" s="391"/>
      <c r="AD60" s="391"/>
      <c r="AE60" s="391"/>
      <c r="AF60" s="391"/>
      <c r="AG60" s="391"/>
      <c r="AH60" s="391"/>
      <c r="AI60" s="391"/>
      <c r="AJ60" s="391"/>
      <c r="AK60" s="391"/>
      <c r="AL60" s="391"/>
      <c r="AM60" s="391"/>
      <c r="AN60" s="391"/>
      <c r="AO60" s="391"/>
      <c r="AP60" s="391"/>
      <c r="AQ60" s="391"/>
      <c r="AR60" s="391"/>
      <c r="AS60" s="391"/>
      <c r="AT60" s="391"/>
      <c r="AU60" s="391"/>
      <c r="AV60" s="391"/>
      <c r="AW60" s="391"/>
      <c r="AX60" s="391"/>
      <c r="AY60" s="391"/>
      <c r="AZ60" s="391"/>
      <c r="BA60" s="391"/>
      <c r="BB60" s="391"/>
      <c r="BC60" s="539"/>
      <c r="BD60" s="391"/>
      <c r="BE60" s="391"/>
      <c r="BF60" s="391"/>
      <c r="BG60" s="391"/>
      <c r="BH60" s="391"/>
      <c r="BI60" s="411"/>
      <c r="BJ60" s="411"/>
      <c r="BK60" s="411"/>
      <c r="BL60" s="411"/>
      <c r="BM60" s="411"/>
      <c r="BN60" s="411"/>
      <c r="BO60" s="391"/>
      <c r="BP60" s="391"/>
      <c r="BQ60" s="391"/>
      <c r="BR60" s="391"/>
      <c r="BS60" s="391"/>
      <c r="BT60" s="391"/>
      <c r="BU60" s="391"/>
      <c r="DC60" s="554"/>
      <c r="DD60" s="554"/>
      <c r="DE60" s="554"/>
      <c r="DF60" s="554"/>
      <c r="DG60" s="554"/>
      <c r="DH60" s="554"/>
      <c r="DJ60" s="561"/>
      <c r="DK60" s="390" t="s">
        <v>627</v>
      </c>
      <c r="DM60" s="390" t="s">
        <v>624</v>
      </c>
      <c r="DN60" s="390" t="e">
        <f>SUM(DN58:DN59)</f>
        <v>#REF!</v>
      </c>
      <c r="DP60" s="561">
        <v>16</v>
      </c>
      <c r="DS60" s="390" t="e">
        <f>#REF!</f>
        <v>#REF!</v>
      </c>
      <c r="DT60" s="390" t="e">
        <f t="shared" si="1"/>
        <v>#REF!</v>
      </c>
    </row>
    <row r="61" spans="12:128" s="390" customFormat="1" x14ac:dyDescent="0.25">
      <c r="L61" s="391"/>
      <c r="M61" s="391"/>
      <c r="N61" s="391"/>
      <c r="O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1"/>
      <c r="AT61" s="391"/>
      <c r="AU61" s="391"/>
      <c r="AV61" s="391"/>
      <c r="AW61" s="391"/>
      <c r="AX61" s="391"/>
      <c r="AY61" s="391"/>
      <c r="AZ61" s="391"/>
      <c r="BA61" s="391"/>
      <c r="BB61" s="391" t="s">
        <v>628</v>
      </c>
      <c r="BC61" s="539">
        <v>0.1</v>
      </c>
      <c r="BE61" s="391"/>
      <c r="BF61" s="391"/>
      <c r="BG61" s="391"/>
      <c r="BH61" s="391"/>
      <c r="BI61" s="411"/>
      <c r="BJ61" s="411"/>
      <c r="BK61" s="411"/>
      <c r="BL61" s="411"/>
      <c r="BM61" s="411"/>
      <c r="BN61" s="411"/>
      <c r="BO61" s="391"/>
      <c r="BP61" s="391"/>
      <c r="BQ61" s="391"/>
      <c r="BR61" s="391"/>
      <c r="BS61" s="391"/>
      <c r="BT61" s="391"/>
      <c r="BU61" s="391"/>
      <c r="DC61" s="554"/>
      <c r="DD61" s="554"/>
      <c r="DE61" s="554"/>
      <c r="DF61" s="554"/>
      <c r="DG61" s="554"/>
      <c r="DH61" s="554"/>
      <c r="DP61" s="561">
        <v>17</v>
      </c>
      <c r="DS61" s="390" t="e">
        <f>#REF!</f>
        <v>#REF!</v>
      </c>
      <c r="DT61" s="390" t="e">
        <f t="shared" si="1"/>
        <v>#REF!</v>
      </c>
    </row>
    <row r="62" spans="12:128" s="390" customFormat="1" x14ac:dyDescent="0.25">
      <c r="L62" s="391"/>
      <c r="M62" s="391"/>
      <c r="N62" s="391"/>
      <c r="O62" s="391"/>
      <c r="R62" s="391"/>
      <c r="S62" s="391"/>
      <c r="T62" s="391"/>
      <c r="U62" s="391"/>
      <c r="V62" s="391"/>
      <c r="W62" s="391"/>
      <c r="X62" s="391"/>
      <c r="Y62" s="391"/>
      <c r="Z62" s="391"/>
      <c r="AA62" s="391"/>
      <c r="AB62" s="391"/>
      <c r="AC62" s="391"/>
      <c r="AD62" s="391"/>
      <c r="AE62" s="391"/>
      <c r="AF62" s="391"/>
      <c r="AG62" s="391"/>
      <c r="AH62" s="391"/>
      <c r="AI62" s="391"/>
      <c r="AJ62" s="391"/>
      <c r="AK62" s="391"/>
      <c r="AL62" s="391"/>
      <c r="AM62" s="391"/>
      <c r="AN62" s="391"/>
      <c r="AO62" s="391"/>
      <c r="AP62" s="391"/>
      <c r="AQ62" s="391"/>
      <c r="AR62" s="391"/>
      <c r="AS62" s="391"/>
      <c r="AT62" s="391"/>
      <c r="AU62" s="391"/>
      <c r="AV62" s="391"/>
      <c r="AW62" s="391"/>
      <c r="AX62" s="391"/>
      <c r="AY62" s="391"/>
      <c r="AZ62" s="391"/>
      <c r="BA62" s="391"/>
      <c r="BB62" s="391" t="s">
        <v>629</v>
      </c>
      <c r="BC62" s="539">
        <v>0.04</v>
      </c>
      <c r="BD62" s="391"/>
      <c r="BE62" s="391"/>
      <c r="BF62" s="391"/>
      <c r="BG62" s="391"/>
      <c r="BH62" s="391"/>
      <c r="BI62" s="391"/>
      <c r="BJ62" s="391"/>
      <c r="BK62" s="391"/>
      <c r="BL62" s="391"/>
      <c r="BM62" s="391"/>
      <c r="BN62" s="391"/>
      <c r="BO62" s="391"/>
      <c r="BP62" s="391"/>
      <c r="BQ62" s="391"/>
      <c r="BR62" s="391"/>
      <c r="BS62" s="391"/>
      <c r="BT62" s="391"/>
      <c r="BU62" s="391"/>
      <c r="CY62" s="564"/>
      <c r="DB62" s="554"/>
      <c r="DC62" s="554"/>
      <c r="DD62" s="554"/>
      <c r="DE62" s="554"/>
      <c r="DF62" s="554"/>
      <c r="DG62" s="554"/>
      <c r="DH62" s="554"/>
    </row>
    <row r="63" spans="12:128" s="390" customFormat="1" x14ac:dyDescent="0.25">
      <c r="L63" s="391"/>
      <c r="M63" s="391"/>
      <c r="N63" s="391"/>
      <c r="O63" s="391"/>
      <c r="R63" s="391"/>
      <c r="S63" s="391"/>
      <c r="T63" s="391"/>
      <c r="U63" s="391"/>
      <c r="V63" s="391"/>
      <c r="W63" s="391"/>
      <c r="X63" s="391"/>
      <c r="Y63" s="391"/>
      <c r="Z63" s="391"/>
      <c r="AA63" s="391"/>
      <c r="AB63" s="391"/>
      <c r="AC63" s="391"/>
      <c r="AD63" s="391"/>
      <c r="AE63" s="391"/>
      <c r="AF63" s="391"/>
      <c r="AG63" s="391"/>
      <c r="AH63" s="391"/>
      <c r="AI63" s="391"/>
      <c r="AJ63" s="391"/>
      <c r="AK63" s="391"/>
      <c r="AL63" s="391"/>
      <c r="AM63" s="391"/>
      <c r="AN63" s="391"/>
      <c r="AO63" s="391"/>
      <c r="AP63" s="391"/>
      <c r="AQ63" s="391"/>
      <c r="AR63" s="391"/>
      <c r="AS63" s="391"/>
      <c r="AT63" s="391"/>
      <c r="AU63" s="391"/>
      <c r="AV63" s="391"/>
      <c r="AW63" s="391"/>
      <c r="AX63" s="391"/>
      <c r="AY63" s="391"/>
      <c r="AZ63" s="391"/>
      <c r="BA63" s="391"/>
      <c r="BB63" s="391" t="s">
        <v>630</v>
      </c>
      <c r="BC63" s="543">
        <v>0.05</v>
      </c>
      <c r="BD63" s="391"/>
      <c r="BE63" s="391"/>
      <c r="BF63" s="391"/>
      <c r="BG63" s="391"/>
      <c r="BH63" s="391"/>
      <c r="BI63" s="391"/>
      <c r="BJ63" s="391"/>
      <c r="BK63" s="391"/>
      <c r="BL63" s="391"/>
      <c r="BM63" s="391"/>
      <c r="BN63" s="391"/>
      <c r="BO63" s="391"/>
      <c r="BP63" s="391"/>
      <c r="BQ63" s="391"/>
      <c r="BR63" s="391"/>
      <c r="BS63" s="391"/>
      <c r="BT63" s="391"/>
      <c r="BU63" s="391"/>
      <c r="CY63" s="564"/>
    </row>
    <row r="64" spans="12:128" s="390" customFormat="1" ht="15.6" x14ac:dyDescent="0.25">
      <c r="L64" s="391"/>
      <c r="M64" s="391"/>
      <c r="N64" s="391"/>
      <c r="O64" s="391"/>
      <c r="R64" s="391"/>
      <c r="S64" s="391"/>
      <c r="T64" s="391"/>
      <c r="U64" s="391"/>
      <c r="V64" s="391"/>
      <c r="W64" s="392" t="s">
        <v>631</v>
      </c>
      <c r="X64" s="391"/>
      <c r="Y64" s="391"/>
      <c r="Z64" s="391"/>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D64" s="391"/>
      <c r="BE64" s="391"/>
      <c r="BF64" s="391"/>
      <c r="BG64" s="391"/>
      <c r="BH64" s="391"/>
      <c r="BI64" s="391"/>
      <c r="BJ64" s="391"/>
      <c r="BK64" s="391"/>
      <c r="BL64" s="391"/>
      <c r="BM64" s="391"/>
      <c r="BN64" s="391"/>
      <c r="BO64" s="391"/>
      <c r="BP64" s="391"/>
      <c r="BQ64" s="391"/>
      <c r="BR64" s="391"/>
      <c r="BS64" s="391"/>
      <c r="BT64" s="391"/>
      <c r="BU64" s="391"/>
      <c r="CJ64" s="391"/>
      <c r="CK64" s="391"/>
      <c r="CY64" s="564"/>
    </row>
    <row r="65" spans="1:103" s="390" customFormat="1" ht="17.399999999999999" x14ac:dyDescent="0.25">
      <c r="A65" s="1161" t="s">
        <v>452</v>
      </c>
      <c r="B65" s="1161"/>
      <c r="C65" s="1161"/>
      <c r="D65" s="1161"/>
      <c r="E65" s="1161"/>
      <c r="F65" s="1161"/>
      <c r="G65" s="1161"/>
      <c r="H65" s="1161"/>
      <c r="I65" s="1161"/>
      <c r="J65" s="1161"/>
      <c r="K65" s="1161"/>
      <c r="L65" s="1161"/>
      <c r="M65" s="1161"/>
      <c r="N65" s="1161"/>
      <c r="O65" s="1161"/>
      <c r="P65" s="1161"/>
      <c r="Q65" s="1161"/>
      <c r="R65" s="1161"/>
      <c r="S65" s="1161"/>
      <c r="T65" s="1161"/>
      <c r="U65" s="1161"/>
      <c r="V65" s="1161"/>
      <c r="W65" s="392" t="str">
        <f>$O$4</f>
        <v>Base date: 1st Qtr 2022</v>
      </c>
      <c r="Y65" s="565"/>
      <c r="AA65" s="391"/>
      <c r="AB65" s="391"/>
      <c r="AC65" s="391"/>
      <c r="AD65" s="391"/>
      <c r="AE65" s="391"/>
      <c r="AF65" s="391"/>
      <c r="AG65" s="391"/>
      <c r="AH65" s="391"/>
      <c r="AI65" s="391"/>
      <c r="AJ65" s="391"/>
      <c r="AK65" s="391"/>
      <c r="AL65" s="391"/>
      <c r="AM65" s="391"/>
      <c r="AN65" s="391"/>
      <c r="AO65" s="391"/>
      <c r="AP65" s="391"/>
      <c r="AQ65" s="391"/>
      <c r="AR65" s="391"/>
      <c r="AS65" s="391"/>
      <c r="AT65" s="391"/>
      <c r="AU65" s="391"/>
      <c r="AV65" s="391"/>
      <c r="AW65" s="391"/>
      <c r="AX65" s="391"/>
      <c r="AY65" s="391"/>
      <c r="AZ65" s="391"/>
      <c r="BA65" s="391"/>
      <c r="BD65" s="391"/>
      <c r="BE65" s="391"/>
      <c r="BF65" s="391"/>
      <c r="BG65" s="391"/>
      <c r="BH65" s="391"/>
      <c r="BI65" s="391"/>
      <c r="BJ65" s="391"/>
      <c r="BK65" s="391"/>
      <c r="BL65" s="391"/>
      <c r="BM65" s="391"/>
      <c r="BN65" s="391"/>
      <c r="BO65" s="391"/>
      <c r="BP65" s="391"/>
      <c r="BQ65" s="391"/>
      <c r="BR65" s="391"/>
      <c r="BS65" s="391"/>
      <c r="BT65" s="391"/>
      <c r="BU65" s="391"/>
      <c r="CJ65" s="391"/>
      <c r="CK65" s="391"/>
      <c r="CY65" s="564"/>
    </row>
    <row r="66" spans="1:103" s="390" customFormat="1" ht="17.399999999999999" x14ac:dyDescent="0.25">
      <c r="A66" s="1161" t="str">
        <f>E2</f>
        <v>BOKARO STEEL PLANT</v>
      </c>
      <c r="B66" s="1161"/>
      <c r="C66" s="1161"/>
      <c r="D66" s="1161"/>
      <c r="E66" s="1161"/>
      <c r="F66" s="1161"/>
      <c r="G66" s="1161"/>
      <c r="H66" s="1161"/>
      <c r="I66" s="1161"/>
      <c r="J66" s="1161"/>
      <c r="K66" s="1161"/>
      <c r="L66" s="1161"/>
      <c r="M66" s="1161"/>
      <c r="N66" s="1161"/>
      <c r="O66" s="1161"/>
      <c r="P66" s="1161"/>
      <c r="Q66" s="1161"/>
      <c r="R66" s="1161"/>
      <c r="S66" s="1161"/>
      <c r="T66" s="1161"/>
      <c r="U66" s="1161"/>
      <c r="V66" s="1161"/>
      <c r="W66" s="392" t="str">
        <f>$O$6</f>
        <v>Figures in Rs. Crore</v>
      </c>
      <c r="Y66" s="565"/>
      <c r="AA66" s="391"/>
      <c r="AB66" s="391"/>
      <c r="AC66" s="391"/>
      <c r="AD66" s="391"/>
      <c r="AE66" s="391"/>
      <c r="AF66" s="391"/>
      <c r="AG66" s="391"/>
      <c r="AH66" s="391"/>
      <c r="AI66" s="391"/>
      <c r="AJ66" s="391"/>
      <c r="AK66" s="391"/>
      <c r="AL66" s="391"/>
      <c r="AM66" s="391"/>
      <c r="AN66" s="391"/>
      <c r="AO66" s="391"/>
      <c r="AP66" s="391"/>
      <c r="AQ66" s="391"/>
      <c r="AR66" s="391"/>
      <c r="AS66" s="391"/>
      <c r="AT66" s="391"/>
      <c r="AU66" s="391"/>
      <c r="AV66" s="391"/>
      <c r="AW66" s="391"/>
      <c r="AX66" s="391"/>
      <c r="AY66" s="391"/>
      <c r="AZ66" s="391"/>
      <c r="BA66" s="391"/>
      <c r="BB66" s="391"/>
      <c r="BC66" s="539"/>
      <c r="BD66" s="391"/>
      <c r="BE66" s="391"/>
      <c r="BF66" s="391"/>
      <c r="BG66" s="391"/>
      <c r="BH66" s="391"/>
      <c r="BI66" s="391"/>
      <c r="BJ66" s="391"/>
      <c r="BK66" s="391"/>
      <c r="BL66" s="391"/>
      <c r="BM66" s="391"/>
      <c r="BN66" s="391"/>
      <c r="BO66" s="391"/>
      <c r="BP66" s="391"/>
      <c r="BQ66" s="391"/>
      <c r="BR66" s="391"/>
      <c r="BS66" s="391"/>
      <c r="BT66" s="391"/>
      <c r="BU66" s="391"/>
      <c r="CJ66" s="391"/>
      <c r="CK66" s="391"/>
      <c r="CY66" s="564"/>
    </row>
    <row r="67" spans="1:103" s="390" customFormat="1" ht="17.399999999999999" x14ac:dyDescent="0.25">
      <c r="A67" s="1161" t="str">
        <f>$E$3</f>
        <v>Replacement of Balance 4 nos. battery cyclones by ESPs for SP I, BSL</v>
      </c>
      <c r="B67" s="1161"/>
      <c r="C67" s="1161"/>
      <c r="D67" s="1161"/>
      <c r="E67" s="1161"/>
      <c r="F67" s="1161"/>
      <c r="G67" s="1161"/>
      <c r="H67" s="1161"/>
      <c r="I67" s="1161"/>
      <c r="J67" s="1161"/>
      <c r="K67" s="1161"/>
      <c r="L67" s="1161"/>
      <c r="M67" s="1161"/>
      <c r="N67" s="1161"/>
      <c r="O67" s="1161"/>
      <c r="P67" s="1161"/>
      <c r="Q67" s="1161"/>
      <c r="R67" s="1161"/>
      <c r="S67" s="1161"/>
      <c r="T67" s="1161"/>
      <c r="U67" s="1161"/>
      <c r="V67" s="1161"/>
      <c r="W67" s="565"/>
      <c r="X67" s="566"/>
      <c r="Y67" s="565"/>
      <c r="AA67" s="391"/>
      <c r="AB67" s="391"/>
      <c r="AC67" s="391"/>
      <c r="AD67" s="391"/>
      <c r="AE67" s="391"/>
      <c r="AF67" s="391"/>
      <c r="AG67" s="391"/>
      <c r="AH67" s="391"/>
      <c r="AI67" s="391"/>
      <c r="AJ67" s="391"/>
      <c r="AK67" s="391"/>
      <c r="AL67" s="391"/>
      <c r="AM67" s="391"/>
      <c r="AN67" s="391"/>
      <c r="AO67" s="391"/>
      <c r="AP67" s="391"/>
      <c r="AQ67" s="391"/>
      <c r="AR67" s="391"/>
      <c r="AS67" s="391"/>
      <c r="AT67" s="391"/>
      <c r="AU67" s="391"/>
      <c r="AV67" s="391"/>
      <c r="AW67" s="391"/>
      <c r="AX67" s="391"/>
      <c r="AY67" s="391"/>
      <c r="AZ67" s="391"/>
      <c r="BA67" s="391"/>
      <c r="BB67" s="391"/>
      <c r="BC67" s="539"/>
      <c r="BD67" s="391"/>
      <c r="BE67" s="391"/>
      <c r="BF67" s="391"/>
      <c r="BG67" s="391"/>
      <c r="BH67" s="391"/>
      <c r="BI67" s="391"/>
      <c r="BJ67" s="391"/>
      <c r="BK67" s="391"/>
      <c r="BL67" s="391"/>
      <c r="BM67" s="391"/>
      <c r="BN67" s="391"/>
      <c r="BO67" s="391"/>
      <c r="BP67" s="391"/>
      <c r="BQ67" s="391"/>
      <c r="BR67" s="391"/>
      <c r="BS67" s="391"/>
      <c r="BT67" s="391"/>
      <c r="BU67" s="391"/>
      <c r="CJ67" s="391"/>
      <c r="CK67" s="391"/>
      <c r="CY67" s="564"/>
    </row>
    <row r="68" spans="1:103" s="390" customFormat="1" x14ac:dyDescent="0.25">
      <c r="F68" s="391" t="s">
        <v>347</v>
      </c>
      <c r="G68" s="391"/>
      <c r="H68" s="391"/>
      <c r="I68" s="391"/>
      <c r="J68" s="391"/>
      <c r="K68" s="391"/>
      <c r="L68" s="391"/>
      <c r="M68" s="391"/>
      <c r="N68" s="391"/>
      <c r="O68" s="391"/>
      <c r="P68" s="391"/>
      <c r="Q68" s="391"/>
      <c r="R68" s="391"/>
      <c r="S68" s="391"/>
      <c r="T68" s="391"/>
      <c r="U68" s="391"/>
      <c r="V68" s="391"/>
      <c r="X68" s="391"/>
      <c r="Y68" s="391"/>
      <c r="AA68" s="391"/>
      <c r="AB68" s="391"/>
      <c r="AC68" s="391"/>
      <c r="AD68" s="391"/>
      <c r="AE68" s="391"/>
      <c r="AF68" s="391"/>
      <c r="AG68" s="391"/>
      <c r="AH68" s="391"/>
      <c r="AI68" s="391"/>
      <c r="AJ68" s="391"/>
      <c r="AK68" s="391"/>
      <c r="AL68" s="391"/>
      <c r="AM68" s="391"/>
      <c r="AN68" s="391"/>
      <c r="AO68" s="391"/>
      <c r="AP68" s="391"/>
      <c r="AQ68" s="391"/>
      <c r="AR68" s="391"/>
      <c r="AS68" s="391"/>
      <c r="AT68" s="391"/>
      <c r="AU68" s="391"/>
      <c r="AV68" s="391"/>
      <c r="AW68" s="391"/>
      <c r="AX68" s="391"/>
      <c r="AY68" s="391"/>
      <c r="AZ68" s="391"/>
      <c r="BA68" s="391"/>
      <c r="BB68" s="391"/>
      <c r="BC68" s="539"/>
      <c r="BD68" s="391"/>
      <c r="BE68" s="391"/>
      <c r="BF68" s="391"/>
      <c r="BG68" s="391"/>
      <c r="BH68" s="391"/>
      <c r="BI68" s="391"/>
      <c r="BJ68" s="391"/>
      <c r="BK68" s="391"/>
      <c r="BL68" s="391"/>
      <c r="BM68" s="391"/>
      <c r="BN68" s="391"/>
      <c r="BO68" s="391"/>
      <c r="BP68" s="391"/>
      <c r="BQ68" s="391"/>
      <c r="BR68" s="391"/>
      <c r="BS68" s="391"/>
      <c r="BT68" s="391"/>
      <c r="BU68" s="391"/>
      <c r="CJ68" s="391"/>
      <c r="CK68" s="391"/>
      <c r="CY68" s="564"/>
    </row>
    <row r="69" spans="1:103" s="390" customFormat="1" ht="15" customHeight="1" x14ac:dyDescent="0.25">
      <c r="A69" s="1163" t="s">
        <v>632</v>
      </c>
      <c r="B69" s="1163"/>
      <c r="C69" s="1163"/>
      <c r="D69" s="1163"/>
      <c r="E69" s="1163"/>
      <c r="F69" s="1163"/>
      <c r="G69" s="1163"/>
      <c r="H69" s="1163"/>
      <c r="I69" s="1163"/>
      <c r="J69" s="1163"/>
      <c r="K69" s="1163"/>
      <c r="L69" s="1163"/>
      <c r="M69" s="1163"/>
      <c r="N69" s="1163"/>
      <c r="O69" s="1163"/>
      <c r="P69" s="1163"/>
      <c r="Q69" s="1163"/>
      <c r="R69" s="1163"/>
      <c r="S69" s="1163"/>
      <c r="T69" s="1163"/>
      <c r="U69" s="1163"/>
      <c r="V69" s="1163"/>
      <c r="Y69" s="391"/>
      <c r="AA69" s="391"/>
      <c r="AB69" s="391"/>
      <c r="AC69" s="391"/>
      <c r="AD69" s="391"/>
      <c r="AE69" s="391"/>
      <c r="AF69" s="391"/>
      <c r="AG69" s="391"/>
      <c r="AH69" s="391"/>
      <c r="AI69" s="391"/>
      <c r="AJ69" s="391"/>
      <c r="AK69" s="391"/>
      <c r="AL69" s="391"/>
      <c r="AM69" s="391"/>
      <c r="AN69" s="391"/>
      <c r="AO69" s="391"/>
      <c r="AP69" s="391"/>
      <c r="AQ69" s="391"/>
      <c r="AR69" s="391"/>
      <c r="AS69" s="391"/>
      <c r="AT69" s="391"/>
      <c r="AU69" s="391"/>
      <c r="AV69" s="391"/>
      <c r="AW69" s="391"/>
      <c r="AX69" s="391"/>
      <c r="AY69" s="391"/>
      <c r="AZ69" s="391"/>
      <c r="BA69" s="391"/>
      <c r="BB69" s="391"/>
      <c r="BC69" s="539"/>
      <c r="BD69" s="391"/>
      <c r="BE69" s="391"/>
      <c r="BF69" s="391"/>
      <c r="BG69" s="391"/>
      <c r="BH69" s="391"/>
      <c r="BI69" s="391"/>
      <c r="BJ69" s="391"/>
      <c r="BK69" s="391"/>
      <c r="BL69" s="391"/>
      <c r="BM69" s="391"/>
      <c r="BN69" s="391"/>
      <c r="BO69" s="391"/>
      <c r="BP69" s="391"/>
      <c r="BQ69" s="391"/>
      <c r="BR69" s="391"/>
      <c r="BS69" s="391"/>
      <c r="BT69" s="391"/>
      <c r="BU69" s="391"/>
      <c r="CJ69" s="391"/>
      <c r="CK69" s="391"/>
      <c r="CY69" s="564"/>
    </row>
    <row r="70" spans="1:103" s="390" customFormat="1" x14ac:dyDescent="0.25">
      <c r="F70" s="391"/>
      <c r="G70" s="391"/>
      <c r="H70" s="391"/>
      <c r="I70" s="391"/>
      <c r="J70" s="391"/>
      <c r="K70" s="391"/>
      <c r="L70" s="391"/>
      <c r="M70" s="391"/>
      <c r="N70" s="391"/>
      <c r="O70" s="391"/>
      <c r="P70" s="391"/>
      <c r="Q70" s="391"/>
      <c r="R70" s="391"/>
      <c r="S70" s="391"/>
      <c r="T70" s="391"/>
      <c r="U70" s="391"/>
      <c r="V70" s="391"/>
      <c r="X70" s="391" t="s">
        <v>347</v>
      </c>
      <c r="Y70" s="391"/>
      <c r="AA70" s="391"/>
      <c r="AB70" s="391"/>
      <c r="AC70" s="391"/>
      <c r="AD70" s="391"/>
      <c r="AE70" s="391"/>
      <c r="AF70" s="391"/>
      <c r="AG70" s="391"/>
      <c r="AH70" s="391"/>
      <c r="AI70" s="391"/>
      <c r="AJ70" s="391"/>
      <c r="AK70" s="391"/>
      <c r="AL70" s="391"/>
      <c r="AM70" s="391"/>
      <c r="AN70" s="391"/>
      <c r="AO70" s="391"/>
      <c r="AP70" s="391"/>
      <c r="AQ70" s="391"/>
      <c r="AR70" s="391"/>
      <c r="AS70" s="391"/>
      <c r="AT70" s="391"/>
      <c r="AU70" s="391"/>
      <c r="AV70" s="391"/>
      <c r="AW70" s="391"/>
      <c r="AX70" s="391"/>
      <c r="AY70" s="391"/>
      <c r="AZ70" s="391"/>
      <c r="BA70" s="391"/>
      <c r="BB70" s="391"/>
      <c r="BC70" s="391"/>
      <c r="BD70" s="391"/>
      <c r="BE70" s="391"/>
      <c r="BF70" s="391"/>
      <c r="BG70" s="391"/>
      <c r="BH70" s="391"/>
      <c r="BI70" s="391"/>
      <c r="BJ70" s="391"/>
      <c r="BK70" s="391"/>
      <c r="BL70" s="391"/>
      <c r="BM70" s="391"/>
      <c r="BN70" s="391"/>
      <c r="BO70" s="391"/>
      <c r="BP70" s="391"/>
      <c r="BQ70" s="391"/>
      <c r="BR70" s="391"/>
      <c r="BS70" s="391"/>
      <c r="BT70" s="391"/>
      <c r="BU70" s="391"/>
      <c r="CJ70" s="391"/>
      <c r="CK70" s="391"/>
      <c r="CY70" s="564"/>
    </row>
    <row r="71" spans="1:103" s="398" customFormat="1" ht="24" customHeight="1" x14ac:dyDescent="0.25">
      <c r="B71" s="2"/>
      <c r="C71" s="567"/>
      <c r="D71" s="568"/>
      <c r="I71" s="569"/>
      <c r="J71" s="569"/>
      <c r="K71" s="569"/>
      <c r="L71" s="569"/>
      <c r="M71" s="569">
        <f>G8</f>
        <v>0</v>
      </c>
      <c r="N71" s="569">
        <f>H8</f>
        <v>0</v>
      </c>
      <c r="O71" s="1164" t="str">
        <f>J8</f>
        <v>GST (Supply &amp; services)</v>
      </c>
      <c r="P71" s="1164"/>
      <c r="Q71" s="569"/>
      <c r="R71" s="569" t="str">
        <f>L8</f>
        <v>Contingn</v>
      </c>
      <c r="S71" s="569" t="str">
        <f>I8</f>
        <v>E&amp;C</v>
      </c>
      <c r="T71" s="2"/>
      <c r="U71" s="2"/>
      <c r="X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CJ71" s="2"/>
      <c r="CK71" s="2"/>
      <c r="CY71" s="570"/>
    </row>
    <row r="72" spans="1:103" s="390" customFormat="1" ht="18.75" customHeight="1" x14ac:dyDescent="0.25">
      <c r="B72" s="392"/>
      <c r="C72" s="571"/>
      <c r="D72" s="568"/>
      <c r="E72" s="572"/>
      <c r="F72" s="573"/>
      <c r="G72" s="547"/>
      <c r="I72" s="574"/>
      <c r="J72" s="574"/>
      <c r="K72" s="575"/>
      <c r="L72" s="576"/>
      <c r="M72" s="576">
        <f>G9</f>
        <v>0</v>
      </c>
      <c r="N72" s="575">
        <f>H9</f>
        <v>0</v>
      </c>
      <c r="O72" s="1165">
        <f>J9</f>
        <v>0.18</v>
      </c>
      <c r="P72" s="1165"/>
      <c r="Q72" s="575"/>
      <c r="R72" s="575">
        <f>L9</f>
        <v>0.05</v>
      </c>
      <c r="S72" s="576">
        <f>I9</f>
        <v>7.5000000000000011E-2</v>
      </c>
      <c r="T72" s="391"/>
      <c r="U72" s="391"/>
      <c r="X72" s="391"/>
      <c r="AA72" s="391"/>
      <c r="AB72" s="391"/>
      <c r="AC72" s="391"/>
      <c r="AD72" s="391"/>
      <c r="AE72" s="391"/>
      <c r="AF72" s="391"/>
      <c r="AG72" s="391"/>
      <c r="AH72" s="391"/>
      <c r="AI72" s="391"/>
      <c r="AJ72" s="391"/>
      <c r="AK72" s="391"/>
      <c r="AL72" s="391"/>
      <c r="AM72" s="391"/>
      <c r="AN72" s="391"/>
      <c r="AO72" s="391"/>
      <c r="AP72" s="391"/>
      <c r="AQ72" s="391"/>
      <c r="AR72" s="391"/>
      <c r="AS72" s="391"/>
      <c r="AT72" s="391"/>
      <c r="AU72" s="391"/>
      <c r="AV72" s="391"/>
      <c r="AW72" s="391"/>
      <c r="AX72" s="391"/>
      <c r="AY72" s="391"/>
      <c r="AZ72" s="391"/>
      <c r="BA72" s="391"/>
      <c r="BB72" s="391"/>
      <c r="BC72" s="391"/>
      <c r="BD72" s="391"/>
      <c r="BE72" s="391"/>
      <c r="BF72" s="391"/>
      <c r="BG72" s="391"/>
      <c r="BH72" s="391"/>
      <c r="BI72" s="391"/>
      <c r="BJ72" s="391"/>
      <c r="BK72" s="391"/>
      <c r="BL72" s="391"/>
      <c r="BM72" s="391"/>
      <c r="BN72" s="391"/>
      <c r="BO72" s="391"/>
      <c r="BP72" s="391"/>
      <c r="BQ72" s="391"/>
      <c r="BR72" s="391"/>
      <c r="BS72" s="391"/>
      <c r="BT72" s="391"/>
      <c r="BU72" s="391"/>
      <c r="CJ72" s="391"/>
      <c r="CK72" s="391"/>
      <c r="CY72" s="564"/>
    </row>
    <row r="73" spans="1:103" s="390" customFormat="1" ht="36" customHeight="1" x14ac:dyDescent="0.25">
      <c r="A73" s="458" t="s">
        <v>633</v>
      </c>
      <c r="B73" s="458" t="s">
        <v>483</v>
      </c>
      <c r="C73" s="1166" t="s">
        <v>634</v>
      </c>
      <c r="D73" s="1167"/>
      <c r="E73" s="1150" t="s">
        <v>486</v>
      </c>
      <c r="F73" s="1150"/>
      <c r="G73" s="1150" t="s">
        <v>635</v>
      </c>
      <c r="H73" s="1150"/>
      <c r="I73" s="1150" t="s">
        <v>489</v>
      </c>
      <c r="J73" s="1150"/>
      <c r="K73" s="462" t="s">
        <v>434</v>
      </c>
      <c r="L73" s="462" t="s">
        <v>490</v>
      </c>
      <c r="M73" s="1150" t="s">
        <v>636</v>
      </c>
      <c r="N73" s="1150"/>
      <c r="O73" s="1150" t="s">
        <v>637</v>
      </c>
      <c r="P73" s="1150"/>
      <c r="Q73" s="1150" t="s">
        <v>638</v>
      </c>
      <c r="R73" s="1150"/>
      <c r="S73" s="463" t="s">
        <v>497</v>
      </c>
      <c r="T73" s="463"/>
      <c r="U73" s="463" t="s">
        <v>498</v>
      </c>
      <c r="V73" s="463"/>
      <c r="W73" s="463" t="s">
        <v>639</v>
      </c>
      <c r="X73" s="464"/>
      <c r="AB73" s="391"/>
      <c r="AC73" s="391"/>
      <c r="AD73" s="391"/>
      <c r="AE73" s="391"/>
      <c r="AF73" s="391"/>
      <c r="AG73" s="391"/>
      <c r="AH73" s="391"/>
      <c r="AI73" s="391"/>
      <c r="AJ73" s="391"/>
      <c r="AK73" s="391"/>
      <c r="AL73" s="391"/>
      <c r="AM73" s="391"/>
      <c r="AN73" s="391"/>
      <c r="AO73" s="391"/>
      <c r="AP73" s="391"/>
      <c r="AQ73" s="391"/>
      <c r="AR73" s="391"/>
      <c r="AS73" s="391"/>
      <c r="AT73" s="391"/>
      <c r="AU73" s="391"/>
      <c r="AV73" s="391"/>
      <c r="AW73" s="391"/>
      <c r="AX73" s="391"/>
      <c r="AY73" s="391"/>
      <c r="AZ73" s="391"/>
      <c r="BA73" s="391"/>
      <c r="BB73" s="391"/>
      <c r="BC73" s="391"/>
      <c r="BD73" s="391"/>
      <c r="BE73" s="391"/>
      <c r="BF73" s="391"/>
      <c r="BG73" s="391"/>
      <c r="BH73" s="391"/>
      <c r="BI73" s="391"/>
      <c r="BJ73" s="391"/>
      <c r="BK73" s="391"/>
      <c r="BL73" s="391"/>
      <c r="BM73" s="391"/>
      <c r="BN73" s="391"/>
      <c r="BO73" s="391"/>
      <c r="BP73" s="391"/>
      <c r="BQ73" s="391"/>
      <c r="BR73" s="391"/>
      <c r="BS73" s="391"/>
      <c r="BT73" s="391"/>
      <c r="BU73" s="391"/>
      <c r="CJ73" s="391"/>
      <c r="CK73" s="391"/>
      <c r="CY73" s="564"/>
    </row>
    <row r="74" spans="1:103" s="390" customFormat="1" ht="15.6" x14ac:dyDescent="0.25">
      <c r="A74" s="435"/>
      <c r="B74" s="577"/>
      <c r="C74" s="467" t="s">
        <v>1</v>
      </c>
      <c r="D74" s="467" t="s">
        <v>640</v>
      </c>
      <c r="E74" s="467" t="s">
        <v>1</v>
      </c>
      <c r="F74" s="467" t="s">
        <v>640</v>
      </c>
      <c r="G74" s="467" t="s">
        <v>1</v>
      </c>
      <c r="H74" s="467" t="s">
        <v>640</v>
      </c>
      <c r="I74" s="467" t="s">
        <v>1</v>
      </c>
      <c r="J74" s="467" t="s">
        <v>640</v>
      </c>
      <c r="K74" s="467" t="s">
        <v>1</v>
      </c>
      <c r="L74" s="467" t="s">
        <v>1</v>
      </c>
      <c r="M74" s="467" t="s">
        <v>1</v>
      </c>
      <c r="N74" s="467" t="s">
        <v>640</v>
      </c>
      <c r="O74" s="467" t="s">
        <v>1</v>
      </c>
      <c r="P74" s="467" t="s">
        <v>640</v>
      </c>
      <c r="Q74" s="467" t="s">
        <v>1</v>
      </c>
      <c r="R74" s="467" t="s">
        <v>640</v>
      </c>
      <c r="S74" s="467" t="s">
        <v>1</v>
      </c>
      <c r="T74" s="467" t="s">
        <v>640</v>
      </c>
      <c r="U74" s="467" t="s">
        <v>1</v>
      </c>
      <c r="V74" s="467" t="s">
        <v>640</v>
      </c>
      <c r="W74" s="467" t="s">
        <v>1</v>
      </c>
      <c r="X74" s="578" t="s">
        <v>640</v>
      </c>
      <c r="AB74" s="391"/>
      <c r="AC74" s="391"/>
      <c r="AD74" s="391"/>
      <c r="AE74" s="391"/>
      <c r="AF74" s="391"/>
      <c r="AG74" s="391"/>
      <c r="AH74" s="391"/>
      <c r="AI74" s="391"/>
      <c r="AJ74" s="391"/>
      <c r="AK74" s="391"/>
      <c r="AL74" s="391"/>
      <c r="AM74" s="391"/>
      <c r="AN74" s="391"/>
      <c r="AO74" s="391"/>
      <c r="AP74" s="391"/>
      <c r="AQ74" s="391"/>
      <c r="AR74" s="391"/>
      <c r="AS74" s="391"/>
      <c r="AT74" s="391"/>
      <c r="AU74" s="391"/>
      <c r="AV74" s="391"/>
      <c r="AW74" s="391"/>
      <c r="AX74" s="391"/>
      <c r="AY74" s="391"/>
      <c r="AZ74" s="391"/>
      <c r="BA74" s="391"/>
      <c r="BB74" s="391"/>
      <c r="BC74" s="391"/>
      <c r="BD74" s="391"/>
      <c r="BE74" s="391"/>
      <c r="BF74" s="391"/>
      <c r="BG74" s="391"/>
      <c r="BH74" s="391"/>
      <c r="BI74" s="391"/>
      <c r="BJ74" s="391"/>
      <c r="BK74" s="391"/>
      <c r="BL74" s="391"/>
      <c r="BM74" s="391"/>
      <c r="BN74" s="391"/>
      <c r="BO74" s="391"/>
      <c r="BP74" s="391"/>
      <c r="BQ74" s="391"/>
      <c r="BR74" s="391"/>
      <c r="BS74" s="391"/>
      <c r="BT74" s="391"/>
      <c r="BU74" s="391"/>
      <c r="CY74" s="564"/>
    </row>
    <row r="75" spans="1:103" s="390" customFormat="1" ht="15.6" x14ac:dyDescent="0.25">
      <c r="A75" s="435"/>
      <c r="B75" s="435"/>
      <c r="C75" s="463" t="s">
        <v>641</v>
      </c>
      <c r="D75" s="463" t="s">
        <v>484</v>
      </c>
      <c r="E75" s="463" t="s">
        <v>641</v>
      </c>
      <c r="F75" s="463" t="s">
        <v>484</v>
      </c>
      <c r="G75" s="463" t="s">
        <v>641</v>
      </c>
      <c r="H75" s="463" t="s">
        <v>484</v>
      </c>
      <c r="I75" s="463" t="s">
        <v>641</v>
      </c>
      <c r="J75" s="463" t="s">
        <v>484</v>
      </c>
      <c r="K75" s="463" t="s">
        <v>641</v>
      </c>
      <c r="L75" s="463" t="s">
        <v>641</v>
      </c>
      <c r="M75" s="463" t="s">
        <v>641</v>
      </c>
      <c r="N75" s="463" t="s">
        <v>484</v>
      </c>
      <c r="O75" s="463" t="s">
        <v>641</v>
      </c>
      <c r="P75" s="463" t="s">
        <v>484</v>
      </c>
      <c r="Q75" s="463" t="s">
        <v>641</v>
      </c>
      <c r="R75" s="463" t="s">
        <v>484</v>
      </c>
      <c r="S75" s="463" t="s">
        <v>641</v>
      </c>
      <c r="T75" s="463" t="s">
        <v>484</v>
      </c>
      <c r="U75" s="463" t="s">
        <v>641</v>
      </c>
      <c r="V75" s="463" t="s">
        <v>484</v>
      </c>
      <c r="W75" s="463" t="s">
        <v>641</v>
      </c>
      <c r="X75" s="464" t="s">
        <v>484</v>
      </c>
      <c r="AB75" s="391"/>
      <c r="AC75" s="391"/>
      <c r="AD75" s="391"/>
      <c r="AE75" s="391"/>
      <c r="AF75" s="391"/>
      <c r="AG75" s="391"/>
      <c r="AH75" s="391"/>
      <c r="AI75" s="391"/>
      <c r="AJ75" s="391"/>
      <c r="AK75" s="391"/>
      <c r="AL75" s="391"/>
      <c r="AM75" s="391"/>
      <c r="AN75" s="391"/>
      <c r="AO75" s="391"/>
      <c r="AP75" s="391"/>
      <c r="AQ75" s="391"/>
      <c r="AR75" s="391"/>
      <c r="AS75" s="391"/>
      <c r="AT75" s="391"/>
      <c r="AU75" s="391"/>
      <c r="AV75" s="391"/>
      <c r="AW75" s="391"/>
      <c r="AX75" s="391"/>
      <c r="AY75" s="391"/>
      <c r="AZ75" s="391"/>
      <c r="BA75" s="391"/>
      <c r="BB75" s="391"/>
      <c r="BC75" s="391"/>
      <c r="BD75" s="391"/>
      <c r="BE75" s="391"/>
      <c r="BF75" s="391"/>
      <c r="BG75" s="391"/>
      <c r="BH75" s="391"/>
      <c r="BI75" s="391"/>
      <c r="BJ75" s="391"/>
      <c r="BK75" s="391"/>
      <c r="BL75" s="391"/>
      <c r="BM75" s="391"/>
      <c r="BN75" s="391"/>
      <c r="BO75" s="391"/>
      <c r="BP75" s="391"/>
      <c r="BQ75" s="391"/>
      <c r="BR75" s="391"/>
      <c r="BS75" s="391"/>
      <c r="BT75" s="391"/>
      <c r="BU75" s="391"/>
      <c r="CY75" s="564"/>
    </row>
    <row r="76" spans="1:103" s="390" customFormat="1" ht="15.6" x14ac:dyDescent="0.25">
      <c r="A76" s="435" t="s">
        <v>14</v>
      </c>
      <c r="B76" s="579" t="s">
        <v>10</v>
      </c>
      <c r="C76" s="467" t="s">
        <v>11</v>
      </c>
      <c r="D76" s="467" t="s">
        <v>256</v>
      </c>
      <c r="E76" s="467" t="s">
        <v>257</v>
      </c>
      <c r="F76" s="467" t="s">
        <v>484</v>
      </c>
      <c r="G76" s="467" t="s">
        <v>536</v>
      </c>
      <c r="H76" s="467" t="s">
        <v>537</v>
      </c>
      <c r="I76" s="467" t="s">
        <v>642</v>
      </c>
      <c r="J76" s="467" t="s">
        <v>538</v>
      </c>
      <c r="K76" s="467" t="s">
        <v>539</v>
      </c>
      <c r="L76" s="467" t="s">
        <v>540</v>
      </c>
      <c r="M76" s="467" t="s">
        <v>541</v>
      </c>
      <c r="N76" s="467" t="s">
        <v>542</v>
      </c>
      <c r="O76" s="467" t="s">
        <v>543</v>
      </c>
      <c r="P76" s="467" t="s">
        <v>544</v>
      </c>
      <c r="Q76" s="467" t="s">
        <v>545</v>
      </c>
      <c r="R76" s="467" t="s">
        <v>546</v>
      </c>
      <c r="S76" s="467" t="s">
        <v>547</v>
      </c>
      <c r="T76" s="467" t="s">
        <v>9</v>
      </c>
      <c r="U76" s="467" t="s">
        <v>548</v>
      </c>
      <c r="V76" s="467" t="s">
        <v>12</v>
      </c>
      <c r="W76" s="467" t="s">
        <v>549</v>
      </c>
      <c r="X76" s="578" t="s">
        <v>550</v>
      </c>
      <c r="AB76" s="391"/>
      <c r="AC76" s="391"/>
      <c r="AD76" s="391"/>
      <c r="AE76" s="391"/>
      <c r="AF76" s="391"/>
      <c r="AG76" s="391"/>
      <c r="AH76" s="391"/>
      <c r="AI76" s="391"/>
      <c r="AJ76" s="391"/>
      <c r="AK76" s="391"/>
      <c r="AL76" s="391"/>
      <c r="AM76" s="391"/>
      <c r="AN76" s="391"/>
      <c r="AO76" s="391"/>
      <c r="AP76" s="391"/>
      <c r="AQ76" s="391"/>
      <c r="AR76" s="391"/>
      <c r="AS76" s="391"/>
      <c r="AT76" s="391"/>
      <c r="AU76" s="391"/>
      <c r="AV76" s="391"/>
      <c r="AW76" s="391"/>
      <c r="AX76" s="391"/>
      <c r="AY76" s="391"/>
      <c r="AZ76" s="391"/>
      <c r="BA76" s="391"/>
      <c r="BB76" s="391"/>
      <c r="BC76" s="391"/>
      <c r="BD76" s="391"/>
      <c r="BE76" s="391"/>
      <c r="BF76" s="391"/>
      <c r="BG76" s="391"/>
      <c r="BH76" s="391"/>
      <c r="BI76" s="391"/>
      <c r="BJ76" s="391"/>
      <c r="BK76" s="391"/>
      <c r="BL76" s="391"/>
      <c r="BM76" s="391"/>
      <c r="BN76" s="391"/>
      <c r="BO76" s="391"/>
      <c r="BP76" s="391"/>
      <c r="BQ76" s="391"/>
      <c r="BR76" s="391"/>
      <c r="BS76" s="391"/>
      <c r="BT76" s="391"/>
      <c r="BU76" s="391"/>
      <c r="BW76" s="580"/>
      <c r="BX76" s="391"/>
      <c r="BY76" s="391"/>
      <c r="BZ76" s="555"/>
      <c r="CA76" s="555"/>
      <c r="CB76" s="391"/>
      <c r="CC76" s="391"/>
      <c r="CD76" s="391"/>
      <c r="CE76" s="391"/>
      <c r="CY76" s="564"/>
    </row>
    <row r="77" spans="1:103" s="390" customFormat="1" ht="24" hidden="1" customHeight="1" x14ac:dyDescent="0.25">
      <c r="A77" s="435"/>
      <c r="B77" s="581" t="str">
        <f>E3</f>
        <v>Replacement of Balance 4 nos. battery cyclones by ESPs for SP I, BSL</v>
      </c>
      <c r="C77" s="582">
        <f>SUM(C78:C81)</f>
        <v>79.853085443976269</v>
      </c>
      <c r="D77" s="582">
        <f t="shared" ref="D77:X77" si="2">SUM(D78:D81)</f>
        <v>0</v>
      </c>
      <c r="E77" s="582">
        <f t="shared" si="2"/>
        <v>0</v>
      </c>
      <c r="F77" s="582">
        <f t="shared" si="2"/>
        <v>0</v>
      </c>
      <c r="G77" s="582">
        <f t="shared" si="2"/>
        <v>0.54</v>
      </c>
      <c r="H77" s="582">
        <f t="shared" si="2"/>
        <v>0</v>
      </c>
      <c r="I77" s="582">
        <f t="shared" si="2"/>
        <v>0</v>
      </c>
      <c r="J77" s="582">
        <f t="shared" si="2"/>
        <v>0</v>
      </c>
      <c r="K77" s="582">
        <f t="shared" si="2"/>
        <v>9.3135279915652198</v>
      </c>
      <c r="L77" s="582">
        <f t="shared" si="2"/>
        <v>17.364217088795254</v>
      </c>
      <c r="M77" s="582">
        <f t="shared" si="2"/>
        <v>8.0303122893252574</v>
      </c>
      <c r="N77" s="583">
        <f t="shared" si="2"/>
        <v>0</v>
      </c>
      <c r="O77" s="582">
        <f t="shared" si="2"/>
        <v>1.8696617088795253</v>
      </c>
      <c r="P77" s="582">
        <f t="shared" si="2"/>
        <v>0</v>
      </c>
      <c r="Q77" s="582">
        <f t="shared" si="2"/>
        <v>20.572926076697961</v>
      </c>
      <c r="R77" s="582">
        <f t="shared" si="2"/>
        <v>0</v>
      </c>
      <c r="S77" s="582">
        <f t="shared" si="2"/>
        <v>0</v>
      </c>
      <c r="T77" s="582">
        <f t="shared" si="2"/>
        <v>0</v>
      </c>
      <c r="U77" s="582">
        <f t="shared" si="2"/>
        <v>6.8771865299619748</v>
      </c>
      <c r="V77" s="582">
        <f t="shared" si="2"/>
        <v>0</v>
      </c>
      <c r="W77" s="583">
        <f t="shared" si="2"/>
        <v>144.42091712920148</v>
      </c>
      <c r="X77" s="584">
        <f t="shared" si="2"/>
        <v>0</v>
      </c>
      <c r="AB77" s="391"/>
      <c r="AC77" s="391"/>
      <c r="AD77" s="391"/>
      <c r="AE77" s="391"/>
      <c r="AF77" s="391"/>
      <c r="AG77" s="391"/>
      <c r="AH77" s="391"/>
      <c r="AI77" s="391"/>
      <c r="AJ77" s="391"/>
      <c r="AK77" s="391"/>
      <c r="AL77" s="391"/>
      <c r="AM77" s="391"/>
      <c r="AN77" s="391"/>
      <c r="AO77" s="391"/>
      <c r="AP77" s="391"/>
      <c r="AQ77" s="391"/>
      <c r="AR77" s="391"/>
      <c r="AS77" s="391"/>
      <c r="AT77" s="391"/>
      <c r="AU77" s="391"/>
      <c r="AV77" s="391"/>
      <c r="AW77" s="391"/>
      <c r="AX77" s="391"/>
      <c r="AY77" s="391"/>
      <c r="AZ77" s="391"/>
      <c r="BA77" s="391"/>
      <c r="BB77" s="391"/>
      <c r="BC77" s="391"/>
      <c r="BD77" s="391"/>
      <c r="BE77" s="391"/>
      <c r="BF77" s="391"/>
      <c r="BG77" s="391"/>
      <c r="BH77" s="391"/>
      <c r="BI77" s="391"/>
      <c r="BJ77" s="391"/>
      <c r="BK77" s="391"/>
      <c r="BL77" s="391"/>
      <c r="BM77" s="391"/>
      <c r="BN77" s="391"/>
      <c r="BO77" s="391"/>
      <c r="BP77" s="391"/>
      <c r="BQ77" s="391"/>
      <c r="BR77" s="391"/>
      <c r="BS77" s="391"/>
      <c r="BT77" s="391"/>
      <c r="BU77" s="391"/>
      <c r="BW77" s="580"/>
      <c r="BX77" s="391"/>
      <c r="BY77" s="391"/>
      <c r="BZ77" s="555"/>
      <c r="CA77" s="555"/>
      <c r="CB77" s="391"/>
      <c r="CC77" s="391"/>
      <c r="CD77" s="391"/>
      <c r="CE77" s="391"/>
      <c r="CY77" s="564"/>
    </row>
    <row r="78" spans="1:103" s="398" customFormat="1" ht="43.5" hidden="1" customHeight="1" x14ac:dyDescent="0.25">
      <c r="A78" s="585" t="str">
        <f t="shared" ref="A78:B82" si="3">A18</f>
        <v>1 (a)</v>
      </c>
      <c r="B78" s="585" t="str">
        <f t="shared" si="3"/>
        <v>Area survey &amp; soil investigation (Package - I)</v>
      </c>
      <c r="C78" s="586">
        <f>SUM(D18:G18,J18:K18)</f>
        <v>0</v>
      </c>
      <c r="D78" s="587">
        <f>SUM(D18:E18)</f>
        <v>0</v>
      </c>
      <c r="E78" s="587">
        <f>SUM(H18:I18)</f>
        <v>0</v>
      </c>
      <c r="F78" s="587">
        <f>SUM(H18)</f>
        <v>0</v>
      </c>
      <c r="G78" s="587">
        <f>SUM(L18:M18)</f>
        <v>0</v>
      </c>
      <c r="H78" s="588">
        <f>SUM(J18)</f>
        <v>0</v>
      </c>
      <c r="I78" s="587">
        <f>SUM(N18:O18)</f>
        <v>0</v>
      </c>
      <c r="J78" s="587">
        <f>SUM(N18)</f>
        <v>0</v>
      </c>
      <c r="K78" s="587">
        <f>P18+Q18</f>
        <v>0</v>
      </c>
      <c r="L78" s="587">
        <f>SUM(R18:U18)</f>
        <v>0</v>
      </c>
      <c r="M78" s="587">
        <f>SUM(V18:Y18)</f>
        <v>0</v>
      </c>
      <c r="N78" s="587">
        <f>SUM(V18:W18)</f>
        <v>0</v>
      </c>
      <c r="O78" s="587">
        <f>SUM(Z18:AB18)</f>
        <v>0</v>
      </c>
      <c r="P78" s="587">
        <f>SUM(Z18)</f>
        <v>0</v>
      </c>
      <c r="Q78" s="587">
        <f>SUM(AC18:AJ18)</f>
        <v>0</v>
      </c>
      <c r="R78" s="587"/>
      <c r="S78" s="587">
        <f>SUM(AK18:AP18)</f>
        <v>0</v>
      </c>
      <c r="T78" s="587">
        <f>AK18+AM18+AO18</f>
        <v>0</v>
      </c>
      <c r="U78" s="587">
        <f>SUM(AQ18:AR18)</f>
        <v>0</v>
      </c>
      <c r="V78" s="587">
        <f>AQ18</f>
        <v>0</v>
      </c>
      <c r="W78" s="589">
        <f>AU18</f>
        <v>0</v>
      </c>
      <c r="X78" s="590">
        <f>D78+F78+H78+J78+N78+P78+R78+T78+V78</f>
        <v>0</v>
      </c>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W78" s="591"/>
      <c r="BX78" s="2"/>
      <c r="BY78" s="2"/>
      <c r="BZ78" s="592"/>
      <c r="CA78" s="592"/>
      <c r="CB78" s="2"/>
      <c r="CC78" s="2"/>
      <c r="CD78" s="2"/>
      <c r="CE78" s="2"/>
      <c r="CY78" s="570"/>
    </row>
    <row r="79" spans="1:103" s="390" customFormat="1" ht="38.25" customHeight="1" x14ac:dyDescent="0.25">
      <c r="A79" s="635">
        <v>1</v>
      </c>
      <c r="B79" s="585" t="str">
        <f t="shared" si="3"/>
        <v>Replacement of Balance 4 nos. battery cyclones by ESPs for SP I, BSL</v>
      </c>
      <c r="C79" s="586">
        <f>SUM(D19:G19,J19:K19)</f>
        <v>79.853085443976269</v>
      </c>
      <c r="D79" s="587">
        <f>SUM(D19:E19,J19)</f>
        <v>0</v>
      </c>
      <c r="E79" s="587">
        <f>SUM(H19:I19)</f>
        <v>0</v>
      </c>
      <c r="F79" s="587">
        <f>SUM(H19)</f>
        <v>0</v>
      </c>
      <c r="G79" s="587">
        <f>SUM(L19:M19)</f>
        <v>0.54</v>
      </c>
      <c r="H79" s="588">
        <f>SUM(J19)</f>
        <v>0</v>
      </c>
      <c r="I79" s="587">
        <f>SUM(N19:O19)</f>
        <v>0</v>
      </c>
      <c r="J79" s="587">
        <f>SUM(N19)</f>
        <v>0</v>
      </c>
      <c r="K79" s="587">
        <f>P19+Q19</f>
        <v>9.3135279915652198</v>
      </c>
      <c r="L79" s="587">
        <f>SUM(R19:U19)</f>
        <v>17.364217088795254</v>
      </c>
      <c r="M79" s="587">
        <f>SUM(V19:Y19)</f>
        <v>8.0303122893252574</v>
      </c>
      <c r="N79" s="589">
        <f>SUM(V19:W19)</f>
        <v>0</v>
      </c>
      <c r="O79" s="587">
        <f>SUM(Z19:AB19)</f>
        <v>1.8696617088795253</v>
      </c>
      <c r="P79" s="587">
        <f>SUM(Z19)</f>
        <v>0</v>
      </c>
      <c r="Q79" s="587">
        <f>SUM(AC19:AJ19)</f>
        <v>20.572926076697961</v>
      </c>
      <c r="R79" s="587"/>
      <c r="S79" s="587">
        <f>SUM(AK19:AP19)</f>
        <v>0</v>
      </c>
      <c r="T79" s="587">
        <f>AK19+AM19+AO19</f>
        <v>0</v>
      </c>
      <c r="U79" s="587">
        <f>SUM(AQ19:AR19)</f>
        <v>6.8771865299619748</v>
      </c>
      <c r="V79" s="587">
        <f>AQ19</f>
        <v>0</v>
      </c>
      <c r="W79" s="589">
        <f>AU19</f>
        <v>144.42091712920148</v>
      </c>
      <c r="X79" s="590">
        <f>D79+F79+H79+J79+N79+P79+R79+T79+V79</f>
        <v>0</v>
      </c>
      <c r="AB79" s="391"/>
      <c r="AC79" s="391"/>
      <c r="AD79" s="391"/>
      <c r="AE79" s="391"/>
      <c r="AF79" s="391"/>
      <c r="AG79" s="391"/>
      <c r="AH79" s="391"/>
      <c r="AI79" s="391"/>
      <c r="AJ79" s="391"/>
      <c r="AK79" s="391"/>
      <c r="AL79" s="391"/>
      <c r="AM79" s="391"/>
      <c r="AN79" s="391"/>
      <c r="AO79" s="391"/>
      <c r="AP79" s="391"/>
      <c r="AQ79" s="391"/>
      <c r="AR79" s="391"/>
      <c r="AS79" s="391"/>
      <c r="AT79" s="391"/>
      <c r="AU79" s="391"/>
      <c r="AV79" s="391"/>
      <c r="AW79" s="391"/>
      <c r="AX79" s="391"/>
      <c r="AY79" s="391"/>
      <c r="AZ79" s="391"/>
      <c r="BA79" s="391"/>
      <c r="BB79" s="391"/>
      <c r="BC79" s="391"/>
      <c r="BD79" s="391"/>
      <c r="BE79" s="391"/>
      <c r="BF79" s="391"/>
      <c r="BG79" s="391"/>
      <c r="BH79" s="391"/>
      <c r="BI79" s="391"/>
      <c r="BJ79" s="391"/>
      <c r="BK79" s="391"/>
      <c r="BL79" s="391"/>
      <c r="BM79" s="391"/>
      <c r="BN79" s="391"/>
      <c r="BO79" s="391"/>
      <c r="BP79" s="391"/>
      <c r="BQ79" s="391"/>
      <c r="BR79" s="391"/>
      <c r="BS79" s="391"/>
      <c r="BT79" s="391"/>
      <c r="BU79" s="391"/>
      <c r="BW79" s="580"/>
      <c r="BX79" s="391"/>
      <c r="BY79" s="391"/>
      <c r="BZ79" s="555"/>
      <c r="CA79" s="555"/>
      <c r="CB79" s="391"/>
      <c r="CC79" s="391"/>
      <c r="CD79" s="391"/>
      <c r="CE79" s="391"/>
      <c r="CY79" s="564"/>
    </row>
    <row r="80" spans="1:103" s="390" customFormat="1" ht="38.25" hidden="1" customHeight="1" x14ac:dyDescent="0.25">
      <c r="A80" s="585" t="str">
        <f t="shared" si="3"/>
        <v>1 (c)</v>
      </c>
      <c r="B80" s="585" t="str">
        <f t="shared" si="3"/>
        <v>Auxiliary Packageg (Package - III &amp; other packages)</v>
      </c>
      <c r="C80" s="586">
        <f>SUM(D20:G20,J20:K20)</f>
        <v>0</v>
      </c>
      <c r="D80" s="587">
        <f>SUM(D20:E20,J20)</f>
        <v>0</v>
      </c>
      <c r="E80" s="587">
        <f>SUM(H20:I20)</f>
        <v>0</v>
      </c>
      <c r="F80" s="587">
        <f>SUM(H20)</f>
        <v>0</v>
      </c>
      <c r="G80" s="587">
        <f>SUM(L20:M20)</f>
        <v>0</v>
      </c>
      <c r="H80" s="588">
        <f>SUM(J20)</f>
        <v>0</v>
      </c>
      <c r="I80" s="587">
        <f>SUM(N20:O20)</f>
        <v>0</v>
      </c>
      <c r="J80" s="587">
        <f>SUM(N20)</f>
        <v>0</v>
      </c>
      <c r="K80" s="587">
        <f>P20+Q20</f>
        <v>0</v>
      </c>
      <c r="L80" s="587">
        <f>SUM(R20:U20)</f>
        <v>0</v>
      </c>
      <c r="M80" s="587">
        <f>SUM(V20:Y20)</f>
        <v>0</v>
      </c>
      <c r="N80" s="589">
        <f>SUM(V20:W20)</f>
        <v>0</v>
      </c>
      <c r="O80" s="587">
        <f>SUM(Z20:AB20)</f>
        <v>0</v>
      </c>
      <c r="P80" s="587">
        <f>SUM(Z20)</f>
        <v>0</v>
      </c>
      <c r="Q80" s="587">
        <f>SUM(AC20:AJ20)</f>
        <v>0</v>
      </c>
      <c r="R80" s="587"/>
      <c r="S80" s="587">
        <f>SUM(AK20:AP20)</f>
        <v>0</v>
      </c>
      <c r="T80" s="587">
        <f>AK20+AM20+AO20</f>
        <v>0</v>
      </c>
      <c r="U80" s="587">
        <f>SUM(AQ20:AR20)</f>
        <v>0</v>
      </c>
      <c r="V80" s="587">
        <f>AQ20</f>
        <v>0</v>
      </c>
      <c r="W80" s="589">
        <f>AU20</f>
        <v>0</v>
      </c>
      <c r="X80" s="590">
        <f>D80+F80+H80+J80+N80+P80+R80+T80+V80</f>
        <v>0</v>
      </c>
      <c r="AB80" s="391"/>
      <c r="AC80" s="391"/>
      <c r="AD80" s="391"/>
      <c r="AE80" s="391"/>
      <c r="AF80" s="391"/>
      <c r="AG80" s="391"/>
      <c r="AH80" s="391"/>
      <c r="AI80" s="391"/>
      <c r="AJ80" s="391"/>
      <c r="AK80" s="391"/>
      <c r="AL80" s="391"/>
      <c r="AM80" s="391"/>
      <c r="AN80" s="391"/>
      <c r="AO80" s="391"/>
      <c r="AP80" s="391"/>
      <c r="AQ80" s="391"/>
      <c r="AR80" s="391"/>
      <c r="AS80" s="391"/>
      <c r="AT80" s="391"/>
      <c r="AU80" s="391"/>
      <c r="AV80" s="391"/>
      <c r="AW80" s="391"/>
      <c r="AX80" s="391"/>
      <c r="AY80" s="391"/>
      <c r="AZ80" s="391"/>
      <c r="BA80" s="391"/>
      <c r="BB80" s="391"/>
      <c r="BC80" s="391"/>
      <c r="BD80" s="391"/>
      <c r="BE80" s="391"/>
      <c r="BF80" s="391"/>
      <c r="BG80" s="391"/>
      <c r="BH80" s="391"/>
      <c r="BI80" s="391"/>
      <c r="BJ80" s="391"/>
      <c r="BK80" s="391"/>
      <c r="BL80" s="391"/>
      <c r="BM80" s="391"/>
      <c r="BN80" s="391"/>
      <c r="BO80" s="391"/>
      <c r="BP80" s="391"/>
      <c r="BQ80" s="391"/>
      <c r="BR80" s="391"/>
      <c r="BS80" s="391"/>
      <c r="BT80" s="391"/>
      <c r="BU80" s="391"/>
      <c r="BW80" s="580"/>
      <c r="BX80" s="391"/>
      <c r="BY80" s="391"/>
      <c r="BZ80" s="555"/>
      <c r="CA80" s="555"/>
      <c r="CB80" s="391"/>
      <c r="CC80" s="391"/>
      <c r="CD80" s="391"/>
      <c r="CE80" s="391"/>
      <c r="CY80" s="564"/>
    </row>
    <row r="81" spans="1:103" s="390" customFormat="1" ht="39.75" hidden="1" customHeight="1" x14ac:dyDescent="0.25">
      <c r="A81" s="585" t="str">
        <f t="shared" si="3"/>
        <v>1 (d)</v>
      </c>
      <c r="B81" s="585" t="str">
        <f t="shared" si="3"/>
        <v xml:space="preserve">Supply package </v>
      </c>
      <c r="C81" s="586">
        <f>SUM(D21:G21,J21:K21)</f>
        <v>0</v>
      </c>
      <c r="D81" s="587">
        <f>SUM(D21:E21,J21)</f>
        <v>0</v>
      </c>
      <c r="E81" s="593">
        <f>SUM(H21:I21)</f>
        <v>0</v>
      </c>
      <c r="F81" s="593">
        <f>SUM(H21)</f>
        <v>0</v>
      </c>
      <c r="G81" s="587">
        <f>SUM(L21:M21)</f>
        <v>0</v>
      </c>
      <c r="H81" s="594">
        <f>SUM(J21)</f>
        <v>0</v>
      </c>
      <c r="I81" s="593">
        <f>SUM(N21:O21)</f>
        <v>0</v>
      </c>
      <c r="J81" s="593">
        <f>SUM(N21)</f>
        <v>0</v>
      </c>
      <c r="K81" s="587">
        <f>P21+Q21</f>
        <v>0</v>
      </c>
      <c r="L81" s="593">
        <f>SUM(R21:U21)</f>
        <v>0</v>
      </c>
      <c r="M81" s="593">
        <f>SUM(V21:Y21)</f>
        <v>0</v>
      </c>
      <c r="N81" s="593">
        <f>SUM(V21:W21)</f>
        <v>0</v>
      </c>
      <c r="O81" s="593">
        <f>SUM(Z21:AB21)</f>
        <v>0</v>
      </c>
      <c r="P81" s="593">
        <f>SUM(Z21)</f>
        <v>0</v>
      </c>
      <c r="Q81" s="593">
        <f>SUM(AC21:AJ21)</f>
        <v>0</v>
      </c>
      <c r="R81" s="593"/>
      <c r="S81" s="593">
        <f>SUM(AK21:AP21)</f>
        <v>0</v>
      </c>
      <c r="T81" s="593">
        <f>AK21+AM21+AO21</f>
        <v>0</v>
      </c>
      <c r="U81" s="593">
        <f>SUM(AQ21:AR21)</f>
        <v>0</v>
      </c>
      <c r="V81" s="593">
        <f>AQ21</f>
        <v>0</v>
      </c>
      <c r="W81" s="595">
        <f>AU21</f>
        <v>0</v>
      </c>
      <c r="X81" s="596">
        <f>D81+F81+H81+J81+N81+P81+R81+T81+V81</f>
        <v>0</v>
      </c>
      <c r="AB81" s="391"/>
      <c r="AC81" s="391"/>
      <c r="AD81" s="391"/>
      <c r="AE81" s="391"/>
      <c r="AF81" s="391"/>
      <c r="AG81" s="391"/>
      <c r="AH81" s="391"/>
      <c r="AI81" s="391"/>
      <c r="AJ81" s="391"/>
      <c r="AK81" s="391"/>
      <c r="AL81" s="391"/>
      <c r="AM81" s="391"/>
      <c r="AN81" s="391"/>
      <c r="AO81" s="391"/>
      <c r="AP81" s="391"/>
      <c r="AQ81" s="391"/>
      <c r="AR81" s="391"/>
      <c r="AS81" s="391"/>
      <c r="AT81" s="391"/>
      <c r="AU81" s="391"/>
      <c r="AV81" s="391"/>
      <c r="AW81" s="391"/>
      <c r="AX81" s="391"/>
      <c r="AY81" s="391"/>
      <c r="AZ81" s="391"/>
      <c r="BA81" s="391"/>
      <c r="BB81" s="391"/>
      <c r="BC81" s="391"/>
      <c r="BD81" s="391"/>
      <c r="BE81" s="391"/>
      <c r="BF81" s="391"/>
      <c r="BG81" s="391"/>
      <c r="BH81" s="391"/>
      <c r="BI81" s="391"/>
      <c r="BJ81" s="391"/>
      <c r="BK81" s="391"/>
      <c r="BL81" s="391"/>
      <c r="BM81" s="391"/>
      <c r="BN81" s="391"/>
      <c r="BO81" s="391"/>
      <c r="BP81" s="391"/>
      <c r="BQ81" s="391"/>
      <c r="BR81" s="391"/>
      <c r="BS81" s="391"/>
      <c r="BT81" s="391"/>
      <c r="BU81" s="391"/>
      <c r="BW81" s="580"/>
      <c r="BX81" s="391"/>
      <c r="BY81" s="391"/>
      <c r="BZ81" s="555"/>
      <c r="CA81" s="555"/>
      <c r="CB81" s="391"/>
      <c r="CC81" s="391"/>
      <c r="CD81" s="391"/>
      <c r="CE81" s="391"/>
      <c r="CY81" s="564"/>
    </row>
    <row r="82" spans="1:103" s="390" customFormat="1" ht="24" customHeight="1" x14ac:dyDescent="0.25">
      <c r="A82" s="597">
        <v>2</v>
      </c>
      <c r="B82" s="598" t="str">
        <f t="shared" si="3"/>
        <v>Total Plant cost</v>
      </c>
      <c r="C82" s="587"/>
      <c r="D82" s="587"/>
      <c r="E82" s="587"/>
      <c r="F82" s="587"/>
      <c r="G82" s="587"/>
      <c r="H82" s="588"/>
      <c r="I82" s="587"/>
      <c r="J82" s="587"/>
      <c r="K82" s="587"/>
      <c r="L82" s="587"/>
      <c r="M82" s="587"/>
      <c r="N82" s="587"/>
      <c r="O82" s="587"/>
      <c r="P82" s="587"/>
      <c r="Q82" s="587"/>
      <c r="R82" s="587"/>
      <c r="S82" s="587"/>
      <c r="T82" s="587"/>
      <c r="U82" s="587"/>
      <c r="V82" s="587"/>
      <c r="W82" s="599">
        <f>SUM(W78:W81)</f>
        <v>144.42091712920148</v>
      </c>
      <c r="X82" s="590"/>
      <c r="AB82" s="391"/>
      <c r="AC82" s="391"/>
      <c r="AD82" s="391"/>
      <c r="AE82" s="391"/>
      <c r="AF82" s="391"/>
      <c r="AG82" s="391"/>
      <c r="AH82" s="391"/>
      <c r="AI82" s="391"/>
      <c r="AJ82" s="391"/>
      <c r="AK82" s="391"/>
      <c r="AL82" s="391"/>
      <c r="AM82" s="391"/>
      <c r="AN82" s="391"/>
      <c r="AO82" s="391"/>
      <c r="AP82" s="391"/>
      <c r="AQ82" s="391"/>
      <c r="AR82" s="391"/>
      <c r="AS82" s="391"/>
      <c r="AT82" s="391"/>
      <c r="AU82" s="391"/>
      <c r="AV82" s="391"/>
      <c r="AW82" s="391"/>
      <c r="AX82" s="391"/>
      <c r="AY82" s="391"/>
      <c r="AZ82" s="391"/>
      <c r="BA82" s="391"/>
      <c r="BB82" s="391"/>
      <c r="BC82" s="391"/>
      <c r="BD82" s="391"/>
      <c r="BE82" s="391"/>
      <c r="BF82" s="391"/>
      <c r="BG82" s="391"/>
      <c r="BH82" s="391"/>
      <c r="BI82" s="391"/>
      <c r="BJ82" s="391"/>
      <c r="BK82" s="391"/>
      <c r="BL82" s="391"/>
      <c r="BM82" s="391"/>
      <c r="BN82" s="391"/>
      <c r="BO82" s="391"/>
      <c r="BP82" s="391"/>
      <c r="BQ82" s="391"/>
      <c r="BR82" s="391"/>
      <c r="BS82" s="391"/>
      <c r="BT82" s="391"/>
      <c r="BU82" s="391"/>
      <c r="BW82" s="580"/>
      <c r="BX82" s="391"/>
      <c r="BY82" s="391"/>
      <c r="BZ82" s="555"/>
      <c r="CA82" s="555"/>
      <c r="CB82" s="391"/>
      <c r="CC82" s="391"/>
      <c r="CD82" s="391"/>
      <c r="CE82" s="391"/>
      <c r="CY82" s="564"/>
    </row>
    <row r="83" spans="1:103" s="390" customFormat="1" ht="25.5" customHeight="1" x14ac:dyDescent="0.25">
      <c r="A83" s="597">
        <v>3</v>
      </c>
      <c r="B83" s="600" t="str">
        <f>+B23</f>
        <v>IDC</v>
      </c>
      <c r="C83" s="601"/>
      <c r="D83" s="601"/>
      <c r="E83" s="601"/>
      <c r="F83" s="601"/>
      <c r="G83" s="601"/>
      <c r="H83" s="601"/>
      <c r="I83" s="601"/>
      <c r="J83" s="601"/>
      <c r="K83" s="601"/>
      <c r="L83" s="601"/>
      <c r="M83" s="601"/>
      <c r="N83" s="601"/>
      <c r="O83" s="601"/>
      <c r="P83" s="601"/>
      <c r="Q83" s="601"/>
      <c r="R83" s="601"/>
      <c r="S83" s="601"/>
      <c r="T83" s="601"/>
      <c r="U83" s="601"/>
      <c r="V83" s="601"/>
      <c r="W83" s="601">
        <f>+AU23</f>
        <v>11.463410297130368</v>
      </c>
      <c r="X83" s="602"/>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W83" s="580"/>
      <c r="BX83" s="391"/>
      <c r="BY83" s="391"/>
      <c r="BZ83" s="555"/>
      <c r="CA83" s="555"/>
      <c r="CB83" s="391"/>
      <c r="CC83" s="391"/>
      <c r="CD83" s="391"/>
      <c r="CE83" s="391"/>
    </row>
    <row r="84" spans="1:103" s="390" customFormat="1" ht="33" customHeight="1" x14ac:dyDescent="0.25">
      <c r="A84" s="597">
        <v>4</v>
      </c>
      <c r="B84" s="603" t="str">
        <f>B24</f>
        <v xml:space="preserve">CAPITAL COST </v>
      </c>
      <c r="C84" s="604"/>
      <c r="D84" s="604"/>
      <c r="E84" s="604"/>
      <c r="F84" s="604"/>
      <c r="G84" s="604"/>
      <c r="H84" s="604"/>
      <c r="I84" s="604"/>
      <c r="J84" s="604"/>
      <c r="K84" s="604"/>
      <c r="L84" s="604"/>
      <c r="M84" s="604"/>
      <c r="N84" s="604"/>
      <c r="O84" s="604"/>
      <c r="P84" s="604"/>
      <c r="Q84" s="604"/>
      <c r="R84" s="604"/>
      <c r="S84" s="604"/>
      <c r="T84" s="604"/>
      <c r="U84" s="604"/>
      <c r="V84" s="604"/>
      <c r="W84" s="605">
        <f>SUM(W82:W83)</f>
        <v>155.88432742633185</v>
      </c>
      <c r="X84" s="606">
        <f>SUM(X78:X83)</f>
        <v>0</v>
      </c>
      <c r="Z84" s="391"/>
      <c r="AA84" s="391"/>
      <c r="AB84" s="391"/>
      <c r="AC84" s="391"/>
      <c r="AD84" s="391"/>
      <c r="AE84" s="391"/>
      <c r="AF84" s="391"/>
      <c r="AG84" s="391"/>
      <c r="AH84" s="391"/>
      <c r="AI84" s="391"/>
      <c r="AJ84" s="391"/>
      <c r="AK84" s="391"/>
      <c r="AL84" s="391"/>
      <c r="AM84" s="391"/>
      <c r="AN84" s="391"/>
      <c r="AO84" s="391"/>
      <c r="AP84" s="391"/>
      <c r="AQ84" s="391"/>
      <c r="AR84" s="391"/>
      <c r="AS84" s="391"/>
      <c r="AT84" s="391"/>
      <c r="AU84" s="391"/>
      <c r="AV84" s="391"/>
      <c r="AW84" s="391"/>
      <c r="AX84" s="391"/>
      <c r="AY84" s="391"/>
      <c r="AZ84" s="391"/>
      <c r="BA84" s="391"/>
      <c r="BB84" s="391"/>
      <c r="BC84" s="391"/>
      <c r="BD84" s="391"/>
      <c r="BE84" s="391"/>
      <c r="BF84" s="391"/>
      <c r="BG84" s="391"/>
      <c r="BH84" s="391"/>
      <c r="BI84" s="391"/>
      <c r="BJ84" s="391"/>
      <c r="BK84" s="391"/>
      <c r="BL84" s="391"/>
      <c r="BM84" s="391"/>
      <c r="BN84" s="391"/>
      <c r="BO84" s="391"/>
      <c r="BP84" s="391"/>
      <c r="BQ84" s="391"/>
      <c r="BR84" s="391"/>
      <c r="BS84" s="391"/>
      <c r="BT84" s="391"/>
      <c r="BU84" s="391"/>
      <c r="BW84" s="580"/>
      <c r="BX84" s="391"/>
      <c r="BY84" s="391"/>
      <c r="BZ84" s="555"/>
      <c r="CA84" s="555"/>
      <c r="CB84" s="391"/>
      <c r="CC84" s="391"/>
      <c r="CD84" s="391"/>
      <c r="CE84" s="391"/>
    </row>
    <row r="85" spans="1:103" s="390" customFormat="1" ht="22.8" x14ac:dyDescent="0.25">
      <c r="A85" s="597">
        <v>5</v>
      </c>
      <c r="B85" s="525" t="str">
        <f>B25</f>
        <v>Input tax credit (ITC)</v>
      </c>
      <c r="C85" s="601"/>
      <c r="D85" s="601"/>
      <c r="E85" s="601"/>
      <c r="F85" s="601"/>
      <c r="G85" s="601"/>
      <c r="H85" s="601"/>
      <c r="I85" s="601"/>
      <c r="J85" s="601"/>
      <c r="K85" s="601"/>
      <c r="L85" s="601"/>
      <c r="M85" s="601"/>
      <c r="N85" s="601"/>
      <c r="O85" s="601"/>
      <c r="P85" s="601"/>
      <c r="Q85" s="601"/>
      <c r="R85" s="601"/>
      <c r="S85" s="601"/>
      <c r="T85" s="601"/>
      <c r="U85" s="601"/>
      <c r="V85" s="601"/>
      <c r="W85" s="601">
        <f>+AU25</f>
        <v>19.96290507093622</v>
      </c>
      <c r="X85" s="602"/>
      <c r="Z85" s="391"/>
      <c r="AA85" s="391"/>
      <c r="AB85" s="391"/>
      <c r="AC85" s="391"/>
      <c r="AD85" s="391"/>
      <c r="AE85" s="391"/>
      <c r="AF85" s="391"/>
      <c r="AG85" s="391"/>
      <c r="AH85" s="391"/>
      <c r="AI85" s="391"/>
      <c r="AJ85" s="391"/>
      <c r="AK85" s="391"/>
      <c r="AL85" s="391"/>
      <c r="AM85" s="391"/>
      <c r="AN85" s="391"/>
      <c r="AO85" s="391"/>
      <c r="AP85" s="391"/>
      <c r="AQ85" s="391"/>
      <c r="AR85" s="391"/>
      <c r="AS85" s="391"/>
      <c r="AT85" s="391"/>
      <c r="AU85" s="391"/>
      <c r="AV85" s="391"/>
      <c r="AW85" s="391"/>
      <c r="AX85" s="391"/>
      <c r="AY85" s="391"/>
      <c r="AZ85" s="391"/>
      <c r="BA85" s="391"/>
      <c r="BB85" s="391"/>
      <c r="BC85" s="391"/>
      <c r="BD85" s="391"/>
      <c r="BE85" s="391"/>
      <c r="BF85" s="391"/>
      <c r="BG85" s="391"/>
      <c r="BH85" s="391"/>
      <c r="BI85" s="391"/>
      <c r="BJ85" s="391"/>
      <c r="BK85" s="391"/>
      <c r="BL85" s="391"/>
      <c r="BM85" s="391"/>
      <c r="BN85" s="391"/>
      <c r="BO85" s="391"/>
      <c r="BP85" s="391"/>
      <c r="BQ85" s="391"/>
      <c r="BR85" s="391"/>
      <c r="BS85" s="391"/>
      <c r="BT85" s="391"/>
      <c r="BU85" s="391"/>
      <c r="BW85" s="391"/>
      <c r="BX85" s="391"/>
      <c r="BY85" s="391"/>
      <c r="BZ85" s="555"/>
      <c r="CA85" s="391"/>
      <c r="CB85" s="391"/>
      <c r="CC85" s="392"/>
      <c r="CD85" s="391"/>
      <c r="CE85" s="391"/>
    </row>
    <row r="86" spans="1:103" s="390" customFormat="1" ht="22.8" x14ac:dyDescent="0.25">
      <c r="A86" s="597">
        <v>6</v>
      </c>
      <c r="B86" s="607" t="str">
        <f>B26</f>
        <v>Capital Cost net of ITC</v>
      </c>
      <c r="C86" s="604"/>
      <c r="D86" s="604"/>
      <c r="E86" s="604"/>
      <c r="F86" s="604"/>
      <c r="G86" s="604"/>
      <c r="H86" s="604"/>
      <c r="I86" s="604"/>
      <c r="J86" s="604"/>
      <c r="K86" s="604"/>
      <c r="L86" s="604"/>
      <c r="M86" s="604"/>
      <c r="N86" s="604"/>
      <c r="O86" s="604"/>
      <c r="P86" s="604"/>
      <c r="Q86" s="604"/>
      <c r="R86" s="604"/>
      <c r="S86" s="604"/>
      <c r="T86" s="604"/>
      <c r="U86" s="604"/>
      <c r="V86" s="604"/>
      <c r="W86" s="605">
        <f>W84-W85</f>
        <v>135.92142235539563</v>
      </c>
      <c r="X86" s="606">
        <f>X84-X85</f>
        <v>0</v>
      </c>
      <c r="Z86" s="391"/>
      <c r="AA86" s="391"/>
      <c r="AB86" s="391"/>
      <c r="AC86" s="391"/>
      <c r="AD86" s="391"/>
      <c r="AE86" s="391"/>
      <c r="AF86" s="391"/>
      <c r="AG86" s="391"/>
      <c r="AH86" s="391"/>
      <c r="AI86" s="391"/>
      <c r="AJ86" s="391"/>
      <c r="AK86" s="391"/>
      <c r="AL86" s="391"/>
      <c r="AM86" s="391"/>
      <c r="AN86" s="391"/>
      <c r="AO86" s="391"/>
      <c r="AP86" s="391"/>
      <c r="AQ86" s="391"/>
      <c r="AR86" s="391"/>
      <c r="AS86" s="391"/>
      <c r="AT86" s="391"/>
      <c r="AU86" s="391"/>
      <c r="AV86" s="391"/>
      <c r="AW86" s="391"/>
      <c r="AX86" s="391"/>
      <c r="AY86" s="391"/>
      <c r="AZ86" s="391"/>
      <c r="BA86" s="391"/>
      <c r="BB86" s="391"/>
      <c r="BC86" s="391"/>
      <c r="BD86" s="391"/>
      <c r="BE86" s="391"/>
      <c r="BF86" s="391"/>
      <c r="BG86" s="391"/>
      <c r="BH86" s="391"/>
      <c r="BI86" s="391"/>
      <c r="BJ86" s="391"/>
      <c r="BK86" s="391"/>
      <c r="BL86" s="391"/>
      <c r="BM86" s="391"/>
      <c r="BN86" s="391"/>
      <c r="BO86" s="391"/>
      <c r="BP86" s="391"/>
      <c r="BQ86" s="391"/>
      <c r="BR86" s="391"/>
      <c r="BS86" s="391"/>
      <c r="BT86" s="391"/>
      <c r="BU86" s="391"/>
      <c r="BW86" s="391"/>
      <c r="BX86" s="391"/>
      <c r="BY86" s="391"/>
      <c r="BZ86" s="555"/>
      <c r="CA86" s="391"/>
      <c r="CB86" s="391"/>
      <c r="CC86" s="391"/>
      <c r="CD86" s="391"/>
      <c r="CE86" s="391"/>
    </row>
    <row r="87" spans="1:103" s="390" customFormat="1" x14ac:dyDescent="0.25">
      <c r="R87" s="391"/>
      <c r="S87" s="391"/>
      <c r="T87" s="391"/>
      <c r="U87" s="391"/>
      <c r="V87" s="391"/>
      <c r="W87" s="391"/>
      <c r="X87" s="391"/>
      <c r="Y87" s="391"/>
      <c r="Z87" s="391"/>
      <c r="AA87" s="391"/>
      <c r="AB87" s="391"/>
      <c r="AC87" s="391"/>
      <c r="AD87" s="391"/>
      <c r="AE87" s="391"/>
      <c r="AF87" s="391"/>
      <c r="AG87" s="391"/>
      <c r="AH87" s="391"/>
      <c r="AI87" s="391"/>
      <c r="AJ87" s="391"/>
      <c r="AK87" s="391"/>
      <c r="AL87" s="391"/>
      <c r="AM87" s="391"/>
      <c r="AN87" s="391"/>
      <c r="AO87" s="391"/>
      <c r="AP87" s="391"/>
      <c r="AQ87" s="391"/>
      <c r="AR87" s="391"/>
      <c r="AS87" s="391"/>
      <c r="AT87" s="391"/>
      <c r="AU87" s="391"/>
      <c r="AV87" s="391"/>
      <c r="AW87" s="391"/>
      <c r="AX87" s="391"/>
      <c r="AY87" s="391"/>
      <c r="AZ87" s="391"/>
      <c r="BA87" s="391"/>
      <c r="BB87" s="391"/>
      <c r="BC87" s="391"/>
      <c r="BD87" s="391"/>
      <c r="BE87" s="391"/>
      <c r="BF87" s="391"/>
      <c r="BG87" s="391"/>
      <c r="BH87" s="391"/>
      <c r="BI87" s="391"/>
      <c r="BJ87" s="391"/>
      <c r="BK87" s="391"/>
      <c r="BL87" s="391"/>
      <c r="BM87" s="391"/>
      <c r="BN87" s="391"/>
      <c r="BO87" s="391"/>
      <c r="BP87" s="391"/>
      <c r="BQ87" s="391"/>
      <c r="BR87" s="391"/>
      <c r="BS87" s="391"/>
      <c r="BT87" s="391"/>
      <c r="BU87" s="391"/>
      <c r="BW87" s="391"/>
      <c r="BX87" s="391"/>
      <c r="BY87" s="391"/>
      <c r="BZ87" s="555"/>
      <c r="CA87" s="391"/>
      <c r="CB87" s="391"/>
      <c r="CC87" s="391"/>
      <c r="CD87" s="391"/>
      <c r="CE87" s="391"/>
    </row>
    <row r="88" spans="1:103" s="390" customFormat="1" x14ac:dyDescent="0.25">
      <c r="R88" s="391"/>
      <c r="S88" s="391"/>
      <c r="T88" s="391"/>
      <c r="U88" s="391"/>
      <c r="V88" s="391"/>
      <c r="W88" s="391"/>
      <c r="X88" s="391"/>
      <c r="Y88" s="391"/>
      <c r="Z88" s="391"/>
      <c r="AA88" s="391"/>
      <c r="AB88" s="391"/>
      <c r="AC88" s="391"/>
      <c r="AD88" s="391"/>
      <c r="AE88" s="391"/>
      <c r="AF88" s="391"/>
      <c r="AG88" s="391"/>
      <c r="AH88" s="391"/>
      <c r="AI88" s="391"/>
      <c r="AJ88" s="391"/>
      <c r="AK88" s="391"/>
      <c r="AL88" s="391"/>
      <c r="AM88" s="391"/>
      <c r="AN88" s="391"/>
      <c r="AO88" s="391"/>
      <c r="AP88" s="391"/>
      <c r="AQ88" s="391"/>
      <c r="AR88" s="391"/>
      <c r="AS88" s="391"/>
      <c r="AT88" s="391"/>
      <c r="AU88" s="391"/>
      <c r="AV88" s="391"/>
      <c r="AW88" s="391"/>
      <c r="AX88" s="391"/>
      <c r="AY88" s="391"/>
      <c r="AZ88" s="391"/>
      <c r="BA88" s="391"/>
      <c r="BB88" s="391"/>
      <c r="BC88" s="391"/>
      <c r="BD88" s="391"/>
      <c r="BE88" s="391"/>
      <c r="BF88" s="391"/>
      <c r="BG88" s="391"/>
      <c r="BH88" s="391"/>
      <c r="BI88" s="391"/>
      <c r="BJ88" s="391"/>
      <c r="BK88" s="391"/>
      <c r="BL88" s="391"/>
      <c r="BM88" s="391"/>
      <c r="BN88" s="391"/>
      <c r="BO88" s="391"/>
      <c r="BP88" s="391"/>
      <c r="BQ88" s="391"/>
      <c r="BR88" s="391"/>
      <c r="BS88" s="391"/>
      <c r="BT88" s="391"/>
      <c r="BU88" s="391"/>
      <c r="BW88" s="391"/>
      <c r="BX88" s="391"/>
      <c r="BY88" s="391"/>
      <c r="BZ88" s="555"/>
      <c r="CA88" s="391"/>
      <c r="CB88" s="391"/>
      <c r="CC88" s="391"/>
      <c r="CD88" s="391"/>
      <c r="CE88" s="391"/>
    </row>
    <row r="89" spans="1:103" s="390" customFormat="1" x14ac:dyDescent="0.25">
      <c r="R89" s="391"/>
      <c r="S89" s="391"/>
      <c r="T89" s="391"/>
      <c r="U89" s="391"/>
      <c r="V89" s="391"/>
      <c r="W89" s="391"/>
      <c r="X89" s="391"/>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1"/>
      <c r="AZ89" s="391"/>
      <c r="BA89" s="391"/>
      <c r="BB89" s="391"/>
      <c r="BC89" s="391"/>
      <c r="BD89" s="391"/>
      <c r="BE89" s="391"/>
      <c r="BF89" s="391"/>
      <c r="BG89" s="391"/>
      <c r="BH89" s="391"/>
      <c r="BI89" s="391"/>
      <c r="BJ89" s="391"/>
      <c r="BK89" s="391"/>
      <c r="BL89" s="391"/>
      <c r="BM89" s="391"/>
      <c r="BN89" s="391"/>
      <c r="BO89" s="391"/>
      <c r="BP89" s="391"/>
      <c r="BQ89" s="391"/>
      <c r="BR89" s="391"/>
      <c r="BS89" s="391"/>
      <c r="BT89" s="391"/>
      <c r="BU89" s="391"/>
      <c r="BW89" s="391"/>
      <c r="BX89" s="391"/>
      <c r="BY89" s="391"/>
      <c r="BZ89" s="555"/>
      <c r="CA89" s="391"/>
      <c r="CB89" s="391"/>
      <c r="CC89" s="391"/>
      <c r="CD89" s="391"/>
      <c r="CE89" s="391"/>
    </row>
    <row r="90" spans="1:103" s="390" customFormat="1" x14ac:dyDescent="0.25">
      <c r="D90" s="555"/>
    </row>
    <row r="91" spans="1:103" s="422" customFormat="1" ht="15.6" x14ac:dyDescent="0.25">
      <c r="A91" s="390"/>
      <c r="B91" s="390"/>
      <c r="C91" s="608"/>
      <c r="D91" s="390"/>
      <c r="E91" s="390"/>
      <c r="F91" s="390"/>
      <c r="G91" s="390"/>
      <c r="H91" s="390"/>
      <c r="I91" s="390"/>
      <c r="J91" s="390"/>
      <c r="K91" s="390"/>
      <c r="L91" s="390"/>
      <c r="M91" s="390"/>
      <c r="N91" s="390"/>
      <c r="O91" s="390"/>
      <c r="P91" s="390"/>
      <c r="Q91" s="390"/>
      <c r="R91" s="390"/>
      <c r="S91" s="390"/>
      <c r="T91" s="390"/>
      <c r="U91" s="390"/>
      <c r="V91" s="390"/>
      <c r="W91" s="390"/>
      <c r="X91" s="390"/>
      <c r="Y91" s="390"/>
      <c r="Z91" s="390"/>
      <c r="AA91" s="390"/>
      <c r="AB91" s="390"/>
      <c r="AC91" s="390"/>
      <c r="AD91" s="390"/>
      <c r="AE91" s="390"/>
      <c r="AF91" s="418"/>
    </row>
    <row r="92" spans="1:103" x14ac:dyDescent="0.25">
      <c r="A92" s="390"/>
      <c r="B92" s="390"/>
      <c r="C92" s="555"/>
      <c r="D92" s="390"/>
      <c r="E92" s="390"/>
      <c r="F92" s="390"/>
      <c r="G92" s="390"/>
      <c r="H92" s="390"/>
      <c r="I92" s="390"/>
      <c r="J92" s="390"/>
      <c r="K92" s="390"/>
      <c r="L92" s="390"/>
      <c r="M92" s="390"/>
      <c r="N92" s="390"/>
      <c r="O92" s="390"/>
      <c r="P92" s="390"/>
      <c r="Q92" s="390"/>
      <c r="R92" s="390"/>
      <c r="S92" s="390"/>
      <c r="T92" s="390"/>
      <c r="U92" s="390"/>
      <c r="V92" s="390"/>
      <c r="W92" s="390"/>
      <c r="X92" s="390"/>
      <c r="Y92" s="390"/>
      <c r="Z92" s="390"/>
      <c r="AA92" s="390"/>
      <c r="AB92" s="390"/>
      <c r="AC92" s="390"/>
      <c r="AD92" s="390"/>
      <c r="AE92" s="390"/>
      <c r="AF92" s="452"/>
    </row>
    <row r="93" spans="1:103" ht="15.75" customHeight="1" x14ac:dyDescent="0.25">
      <c r="A93" s="1163" t="s">
        <v>17</v>
      </c>
      <c r="B93" s="1163"/>
      <c r="C93" s="1163"/>
      <c r="D93" s="1163"/>
      <c r="E93" s="1163"/>
      <c r="F93" s="390"/>
      <c r="G93" s="390"/>
      <c r="H93" s="390"/>
      <c r="I93" s="390"/>
      <c r="J93" s="390"/>
      <c r="K93" s="390"/>
      <c r="L93" s="390"/>
      <c r="M93" s="390"/>
      <c r="N93" s="390"/>
      <c r="O93" s="390"/>
      <c r="P93" s="390"/>
      <c r="Q93" s="390"/>
      <c r="R93" s="390"/>
      <c r="S93" s="390"/>
      <c r="T93" s="390"/>
      <c r="U93" s="390"/>
      <c r="V93" s="390"/>
      <c r="W93" s="390"/>
      <c r="X93" s="390"/>
      <c r="Y93" s="390"/>
      <c r="Z93" s="390"/>
      <c r="AA93" s="390"/>
      <c r="AB93" s="390"/>
      <c r="AC93" s="390"/>
      <c r="AD93" s="390"/>
      <c r="AE93" s="390"/>
      <c r="AF93" s="452"/>
    </row>
    <row r="94" spans="1:103" ht="15.75" customHeight="1" x14ac:dyDescent="0.25">
      <c r="A94" s="1163" t="str">
        <f>A66</f>
        <v>BOKARO STEEL PLANT</v>
      </c>
      <c r="B94" s="1163"/>
      <c r="C94" s="1163"/>
      <c r="D94" s="1163"/>
      <c r="E94" s="1163"/>
      <c r="F94" s="390"/>
      <c r="G94" s="390"/>
      <c r="H94" s="390"/>
      <c r="I94" s="390"/>
      <c r="J94" s="390"/>
      <c r="K94" s="390"/>
      <c r="L94" s="390"/>
      <c r="M94" s="390"/>
      <c r="N94" s="390"/>
      <c r="O94" s="390"/>
      <c r="P94" s="390"/>
      <c r="Q94" s="390"/>
      <c r="R94" s="390"/>
      <c r="S94" s="390"/>
      <c r="T94" s="390"/>
      <c r="U94" s="390"/>
      <c r="V94" s="390"/>
      <c r="W94" s="390"/>
      <c r="X94" s="390"/>
      <c r="Y94" s="390"/>
      <c r="Z94" s="390"/>
      <c r="AA94" s="390"/>
      <c r="AB94" s="390"/>
      <c r="AC94" s="390"/>
      <c r="AD94" s="390"/>
      <c r="AE94" s="390"/>
      <c r="AF94" s="452"/>
    </row>
    <row r="95" spans="1:103" ht="39" customHeight="1" x14ac:dyDescent="0.25">
      <c r="A95" s="1170" t="str">
        <f>A67</f>
        <v>Replacement of Balance 4 nos. battery cyclones by ESPs for SP I, BSL</v>
      </c>
      <c r="B95" s="1170"/>
      <c r="C95" s="1170"/>
      <c r="D95" s="1170"/>
      <c r="E95" s="1170"/>
      <c r="F95" s="390"/>
      <c r="G95" s="390"/>
      <c r="H95" s="390"/>
      <c r="I95" s="390"/>
      <c r="J95" s="390"/>
      <c r="K95" s="390"/>
      <c r="L95" s="390"/>
      <c r="M95" s="390"/>
      <c r="N95" s="390"/>
      <c r="O95" s="390"/>
      <c r="P95" s="390"/>
      <c r="Q95" s="390"/>
      <c r="R95" s="390"/>
      <c r="S95" s="390"/>
      <c r="T95" s="390"/>
      <c r="U95" s="390"/>
      <c r="V95" s="390"/>
      <c r="W95" s="390"/>
      <c r="X95" s="390"/>
      <c r="Y95" s="390"/>
      <c r="Z95" s="390"/>
      <c r="AA95" s="390"/>
      <c r="AB95" s="390"/>
      <c r="AC95" s="390"/>
      <c r="AD95" s="390"/>
      <c r="AE95" s="390"/>
      <c r="AF95" s="452"/>
    </row>
    <row r="96" spans="1:103" ht="15.75" hidden="1" customHeight="1" x14ac:dyDescent="0.25">
      <c r="A96" s="556"/>
      <c r="B96" s="556"/>
      <c r="C96" s="556"/>
      <c r="D96" s="395"/>
      <c r="E96" s="390"/>
      <c r="F96" s="390"/>
      <c r="G96" s="390"/>
      <c r="H96" s="390"/>
      <c r="I96" s="390"/>
      <c r="J96" s="390"/>
      <c r="K96" s="390"/>
      <c r="L96" s="390"/>
      <c r="M96" s="390"/>
      <c r="N96" s="390"/>
      <c r="O96" s="390"/>
      <c r="P96" s="390"/>
      <c r="Q96" s="390"/>
      <c r="R96" s="390"/>
      <c r="S96" s="390"/>
      <c r="T96" s="390"/>
      <c r="U96" s="390"/>
      <c r="V96" s="390"/>
      <c r="W96" s="390"/>
      <c r="X96" s="390"/>
      <c r="Y96" s="390"/>
      <c r="Z96" s="390"/>
      <c r="AA96" s="390"/>
      <c r="AB96" s="390"/>
      <c r="AC96" s="390"/>
      <c r="AD96" s="390"/>
      <c r="AE96" s="390"/>
      <c r="AF96" s="452"/>
    </row>
    <row r="97" spans="1:32" ht="15" customHeight="1" x14ac:dyDescent="0.25">
      <c r="A97" s="1162" t="s">
        <v>643</v>
      </c>
      <c r="B97" s="1162"/>
      <c r="C97" s="1162"/>
      <c r="D97" s="1162"/>
      <c r="E97" s="1162"/>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452"/>
    </row>
    <row r="98" spans="1:32" ht="15.6" x14ac:dyDescent="0.25">
      <c r="A98" s="1168" t="s">
        <v>644</v>
      </c>
      <c r="B98" s="1168"/>
      <c r="C98" s="1168"/>
      <c r="D98" s="1168"/>
      <c r="E98" s="1168"/>
      <c r="F98" s="390"/>
      <c r="G98" s="390"/>
      <c r="H98" s="390"/>
      <c r="I98" s="390"/>
      <c r="J98" s="390"/>
      <c r="K98" s="390"/>
      <c r="L98" s="390"/>
      <c r="M98" s="390"/>
      <c r="N98" s="390"/>
      <c r="O98" s="390"/>
      <c r="P98" s="390"/>
      <c r="Q98" s="390"/>
      <c r="R98" s="390"/>
      <c r="S98" s="390"/>
      <c r="T98" s="390"/>
      <c r="U98" s="390"/>
      <c r="V98" s="390"/>
      <c r="W98" s="390"/>
      <c r="X98" s="390"/>
      <c r="Y98" s="390"/>
      <c r="Z98" s="390"/>
      <c r="AA98" s="390"/>
      <c r="AB98" s="390"/>
      <c r="AC98" s="390"/>
      <c r="AD98" s="390"/>
      <c r="AE98" s="390"/>
      <c r="AF98" s="452"/>
    </row>
    <row r="99" spans="1:32" ht="15.6" x14ac:dyDescent="0.25">
      <c r="A99" s="390"/>
      <c r="B99" s="395"/>
      <c r="C99" s="609">
        <f>C71</f>
        <v>0</v>
      </c>
      <c r="D99" s="610">
        <f>D71</f>
        <v>0</v>
      </c>
      <c r="E99" s="390"/>
      <c r="F99" s="390"/>
      <c r="G99" s="390"/>
      <c r="H99" s="390"/>
      <c r="I99" s="390"/>
      <c r="J99" s="390"/>
      <c r="K99" s="390"/>
      <c r="L99" s="390"/>
      <c r="M99" s="390"/>
      <c r="N99" s="390"/>
      <c r="O99" s="390"/>
      <c r="P99" s="390"/>
      <c r="Q99" s="390"/>
      <c r="R99" s="390"/>
      <c r="S99" s="390"/>
      <c r="T99" s="390"/>
      <c r="U99" s="390"/>
      <c r="V99" s="390"/>
      <c r="W99" s="390"/>
      <c r="X99" s="390"/>
      <c r="Y99" s="390"/>
      <c r="Z99" s="390"/>
      <c r="AA99" s="390"/>
      <c r="AB99" s="390"/>
      <c r="AC99" s="390"/>
      <c r="AD99" s="390"/>
      <c r="AE99" s="390"/>
      <c r="AF99" s="452"/>
    </row>
    <row r="100" spans="1:32" ht="15.6" x14ac:dyDescent="0.25">
      <c r="A100" s="390"/>
      <c r="B100" s="395"/>
      <c r="C100" s="609">
        <f>C72</f>
        <v>0</v>
      </c>
      <c r="D100" s="610">
        <f>D72</f>
        <v>0</v>
      </c>
      <c r="E100" s="390"/>
      <c r="F100" s="390"/>
      <c r="G100" s="390"/>
      <c r="H100" s="390"/>
      <c r="I100" s="390"/>
      <c r="J100" s="390"/>
      <c r="K100" s="390"/>
      <c r="L100" s="390"/>
      <c r="M100" s="390"/>
      <c r="N100" s="390"/>
      <c r="O100" s="390"/>
      <c r="P100" s="390"/>
      <c r="Q100" s="390"/>
      <c r="R100" s="390"/>
      <c r="S100" s="390"/>
      <c r="T100" s="390"/>
      <c r="U100" s="390"/>
      <c r="V100" s="390"/>
      <c r="W100" s="390"/>
      <c r="X100" s="390"/>
      <c r="Y100" s="390"/>
      <c r="Z100" s="390"/>
      <c r="AA100" s="390"/>
      <c r="AB100" s="390"/>
      <c r="AC100" s="390"/>
      <c r="AD100" s="390"/>
      <c r="AE100" s="390"/>
      <c r="AF100" s="452"/>
    </row>
    <row r="101" spans="1:32" ht="24" customHeight="1" thickBot="1" x14ac:dyDescent="0.3">
      <c r="A101" s="395" t="str">
        <f>+O4</f>
        <v>Base date: 1st Qtr 2022</v>
      </c>
      <c r="B101" s="390"/>
      <c r="C101" s="1169" t="str">
        <f>O6</f>
        <v>Figures in Rs. Crore</v>
      </c>
      <c r="D101" s="1169"/>
      <c r="E101" s="1169"/>
      <c r="F101" s="390"/>
      <c r="G101" s="395"/>
      <c r="H101" s="390"/>
      <c r="I101" s="390"/>
      <c r="J101" s="395"/>
      <c r="K101" s="390"/>
      <c r="L101" s="390"/>
      <c r="M101" s="390"/>
      <c r="N101" s="390"/>
      <c r="O101" s="390"/>
      <c r="P101" s="390"/>
      <c r="Q101" s="390"/>
      <c r="R101" s="390"/>
      <c r="S101" s="390"/>
      <c r="T101" s="390"/>
      <c r="U101" s="390"/>
      <c r="V101" s="390"/>
      <c r="W101" s="390"/>
      <c r="X101" s="390"/>
      <c r="Y101" s="390"/>
      <c r="Z101" s="390"/>
      <c r="AA101" s="390"/>
      <c r="AB101" s="390"/>
      <c r="AC101" s="390"/>
      <c r="AD101" s="390"/>
      <c r="AE101" s="390"/>
      <c r="AF101" s="452"/>
    </row>
    <row r="102" spans="1:32" ht="15.6" x14ac:dyDescent="0.3">
      <c r="A102" s="611" t="s">
        <v>645</v>
      </c>
      <c r="B102" s="612" t="s">
        <v>0</v>
      </c>
      <c r="C102" s="613" t="s">
        <v>484</v>
      </c>
      <c r="D102" s="614" t="s">
        <v>532</v>
      </c>
      <c r="E102" s="615" t="s">
        <v>646</v>
      </c>
      <c r="F102" s="390"/>
      <c r="G102" s="390"/>
      <c r="H102" s="390"/>
      <c r="I102" s="390"/>
      <c r="J102" s="395"/>
      <c r="K102" s="390"/>
      <c r="L102" s="390"/>
      <c r="M102" s="390"/>
      <c r="N102" s="390"/>
      <c r="O102" s="390"/>
      <c r="P102" s="390"/>
      <c r="Q102" s="390"/>
      <c r="R102" s="390"/>
      <c r="S102" s="390"/>
      <c r="T102" s="390"/>
      <c r="U102" s="390"/>
      <c r="V102" s="390"/>
      <c r="W102" s="390"/>
      <c r="X102" s="390"/>
      <c r="Y102" s="390"/>
      <c r="Z102" s="390"/>
      <c r="AA102" s="390"/>
      <c r="AB102" s="390"/>
      <c r="AC102" s="390"/>
      <c r="AD102" s="390"/>
      <c r="AE102" s="390"/>
      <c r="AF102" s="452"/>
    </row>
    <row r="103" spans="1:32" ht="16.2" thickBot="1" x14ac:dyDescent="0.3">
      <c r="A103" s="616" t="s">
        <v>647</v>
      </c>
      <c r="B103" s="617"/>
      <c r="C103" s="618"/>
      <c r="D103" s="619"/>
      <c r="E103" s="62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452"/>
    </row>
    <row r="104" spans="1:32" ht="24.9" customHeight="1" x14ac:dyDescent="0.25">
      <c r="A104" s="621">
        <v>1</v>
      </c>
      <c r="B104" s="622" t="s">
        <v>648</v>
      </c>
      <c r="C104" s="418">
        <f>SUM(D18:E21,J18:J21)</f>
        <v>0</v>
      </c>
      <c r="D104" s="422">
        <f>SUM(F18:G21,K18:K21)</f>
        <v>79.853085443976269</v>
      </c>
      <c r="E104" s="622">
        <f>C104+D104</f>
        <v>79.853085443976269</v>
      </c>
      <c r="F104" s="390"/>
      <c r="G104" s="390"/>
      <c r="H104" s="390"/>
      <c r="I104" s="390"/>
      <c r="J104" s="390"/>
      <c r="K104" s="390"/>
      <c r="L104" s="390"/>
      <c r="M104" s="390"/>
      <c r="N104" s="390"/>
      <c r="O104" s="390"/>
      <c r="P104" s="390"/>
      <c r="Q104" s="390"/>
      <c r="R104" s="390"/>
      <c r="S104" s="390"/>
      <c r="T104" s="390"/>
      <c r="U104" s="390"/>
      <c r="V104" s="390"/>
      <c r="W104" s="390"/>
      <c r="X104" s="390"/>
      <c r="Y104" s="390"/>
      <c r="Z104" s="390"/>
      <c r="AA104" s="390"/>
      <c r="AB104" s="390"/>
      <c r="AC104" s="390"/>
      <c r="AD104" s="390"/>
      <c r="AE104" s="390"/>
      <c r="AF104" s="452"/>
    </row>
    <row r="105" spans="1:32" ht="24.9" customHeight="1" x14ac:dyDescent="0.25">
      <c r="A105" s="623">
        <v>2</v>
      </c>
      <c r="B105" s="624" t="s">
        <v>649</v>
      </c>
      <c r="C105" s="452">
        <f>SUM(H18:H21)</f>
        <v>0</v>
      </c>
      <c r="D105" s="457">
        <f>SUM(I18:I21)</f>
        <v>0</v>
      </c>
      <c r="E105" s="624">
        <f t="shared" ref="E105:E114" si="4">C105+D105</f>
        <v>0</v>
      </c>
      <c r="F105" s="390"/>
      <c r="G105" s="390"/>
      <c r="H105" s="390"/>
      <c r="I105" s="390"/>
      <c r="J105" s="390"/>
      <c r="K105" s="390"/>
      <c r="L105" s="390"/>
      <c r="M105" s="390"/>
      <c r="N105" s="390"/>
      <c r="O105" s="390"/>
      <c r="P105" s="390"/>
      <c r="Q105" s="390"/>
      <c r="R105" s="390"/>
      <c r="S105" s="390"/>
      <c r="T105" s="390"/>
      <c r="U105" s="390"/>
      <c r="V105" s="390"/>
      <c r="W105" s="390"/>
      <c r="X105" s="390"/>
      <c r="Y105" s="390"/>
      <c r="Z105" s="390"/>
      <c r="AA105" s="390"/>
      <c r="AB105" s="390"/>
      <c r="AC105" s="390"/>
      <c r="AD105" s="390"/>
      <c r="AE105" s="390"/>
      <c r="AF105" s="452"/>
    </row>
    <row r="106" spans="1:32" ht="24.9" customHeight="1" x14ac:dyDescent="0.25">
      <c r="A106" s="623">
        <v>3</v>
      </c>
      <c r="B106" s="624" t="s">
        <v>650</v>
      </c>
      <c r="C106" s="452"/>
      <c r="D106" s="457">
        <f>SUM(L18:M21)</f>
        <v>0.54</v>
      </c>
      <c r="E106" s="624">
        <f t="shared" si="4"/>
        <v>0.54</v>
      </c>
      <c r="F106" s="390"/>
      <c r="G106" s="390"/>
      <c r="H106" s="390"/>
      <c r="I106" s="390"/>
      <c r="J106" s="390"/>
      <c r="K106" s="390"/>
      <c r="L106" s="390"/>
      <c r="M106" s="390"/>
      <c r="N106" s="390"/>
      <c r="O106" s="390"/>
      <c r="P106" s="390"/>
      <c r="Q106" s="390"/>
      <c r="R106" s="390"/>
      <c r="S106" s="390"/>
      <c r="T106" s="390"/>
      <c r="U106" s="390"/>
      <c r="V106" s="390"/>
      <c r="W106" s="390"/>
      <c r="X106" s="390"/>
      <c r="Y106" s="390"/>
      <c r="Z106" s="390"/>
      <c r="AA106" s="390"/>
      <c r="AB106" s="390"/>
      <c r="AC106" s="390"/>
      <c r="AD106" s="390"/>
      <c r="AE106" s="390"/>
      <c r="AF106" s="452"/>
    </row>
    <row r="107" spans="1:32" ht="24.9" customHeight="1" x14ac:dyDescent="0.25">
      <c r="A107" s="623">
        <v>4</v>
      </c>
      <c r="B107" s="624" t="s">
        <v>510</v>
      </c>
      <c r="C107" s="452">
        <f>SUM(N18:N21)</f>
        <v>0</v>
      </c>
      <c r="D107" s="457">
        <f>SUM(O18:O21)</f>
        <v>0</v>
      </c>
      <c r="E107" s="624">
        <f t="shared" si="4"/>
        <v>0</v>
      </c>
      <c r="F107" s="390"/>
      <c r="G107" s="390"/>
      <c r="H107" s="390"/>
      <c r="I107" s="390"/>
      <c r="J107" s="390"/>
      <c r="K107" s="390"/>
      <c r="L107" s="390"/>
      <c r="M107" s="390"/>
      <c r="N107" s="390"/>
      <c r="O107" s="390"/>
      <c r="P107" s="390"/>
      <c r="Q107" s="390"/>
      <c r="R107" s="390"/>
      <c r="S107" s="390"/>
      <c r="T107" s="390"/>
      <c r="U107" s="390"/>
      <c r="V107" s="390"/>
      <c r="W107" s="390"/>
      <c r="X107" s="390"/>
      <c r="Y107" s="390"/>
      <c r="Z107" s="390"/>
      <c r="AA107" s="390"/>
      <c r="AB107" s="390"/>
      <c r="AC107" s="390"/>
      <c r="AD107" s="390"/>
      <c r="AE107" s="390"/>
      <c r="AF107" s="452"/>
    </row>
    <row r="108" spans="1:32" ht="24.9" customHeight="1" x14ac:dyDescent="0.25">
      <c r="A108" s="623">
        <v>5</v>
      </c>
      <c r="B108" s="624" t="s">
        <v>651</v>
      </c>
      <c r="C108" s="452"/>
      <c r="D108" s="457">
        <f>SUM(P18:Q21)</f>
        <v>9.3135279915652198</v>
      </c>
      <c r="E108" s="624">
        <f t="shared" si="4"/>
        <v>9.3135279915652198</v>
      </c>
      <c r="F108" s="390"/>
      <c r="G108" s="390"/>
      <c r="H108" s="390"/>
      <c r="I108" s="390"/>
      <c r="J108" s="390"/>
      <c r="K108" s="390"/>
      <c r="L108" s="390"/>
      <c r="M108" s="390"/>
      <c r="N108" s="390"/>
      <c r="O108" s="390"/>
      <c r="P108" s="390"/>
      <c r="Q108" s="390"/>
      <c r="R108" s="390"/>
      <c r="S108" s="390"/>
      <c r="T108" s="390"/>
      <c r="U108" s="390"/>
      <c r="V108" s="418"/>
      <c r="W108" s="422"/>
      <c r="X108" s="422"/>
      <c r="Y108" s="422"/>
      <c r="Z108" s="422"/>
      <c r="AA108" s="422"/>
      <c r="AB108" s="422"/>
      <c r="AC108" s="422"/>
      <c r="AD108" s="422"/>
      <c r="AE108" s="422"/>
    </row>
    <row r="109" spans="1:32" ht="24.9" customHeight="1" x14ac:dyDescent="0.25">
      <c r="A109" s="623">
        <v>6</v>
      </c>
      <c r="B109" s="624" t="s">
        <v>652</v>
      </c>
      <c r="C109" s="452"/>
      <c r="D109" s="457">
        <f>SUM(R18:U21)</f>
        <v>17.364217088795254</v>
      </c>
      <c r="E109" s="624">
        <f t="shared" si="4"/>
        <v>17.364217088795254</v>
      </c>
      <c r="F109" s="390"/>
      <c r="G109" s="390"/>
      <c r="H109" s="390"/>
      <c r="I109" s="390"/>
      <c r="J109" s="390"/>
      <c r="K109" s="390"/>
      <c r="L109" s="390"/>
      <c r="M109" s="390"/>
      <c r="N109" s="390"/>
      <c r="O109" s="390"/>
      <c r="P109" s="390"/>
      <c r="Q109" s="390"/>
      <c r="R109" s="390"/>
      <c r="S109" s="390"/>
      <c r="T109" s="390"/>
      <c r="U109" s="390"/>
      <c r="V109" s="452"/>
    </row>
    <row r="110" spans="1:32" ht="24.9" customHeight="1" x14ac:dyDescent="0.25">
      <c r="A110" s="623">
        <v>7</v>
      </c>
      <c r="B110" s="624" t="s">
        <v>653</v>
      </c>
      <c r="C110" s="452">
        <f>SUM(V18:W21)</f>
        <v>0</v>
      </c>
      <c r="D110" s="457">
        <f>SUM(X18:Y21)</f>
        <v>8.0303122893252574</v>
      </c>
      <c r="E110" s="624">
        <f t="shared" si="4"/>
        <v>8.0303122893252574</v>
      </c>
      <c r="F110" s="390"/>
      <c r="G110" s="390"/>
      <c r="H110" s="390"/>
      <c r="I110" s="390"/>
      <c r="J110" s="390"/>
      <c r="K110" s="390"/>
      <c r="L110" s="390"/>
      <c r="M110" s="390"/>
      <c r="N110" s="390"/>
      <c r="O110" s="390"/>
      <c r="P110" s="390"/>
      <c r="Q110" s="390"/>
      <c r="R110" s="390"/>
      <c r="S110" s="390"/>
      <c r="T110" s="390"/>
      <c r="U110" s="390"/>
      <c r="V110" s="452"/>
    </row>
    <row r="111" spans="1:32" ht="24.9" customHeight="1" x14ac:dyDescent="0.25">
      <c r="A111" s="623">
        <v>8</v>
      </c>
      <c r="B111" s="624" t="s">
        <v>654</v>
      </c>
      <c r="C111" s="452">
        <f>SUM(Z18:Z21)</f>
        <v>0</v>
      </c>
      <c r="D111" s="457">
        <f>SUM(AA18:AB21)</f>
        <v>1.8696617088795253</v>
      </c>
      <c r="E111" s="624">
        <f t="shared" si="4"/>
        <v>1.8696617088795253</v>
      </c>
      <c r="F111" s="390"/>
      <c r="G111" s="390"/>
      <c r="H111" s="390"/>
      <c r="I111" s="390"/>
      <c r="J111" s="390"/>
      <c r="K111" s="390"/>
      <c r="L111" s="390"/>
      <c r="M111" s="390"/>
      <c r="N111" s="390"/>
      <c r="O111" s="390"/>
      <c r="P111" s="390"/>
      <c r="Q111" s="390"/>
      <c r="R111" s="390"/>
      <c r="S111" s="390"/>
      <c r="T111" s="390"/>
      <c r="U111" s="390"/>
      <c r="V111" s="452"/>
    </row>
    <row r="112" spans="1:32" ht="24.9" customHeight="1" x14ac:dyDescent="0.25">
      <c r="A112" s="623">
        <v>9</v>
      </c>
      <c r="B112" s="624" t="s">
        <v>655</v>
      </c>
      <c r="C112" s="452"/>
      <c r="D112" s="457">
        <f>SUM(AC18:AI21)</f>
        <v>20.572926076697961</v>
      </c>
      <c r="E112" s="624">
        <f t="shared" si="4"/>
        <v>20.572926076697961</v>
      </c>
      <c r="F112" s="390"/>
      <c r="G112" s="390"/>
      <c r="H112" s="390"/>
      <c r="I112" s="390"/>
      <c r="J112" s="390"/>
      <c r="K112" s="390"/>
      <c r="L112" s="390"/>
      <c r="M112" s="390"/>
      <c r="N112" s="390"/>
      <c r="O112" s="390"/>
      <c r="P112" s="390"/>
      <c r="Q112" s="390"/>
      <c r="R112" s="390"/>
      <c r="S112" s="390"/>
      <c r="T112" s="390"/>
      <c r="U112" s="390"/>
      <c r="V112" s="452"/>
    </row>
    <row r="113" spans="1:22" ht="24.9" customHeight="1" x14ac:dyDescent="0.25">
      <c r="A113" s="623">
        <v>10</v>
      </c>
      <c r="B113" s="624" t="s">
        <v>506</v>
      </c>
      <c r="C113" s="452">
        <f>SUM(T78:T81)</f>
        <v>0</v>
      </c>
      <c r="D113" s="457">
        <f>E113-C113</f>
        <v>0</v>
      </c>
      <c r="E113" s="624">
        <f>SUM(S78:S81)</f>
        <v>0</v>
      </c>
      <c r="F113" s="390"/>
      <c r="G113" s="390"/>
      <c r="H113" s="390"/>
      <c r="I113" s="390"/>
      <c r="J113" s="390"/>
      <c r="K113" s="390"/>
      <c r="L113" s="390"/>
      <c r="M113" s="390"/>
      <c r="N113" s="390"/>
      <c r="O113" s="390"/>
      <c r="P113" s="390"/>
      <c r="Q113" s="390"/>
      <c r="R113" s="390"/>
      <c r="S113" s="390"/>
      <c r="T113" s="390"/>
      <c r="U113" s="390"/>
      <c r="V113" s="452"/>
    </row>
    <row r="114" spans="1:22" ht="24.9" customHeight="1" x14ac:dyDescent="0.25">
      <c r="A114" s="623">
        <v>11</v>
      </c>
      <c r="B114" s="624" t="s">
        <v>656</v>
      </c>
      <c r="C114" s="452">
        <f>SUM(AQ18:AQ21)</f>
        <v>0</v>
      </c>
      <c r="D114" s="457">
        <f>SUM(AR18:AR21)</f>
        <v>6.8771865299619748</v>
      </c>
      <c r="E114" s="624">
        <f t="shared" si="4"/>
        <v>6.8771865299619748</v>
      </c>
      <c r="F114" s="390"/>
      <c r="G114" s="390"/>
      <c r="H114" s="390"/>
      <c r="I114" s="390"/>
      <c r="J114" s="390"/>
      <c r="K114" s="390"/>
      <c r="L114" s="390"/>
      <c r="M114" s="418"/>
      <c r="N114" s="422"/>
      <c r="O114" s="422"/>
      <c r="P114" s="422"/>
      <c r="Q114" s="422"/>
      <c r="R114" s="422"/>
      <c r="S114" s="422"/>
      <c r="T114" s="422"/>
      <c r="U114" s="422"/>
    </row>
    <row r="115" spans="1:22" ht="24.9" customHeight="1" x14ac:dyDescent="0.25">
      <c r="A115" s="625">
        <v>12</v>
      </c>
      <c r="B115" s="626" t="s">
        <v>657</v>
      </c>
      <c r="C115" s="476">
        <f>SUM(C104:C114)</f>
        <v>0</v>
      </c>
      <c r="D115" s="458">
        <f>SUM(D104:D114)</f>
        <v>144.42091712920148</v>
      </c>
      <c r="E115" s="626">
        <f>SUM(E104:E114)</f>
        <v>144.42091712920148</v>
      </c>
      <c r="F115" s="390"/>
      <c r="G115" s="390"/>
      <c r="H115" s="390"/>
      <c r="I115" s="390"/>
      <c r="J115" s="390"/>
      <c r="K115" s="390"/>
      <c r="L115" s="390"/>
      <c r="M115" s="452"/>
    </row>
    <row r="116" spans="1:22" ht="24.9" customHeight="1" x14ac:dyDescent="0.25">
      <c r="A116" s="623">
        <v>13</v>
      </c>
      <c r="B116" s="624" t="s">
        <v>658</v>
      </c>
      <c r="C116" s="452"/>
      <c r="E116" s="624">
        <f>AU23</f>
        <v>11.463410297130368</v>
      </c>
      <c r="F116" s="390"/>
      <c r="G116" s="390"/>
      <c r="H116" s="390"/>
      <c r="I116" s="390"/>
      <c r="J116" s="390"/>
      <c r="K116" s="390"/>
      <c r="L116" s="390"/>
      <c r="M116" s="452"/>
    </row>
    <row r="117" spans="1:22" ht="19.5" customHeight="1" x14ac:dyDescent="0.25">
      <c r="A117" s="623">
        <v>14</v>
      </c>
      <c r="B117" s="626" t="s">
        <v>659</v>
      </c>
      <c r="C117" s="452"/>
      <c r="E117" s="626">
        <f>+E116+E115</f>
        <v>155.88432742633185</v>
      </c>
      <c r="F117" s="390"/>
      <c r="G117" s="390"/>
      <c r="H117" s="390"/>
      <c r="I117" s="390"/>
      <c r="J117" s="395"/>
      <c r="K117" s="390"/>
      <c r="L117" s="390"/>
      <c r="M117" s="452"/>
    </row>
    <row r="118" spans="1:22" ht="18.75" customHeight="1" x14ac:dyDescent="0.25">
      <c r="A118" s="623">
        <v>15</v>
      </c>
      <c r="B118" s="624" t="str">
        <f>B85</f>
        <v>Input tax credit (ITC)</v>
      </c>
      <c r="C118" s="452"/>
      <c r="E118" s="624">
        <f>-AU25</f>
        <v>-19.96290507093622</v>
      </c>
      <c r="F118" s="390"/>
      <c r="G118" s="390"/>
      <c r="H118" s="390"/>
      <c r="I118" s="390"/>
      <c r="J118" s="390"/>
      <c r="K118" s="390"/>
      <c r="L118" s="390"/>
      <c r="M118" s="452"/>
    </row>
    <row r="119" spans="1:22" ht="21" customHeight="1" thickBot="1" x14ac:dyDescent="0.3">
      <c r="A119" s="627">
        <v>16</v>
      </c>
      <c r="B119" s="617" t="str">
        <f>B86</f>
        <v>Capital Cost net of ITC</v>
      </c>
      <c r="C119" s="618"/>
      <c r="D119" s="619"/>
      <c r="E119" s="617">
        <f>+E117+E118</f>
        <v>135.92142235539563</v>
      </c>
      <c r="F119" s="390"/>
      <c r="G119" s="390"/>
      <c r="H119" s="390"/>
      <c r="I119" s="390"/>
      <c r="J119" s="395"/>
      <c r="K119" s="390"/>
      <c r="L119" s="390"/>
      <c r="M119" s="452"/>
    </row>
    <row r="120" spans="1:22" s="536" customFormat="1" x14ac:dyDescent="0.25">
      <c r="A120" s="390"/>
      <c r="B120" s="390"/>
      <c r="C120" s="390"/>
      <c r="D120" s="390"/>
      <c r="E120" s="390"/>
      <c r="F120" s="390"/>
      <c r="G120" s="390"/>
      <c r="H120" s="390"/>
      <c r="I120" s="390"/>
      <c r="J120" s="390"/>
      <c r="K120" s="390"/>
      <c r="L120" s="390"/>
      <c r="M120" s="628"/>
    </row>
    <row r="121" spans="1:22" s="390" customFormat="1" x14ac:dyDescent="0.25"/>
    <row r="122" spans="1:22" s="390" customFormat="1" x14ac:dyDescent="0.25"/>
    <row r="123" spans="1:22" s="390" customFormat="1" x14ac:dyDescent="0.25"/>
    <row r="124" spans="1:22" s="390" customFormat="1" x14ac:dyDescent="0.25"/>
    <row r="125" spans="1:22" s="390" customFormat="1" x14ac:dyDescent="0.25"/>
    <row r="126" spans="1:22" s="390" customFormat="1" x14ac:dyDescent="0.25"/>
    <row r="127" spans="1:22" s="390" customFormat="1" x14ac:dyDescent="0.25"/>
    <row r="128" spans="1:22" s="390" customFormat="1" x14ac:dyDescent="0.25"/>
    <row r="129" s="390" customFormat="1" x14ac:dyDescent="0.25"/>
    <row r="130" s="390" customFormat="1" x14ac:dyDescent="0.25"/>
    <row r="131" s="390" customFormat="1" x14ac:dyDescent="0.25"/>
    <row r="132" s="390" customFormat="1" x14ac:dyDescent="0.25"/>
    <row r="133" s="390" customFormat="1" x14ac:dyDescent="0.25"/>
    <row r="134" s="390" customFormat="1" x14ac:dyDescent="0.25"/>
    <row r="135" s="390" customFormat="1" x14ac:dyDescent="0.25"/>
    <row r="136" s="390" customFormat="1" x14ac:dyDescent="0.25"/>
    <row r="137" s="390" customFormat="1" x14ac:dyDescent="0.25"/>
    <row r="138" s="390" customFormat="1" x14ac:dyDescent="0.25"/>
    <row r="139" s="390" customFormat="1" x14ac:dyDescent="0.25"/>
    <row r="140" s="390" customFormat="1" x14ac:dyDescent="0.25"/>
  </sheetData>
  <mergeCells count="44">
    <mergeCell ref="A98:E98"/>
    <mergeCell ref="C101:E101"/>
    <mergeCell ref="O73:P73"/>
    <mergeCell ref="Q73:R73"/>
    <mergeCell ref="A93:E93"/>
    <mergeCell ref="A94:E94"/>
    <mergeCell ref="A95:E95"/>
    <mergeCell ref="A97:E97"/>
    <mergeCell ref="A66:V66"/>
    <mergeCell ref="A67:V67"/>
    <mergeCell ref="A69:V69"/>
    <mergeCell ref="O71:P71"/>
    <mergeCell ref="O72:P72"/>
    <mergeCell ref="C73:D73"/>
    <mergeCell ref="E73:F73"/>
    <mergeCell ref="G73:H73"/>
    <mergeCell ref="I73:J73"/>
    <mergeCell ref="M73:N73"/>
    <mergeCell ref="W14:X14"/>
    <mergeCell ref="W38:Z38"/>
    <mergeCell ref="Y39:Z39"/>
    <mergeCell ref="A65:V65"/>
    <mergeCell ref="P12:Q12"/>
    <mergeCell ref="R12:U12"/>
    <mergeCell ref="D13:E13"/>
    <mergeCell ref="F13:G13"/>
    <mergeCell ref="V13:X13"/>
    <mergeCell ref="AV13:AX13"/>
    <mergeCell ref="AC12:AG12"/>
    <mergeCell ref="AH12:AJ12"/>
    <mergeCell ref="V12:Y12"/>
    <mergeCell ref="Z12:AB12"/>
    <mergeCell ref="AK12:AL12"/>
    <mergeCell ref="AM12:AN12"/>
    <mergeCell ref="AO12:AP12"/>
    <mergeCell ref="AQ12:AR12"/>
    <mergeCell ref="E1:K1"/>
    <mergeCell ref="BE5:BE6"/>
    <mergeCell ref="E6:K6"/>
    <mergeCell ref="D12:G12"/>
    <mergeCell ref="L12:M12"/>
    <mergeCell ref="N12:O12"/>
    <mergeCell ref="AS12:AU12"/>
    <mergeCell ref="AV12:AX12"/>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34"/>
  <sheetViews>
    <sheetView showZeros="0" topLeftCell="A22" workbookViewId="0">
      <selection activeCell="F20" sqref="F20"/>
    </sheetView>
  </sheetViews>
  <sheetFormatPr defaultColWidth="8.90625" defaultRowHeight="14.4" x14ac:dyDescent="0.3"/>
  <cols>
    <col min="1" max="1" width="6.453125" style="672" customWidth="1"/>
    <col min="2" max="2" width="43.36328125" style="672" customWidth="1"/>
    <col min="3" max="3" width="11.08984375" style="672" customWidth="1"/>
    <col min="4" max="4" width="13.08984375" style="672" customWidth="1"/>
    <col min="5" max="5" width="13.90625" style="672" customWidth="1"/>
    <col min="6" max="6" width="12.453125" style="672" customWidth="1"/>
    <col min="7" max="7" width="13" style="672" customWidth="1"/>
    <col min="8" max="8" width="11" style="672" customWidth="1"/>
    <col min="9" max="9" width="9.90625" style="672" customWidth="1"/>
    <col min="10" max="10" width="11.08984375" style="672" customWidth="1"/>
    <col min="11" max="11" width="9.453125" style="672" customWidth="1"/>
    <col min="12" max="12" width="9.54296875" style="672" customWidth="1"/>
    <col min="13" max="13" width="10.81640625" style="687" customWidth="1"/>
    <col min="14" max="14" width="6.54296875" style="687" customWidth="1"/>
    <col min="15" max="15" width="7.54296875" style="687" customWidth="1"/>
    <col min="16" max="16" width="10.08984375" style="672" customWidth="1"/>
    <col min="17" max="17" width="9.453125" style="672" customWidth="1"/>
    <col min="18" max="18" width="11" style="672" customWidth="1"/>
    <col min="19" max="19" width="14" style="672" customWidth="1"/>
    <col min="20" max="20" width="9.90625" style="672" customWidth="1"/>
    <col min="21" max="24" width="8.90625" style="672"/>
    <col min="25" max="25" width="15" style="672" customWidth="1"/>
    <col min="26" max="26" width="6.453125" style="672" customWidth="1"/>
    <col min="27" max="27" width="5.6328125" style="672" customWidth="1"/>
    <col min="28" max="28" width="9.08984375" style="672" customWidth="1"/>
    <col min="29" max="31" width="8.90625" style="672"/>
    <col min="32" max="32" width="11.6328125" style="672" customWidth="1"/>
    <col min="33" max="16384" width="8.90625" style="672"/>
  </cols>
  <sheetData>
    <row r="1" spans="1:256" ht="15.6" x14ac:dyDescent="0.3">
      <c r="A1" s="668"/>
      <c r="B1" s="668"/>
      <c r="C1" s="668"/>
      <c r="D1" s="668"/>
      <c r="E1" s="669" t="s">
        <v>718</v>
      </c>
      <c r="F1" s="668"/>
      <c r="G1" s="668"/>
      <c r="H1" s="670"/>
      <c r="I1" s="670"/>
      <c r="J1" s="670"/>
      <c r="K1" s="670"/>
      <c r="L1" s="670"/>
      <c r="M1" s="671"/>
      <c r="N1" s="671"/>
      <c r="O1" s="671"/>
      <c r="P1" s="670"/>
      <c r="Q1" s="670"/>
    </row>
    <row r="2" spans="1:256" ht="15.6" x14ac:dyDescent="0.3">
      <c r="A2" s="668"/>
      <c r="B2" s="668"/>
      <c r="D2" s="668"/>
      <c r="F2" s="669"/>
      <c r="G2" s="669"/>
      <c r="H2" s="673"/>
      <c r="I2" s="670"/>
      <c r="J2" s="670"/>
      <c r="K2" s="670"/>
      <c r="L2" s="670"/>
      <c r="M2" s="671"/>
      <c r="N2" s="671"/>
      <c r="O2" s="671"/>
      <c r="P2" s="674"/>
      <c r="Q2" s="670"/>
    </row>
    <row r="3" spans="1:256" ht="15.6" x14ac:dyDescent="0.3">
      <c r="A3" s="668"/>
      <c r="B3" s="668"/>
      <c r="D3" s="668"/>
      <c r="E3" s="675" t="s">
        <v>719</v>
      </c>
      <c r="F3" s="676"/>
      <c r="G3" s="676"/>
      <c r="H3" s="677"/>
      <c r="I3" s="670"/>
      <c r="J3" s="670"/>
      <c r="K3" s="678"/>
      <c r="L3" s="670"/>
      <c r="M3" s="671"/>
      <c r="N3" s="671"/>
      <c r="O3" s="671"/>
      <c r="P3" s="670"/>
      <c r="Q3" s="670"/>
    </row>
    <row r="4" spans="1:256" ht="15.6" x14ac:dyDescent="0.3">
      <c r="A4" s="668"/>
      <c r="B4" s="668"/>
      <c r="D4" s="668"/>
      <c r="E4" s="675" t="s">
        <v>720</v>
      </c>
      <c r="F4" s="676"/>
      <c r="G4" s="676"/>
      <c r="H4" s="679"/>
      <c r="I4" s="670"/>
      <c r="J4" s="670"/>
      <c r="K4" s="670"/>
      <c r="L4" s="670"/>
      <c r="M4" s="671"/>
      <c r="N4" s="671"/>
      <c r="O4" s="671"/>
      <c r="P4" s="670"/>
      <c r="Q4" s="670"/>
    </row>
    <row r="5" spans="1:256" ht="15.6" x14ac:dyDescent="0.3">
      <c r="A5" s="668"/>
      <c r="B5" s="668"/>
      <c r="C5" s="668"/>
      <c r="D5" s="668"/>
      <c r="E5" s="668"/>
      <c r="F5" s="668"/>
      <c r="G5" s="668"/>
      <c r="H5" s="670"/>
      <c r="I5" s="670"/>
      <c r="J5" s="670"/>
      <c r="K5" s="670"/>
      <c r="L5" s="670"/>
      <c r="M5" s="671"/>
      <c r="N5" s="671"/>
      <c r="O5" s="671"/>
      <c r="P5" s="156"/>
      <c r="Q5" s="670"/>
    </row>
    <row r="6" spans="1:256" ht="17.399999999999999" x14ac:dyDescent="0.3">
      <c r="A6" s="1171" t="s">
        <v>192</v>
      </c>
      <c r="B6" s="1171"/>
      <c r="C6" s="1171"/>
      <c r="D6" s="1171"/>
      <c r="E6" s="1171"/>
      <c r="F6" s="680"/>
      <c r="G6" s="680"/>
      <c r="H6" s="681"/>
      <c r="I6" s="670"/>
      <c r="J6" s="670"/>
      <c r="K6" s="670"/>
      <c r="L6" s="670"/>
      <c r="M6" s="671"/>
      <c r="N6" s="671"/>
      <c r="O6" s="671"/>
      <c r="P6" s="682"/>
      <c r="Q6" s="670"/>
    </row>
    <row r="7" spans="1:256" ht="17.399999999999999" x14ac:dyDescent="0.3">
      <c r="A7" s="1172" t="s">
        <v>721</v>
      </c>
      <c r="B7" s="1172"/>
      <c r="C7" s="1172"/>
      <c r="D7" s="1172"/>
      <c r="E7" s="1172"/>
      <c r="F7" s="680"/>
      <c r="G7" s="680"/>
      <c r="H7" s="681"/>
      <c r="I7" s="670"/>
      <c r="J7" s="670"/>
      <c r="K7" s="670"/>
      <c r="L7" s="670"/>
      <c r="M7" s="671"/>
      <c r="N7" s="671"/>
      <c r="O7" s="671"/>
      <c r="P7" s="670"/>
      <c r="Q7" s="670"/>
    </row>
    <row r="8" spans="1:256" ht="17.399999999999999" x14ac:dyDescent="0.3">
      <c r="A8" s="1173" t="s">
        <v>722</v>
      </c>
      <c r="B8" s="1173" t="s">
        <v>723</v>
      </c>
      <c r="C8" s="1173"/>
      <c r="D8" s="1173"/>
      <c r="E8" s="1173"/>
      <c r="F8" s="680"/>
      <c r="G8" s="680"/>
      <c r="H8" s="681"/>
      <c r="I8" s="670"/>
      <c r="J8" s="670"/>
      <c r="K8" s="670"/>
      <c r="L8" s="670"/>
      <c r="M8" s="671"/>
      <c r="N8" s="671"/>
      <c r="O8" s="671"/>
      <c r="P8" s="670"/>
      <c r="Q8" s="670"/>
    </row>
    <row r="9" spans="1:256" ht="15.6" x14ac:dyDescent="0.3">
      <c r="A9" s="1120" t="s">
        <v>724</v>
      </c>
      <c r="B9" s="1120"/>
      <c r="C9" s="1120"/>
      <c r="D9" s="1120"/>
      <c r="E9" s="1120"/>
      <c r="F9" s="684"/>
      <c r="G9" s="684"/>
      <c r="H9" s="684"/>
      <c r="I9" s="670"/>
      <c r="J9" s="670"/>
      <c r="K9" s="670"/>
      <c r="L9" s="668"/>
      <c r="M9" s="685"/>
      <c r="N9" s="685"/>
      <c r="O9" s="685"/>
      <c r="P9" s="668"/>
      <c r="Q9" s="668"/>
    </row>
    <row r="10" spans="1:256" ht="15.6" x14ac:dyDescent="0.3">
      <c r="A10" s="1174" t="s">
        <v>725</v>
      </c>
      <c r="B10" s="1174"/>
      <c r="C10" s="1174"/>
      <c r="D10" s="1174"/>
      <c r="E10" s="1174"/>
      <c r="F10" s="684"/>
      <c r="G10" s="684"/>
      <c r="H10" s="684"/>
      <c r="I10" s="670"/>
      <c r="J10" s="670"/>
      <c r="K10" s="670"/>
      <c r="L10" s="668"/>
      <c r="M10" s="685"/>
      <c r="N10" s="685"/>
      <c r="O10" s="685"/>
      <c r="P10" s="668"/>
      <c r="Q10" s="668"/>
    </row>
    <row r="11" spans="1:256" ht="15.6" x14ac:dyDescent="0.3">
      <c r="A11" s="683"/>
      <c r="B11" s="683"/>
      <c r="C11" s="683"/>
      <c r="D11" s="685"/>
      <c r="E11" s="685"/>
      <c r="F11" s="686"/>
      <c r="G11" s="686"/>
      <c r="H11" s="686"/>
      <c r="I11" s="671"/>
      <c r="J11" s="671"/>
      <c r="K11" s="671"/>
      <c r="L11" s="685"/>
      <c r="M11" s="685"/>
      <c r="N11" s="685"/>
      <c r="O11" s="685"/>
      <c r="P11" s="685"/>
      <c r="Q11" s="685"/>
      <c r="R11" s="687"/>
      <c r="S11" s="687"/>
      <c r="T11" s="687"/>
      <c r="U11" s="687"/>
      <c r="V11" s="687"/>
      <c r="W11" s="687"/>
      <c r="X11" s="687"/>
      <c r="Y11" s="687"/>
      <c r="Z11" s="687"/>
      <c r="AA11" s="687"/>
      <c r="AB11" s="687"/>
      <c r="AC11" s="687"/>
      <c r="AD11" s="687"/>
      <c r="AE11" s="687"/>
      <c r="AF11" s="687"/>
      <c r="AG11" s="687"/>
      <c r="AH11" s="687"/>
      <c r="AI11" s="687"/>
      <c r="AJ11" s="687"/>
      <c r="AK11" s="687"/>
      <c r="AL11" s="687"/>
      <c r="AM11" s="687"/>
      <c r="AN11" s="687"/>
      <c r="AO11" s="687"/>
      <c r="AP11" s="687"/>
      <c r="AQ11" s="687"/>
      <c r="AR11" s="687"/>
      <c r="AS11" s="687"/>
      <c r="AT11" s="687"/>
      <c r="AU11" s="687"/>
      <c r="AV11" s="687"/>
      <c r="AW11" s="687"/>
      <c r="AX11" s="687"/>
      <c r="AY11" s="687"/>
      <c r="AZ11" s="687"/>
      <c r="BA11" s="687"/>
      <c r="BB11" s="687"/>
      <c r="BC11" s="687"/>
      <c r="BD11" s="687"/>
      <c r="BE11" s="687"/>
      <c r="BF11" s="687"/>
      <c r="BG11" s="687"/>
      <c r="BH11" s="687"/>
      <c r="BI11" s="687"/>
      <c r="BJ11" s="687"/>
      <c r="BK11" s="687"/>
      <c r="BL11" s="687"/>
      <c r="BM11" s="687"/>
      <c r="BN11" s="687"/>
      <c r="BO11" s="687"/>
      <c r="BP11" s="687"/>
      <c r="BQ11" s="687"/>
      <c r="BR11" s="687"/>
      <c r="BS11" s="687"/>
      <c r="BT11" s="687"/>
      <c r="BU11" s="687"/>
      <c r="BV11" s="687"/>
      <c r="BW11" s="687"/>
      <c r="BX11" s="687"/>
      <c r="BY11" s="687"/>
      <c r="BZ11" s="687"/>
      <c r="CA11" s="687"/>
      <c r="CB11" s="687"/>
      <c r="CC11" s="687"/>
      <c r="CD11" s="687"/>
      <c r="CE11" s="687"/>
      <c r="CF11" s="687"/>
      <c r="CG11" s="687"/>
      <c r="CH11" s="687"/>
      <c r="CI11" s="687"/>
      <c r="CJ11" s="687"/>
      <c r="CK11" s="687"/>
      <c r="CL11" s="687"/>
      <c r="CM11" s="687"/>
      <c r="CN11" s="687"/>
      <c r="CO11" s="687"/>
      <c r="CP11" s="687"/>
      <c r="CQ11" s="687"/>
      <c r="CR11" s="687"/>
      <c r="CS11" s="687"/>
      <c r="CT11" s="687"/>
      <c r="CU11" s="687"/>
      <c r="CV11" s="687"/>
      <c r="CW11" s="687"/>
      <c r="CX11" s="687"/>
      <c r="CY11" s="687"/>
      <c r="CZ11" s="687"/>
      <c r="DA11" s="687"/>
      <c r="DB11" s="687"/>
      <c r="DC11" s="687"/>
      <c r="DD11" s="687"/>
      <c r="DE11" s="687"/>
      <c r="DF11" s="687"/>
      <c r="DG11" s="687"/>
      <c r="DH11" s="687"/>
      <c r="DI11" s="687"/>
      <c r="DJ11" s="687"/>
      <c r="DK11" s="687"/>
      <c r="DL11" s="687"/>
      <c r="DM11" s="687"/>
      <c r="DN11" s="687"/>
      <c r="DO11" s="687"/>
      <c r="DP11" s="687"/>
      <c r="DQ11" s="687"/>
      <c r="DR11" s="687"/>
      <c r="DS11" s="687"/>
      <c r="DT11" s="687"/>
      <c r="DU11" s="687"/>
      <c r="DV11" s="687"/>
      <c r="DW11" s="687"/>
      <c r="DX11" s="687"/>
      <c r="DY11" s="687"/>
      <c r="DZ11" s="687"/>
      <c r="EA11" s="687"/>
      <c r="EB11" s="687"/>
      <c r="EC11" s="687"/>
      <c r="ED11" s="687"/>
      <c r="EE11" s="687"/>
      <c r="EF11" s="687"/>
      <c r="EG11" s="687"/>
      <c r="EH11" s="687"/>
      <c r="EI11" s="687"/>
      <c r="EJ11" s="687"/>
      <c r="EK11" s="687"/>
      <c r="EL11" s="687"/>
      <c r="EM11" s="687"/>
      <c r="EN11" s="687"/>
      <c r="EO11" s="687"/>
      <c r="EP11" s="687"/>
      <c r="EQ11" s="687"/>
      <c r="ER11" s="687"/>
      <c r="ES11" s="687"/>
      <c r="ET11" s="687"/>
      <c r="EU11" s="687"/>
      <c r="EV11" s="687"/>
      <c r="EW11" s="687"/>
      <c r="EX11" s="687"/>
      <c r="EY11" s="687"/>
      <c r="EZ11" s="687"/>
      <c r="FA11" s="687"/>
      <c r="FB11" s="687"/>
      <c r="FC11" s="687"/>
      <c r="FD11" s="687"/>
      <c r="FE11" s="687"/>
      <c r="FF11" s="687"/>
      <c r="FG11" s="687"/>
      <c r="FH11" s="687"/>
      <c r="FI11" s="687"/>
      <c r="FJ11" s="687"/>
      <c r="FK11" s="687"/>
      <c r="FL11" s="687"/>
      <c r="FM11" s="687"/>
      <c r="FN11" s="687"/>
      <c r="FO11" s="687"/>
      <c r="FP11" s="687"/>
      <c r="FQ11" s="687"/>
      <c r="FR11" s="687"/>
      <c r="FS11" s="687"/>
      <c r="FT11" s="687"/>
      <c r="FU11" s="687"/>
      <c r="FV11" s="687"/>
      <c r="FW11" s="687"/>
      <c r="FX11" s="687"/>
      <c r="FY11" s="687"/>
      <c r="FZ11" s="687"/>
      <c r="GA11" s="687"/>
      <c r="GB11" s="687"/>
      <c r="GC11" s="687"/>
      <c r="GD11" s="687"/>
      <c r="GE11" s="687"/>
      <c r="GF11" s="687"/>
      <c r="GG11" s="687"/>
      <c r="GH11" s="687"/>
      <c r="GI11" s="687"/>
      <c r="GJ11" s="687"/>
      <c r="GK11" s="687"/>
      <c r="GL11" s="687"/>
      <c r="GM11" s="687"/>
      <c r="GN11" s="687"/>
      <c r="GO11" s="687"/>
      <c r="GP11" s="687"/>
      <c r="GQ11" s="687"/>
      <c r="GR11" s="687"/>
      <c r="GS11" s="687"/>
      <c r="GT11" s="687"/>
      <c r="GU11" s="687"/>
      <c r="GV11" s="687"/>
      <c r="GW11" s="687"/>
      <c r="GX11" s="687"/>
      <c r="GY11" s="687"/>
      <c r="GZ11" s="687"/>
      <c r="HA11" s="687"/>
      <c r="HB11" s="687"/>
      <c r="HC11" s="687"/>
      <c r="HD11" s="687"/>
      <c r="HE11" s="687"/>
      <c r="HF11" s="687"/>
      <c r="HG11" s="687"/>
      <c r="HH11" s="687"/>
      <c r="HI11" s="687"/>
      <c r="HJ11" s="687"/>
      <c r="HK11" s="687"/>
      <c r="HL11" s="687"/>
      <c r="HM11" s="687"/>
      <c r="HN11" s="687"/>
      <c r="HO11" s="687"/>
      <c r="HP11" s="687"/>
      <c r="HQ11" s="687"/>
      <c r="HR11" s="687"/>
      <c r="HS11" s="687"/>
      <c r="HT11" s="687"/>
      <c r="HU11" s="687"/>
      <c r="HV11" s="687"/>
      <c r="HW11" s="687"/>
      <c r="HX11" s="687"/>
      <c r="HY11" s="687"/>
      <c r="HZ11" s="687"/>
      <c r="IA11" s="687"/>
      <c r="IB11" s="687"/>
      <c r="IC11" s="687"/>
      <c r="ID11" s="687"/>
      <c r="IE11" s="687"/>
      <c r="IF11" s="687"/>
      <c r="IG11" s="687"/>
      <c r="IH11" s="687"/>
      <c r="II11" s="687"/>
      <c r="IJ11" s="687"/>
      <c r="IK11" s="687"/>
      <c r="IL11" s="687"/>
      <c r="IM11" s="687"/>
      <c r="IN11" s="687"/>
      <c r="IO11" s="687"/>
      <c r="IP11" s="687"/>
      <c r="IQ11" s="687"/>
      <c r="IR11" s="687"/>
      <c r="IS11" s="687"/>
      <c r="IT11" s="687"/>
      <c r="IU11" s="687"/>
      <c r="IV11" s="687"/>
    </row>
    <row r="12" spans="1:256" ht="16.2" thickBot="1" x14ac:dyDescent="0.35">
      <c r="A12" s="688"/>
      <c r="B12" s="689" t="s">
        <v>726</v>
      </c>
      <c r="C12" s="690">
        <f>C46</f>
        <v>75</v>
      </c>
      <c r="D12" s="691"/>
      <c r="E12" s="692" t="s">
        <v>727</v>
      </c>
      <c r="F12" s="693"/>
      <c r="G12" s="693"/>
      <c r="H12" s="693"/>
      <c r="I12" s="670"/>
      <c r="J12" s="670"/>
      <c r="K12" s="694"/>
      <c r="L12" s="668"/>
      <c r="M12" s="685"/>
      <c r="N12" s="685"/>
      <c r="O12" s="685"/>
      <c r="P12" s="670"/>
      <c r="Q12" s="670"/>
      <c r="R12" s="678"/>
      <c r="S12" s="695"/>
      <c r="T12" s="696"/>
      <c r="U12" s="696"/>
      <c r="V12" s="697"/>
      <c r="W12" s="696"/>
      <c r="X12" s="678"/>
      <c r="Y12" s="678"/>
      <c r="Z12" s="678"/>
      <c r="AA12" s="678"/>
      <c r="AB12" s="678"/>
      <c r="AE12" s="698"/>
      <c r="AF12" s="698"/>
      <c r="AG12" s="698"/>
      <c r="AH12" s="698"/>
      <c r="AI12" s="698"/>
      <c r="AJ12" s="699"/>
    </row>
    <row r="13" spans="1:256" ht="16.2" thickBot="1" x14ac:dyDescent="0.35">
      <c r="A13" s="688"/>
      <c r="B13" s="689" t="s">
        <v>728</v>
      </c>
      <c r="C13" s="690">
        <f>C47</f>
        <v>68</v>
      </c>
      <c r="D13" s="691"/>
      <c r="E13" s="692"/>
      <c r="F13" s="693"/>
      <c r="G13" s="693"/>
      <c r="H13" s="693"/>
      <c r="I13" s="670"/>
      <c r="J13" s="670"/>
      <c r="K13" s="694"/>
      <c r="L13" s="668"/>
      <c r="M13" s="685"/>
      <c r="N13" s="685"/>
      <c r="O13" s="685"/>
      <c r="P13" s="670"/>
      <c r="Q13" s="670"/>
      <c r="R13" s="678"/>
      <c r="S13" s="695"/>
      <c r="T13" s="696"/>
      <c r="U13" s="696"/>
      <c r="V13" s="697"/>
      <c r="W13" s="696"/>
      <c r="X13" s="678"/>
      <c r="Y13" s="678"/>
      <c r="Z13" s="678"/>
      <c r="AA13" s="678"/>
      <c r="AB13" s="678"/>
      <c r="AE13" s="698"/>
      <c r="AF13" s="698"/>
      <c r="AG13" s="698"/>
      <c r="AH13" s="698"/>
      <c r="AI13" s="698"/>
      <c r="AJ13" s="699"/>
    </row>
    <row r="14" spans="1:256" ht="16.2" thickBot="1" x14ac:dyDescent="0.35">
      <c r="A14" s="700" t="s">
        <v>482</v>
      </c>
      <c r="B14" s="701" t="s">
        <v>729</v>
      </c>
      <c r="C14" s="701" t="s">
        <v>484</v>
      </c>
      <c r="D14" s="702" t="s">
        <v>532</v>
      </c>
      <c r="E14" s="703" t="s">
        <v>1</v>
      </c>
      <c r="F14" s="704"/>
      <c r="G14" s="704"/>
      <c r="H14" s="705"/>
      <c r="I14" s="705"/>
      <c r="J14" s="706"/>
      <c r="K14" s="706"/>
      <c r="L14" s="707"/>
      <c r="M14" s="708"/>
      <c r="N14" s="708"/>
      <c r="O14" s="708"/>
      <c r="P14" s="709"/>
      <c r="Q14" s="670"/>
      <c r="R14" s="709"/>
      <c r="S14" s="710"/>
      <c r="T14" s="696"/>
      <c r="U14" s="698"/>
      <c r="V14" s="698"/>
      <c r="W14" s="698"/>
      <c r="X14" s="711"/>
      <c r="Y14" s="709"/>
      <c r="Z14" s="709"/>
      <c r="AA14" s="712"/>
      <c r="AB14" s="713"/>
      <c r="AE14" s="714"/>
      <c r="AF14" s="698"/>
      <c r="AG14" s="698"/>
      <c r="AH14" s="698"/>
      <c r="AI14" s="698"/>
      <c r="AJ14" s="699"/>
    </row>
    <row r="15" spans="1:256" ht="15.6" x14ac:dyDescent="0.3">
      <c r="A15" s="715">
        <v>1</v>
      </c>
      <c r="B15" s="716" t="s">
        <v>730</v>
      </c>
      <c r="C15" s="717" t="e">
        <f>C56</f>
        <v>#REF!</v>
      </c>
      <c r="D15" s="718" t="e">
        <f>SUM(D56:G56)</f>
        <v>#REF!</v>
      </c>
      <c r="E15" s="719" t="e">
        <f>C15+D15</f>
        <v>#REF!</v>
      </c>
      <c r="F15" s="704"/>
      <c r="G15" s="704"/>
      <c r="H15" s="720"/>
      <c r="I15" s="721"/>
      <c r="J15" s="720"/>
      <c r="K15" s="721"/>
      <c r="L15" s="670"/>
      <c r="M15" s="671"/>
      <c r="N15" s="671"/>
      <c r="O15" s="671"/>
      <c r="P15" s="722"/>
      <c r="Q15" s="723"/>
      <c r="R15" s="724"/>
      <c r="S15" s="725"/>
      <c r="T15" s="696"/>
      <c r="U15" s="698"/>
      <c r="V15" s="698"/>
      <c r="W15" s="698"/>
      <c r="X15" s="724"/>
      <c r="Y15" s="724"/>
      <c r="Z15" s="724"/>
      <c r="AA15" s="724"/>
      <c r="AB15" s="724"/>
      <c r="AE15" s="726"/>
      <c r="AF15" s="727"/>
      <c r="AG15" s="728"/>
      <c r="AH15" s="696"/>
      <c r="AI15" s="696"/>
      <c r="AJ15" s="699"/>
    </row>
    <row r="16" spans="1:256" ht="30" x14ac:dyDescent="0.3">
      <c r="A16" s="715">
        <v>2</v>
      </c>
      <c r="B16" s="729" t="s">
        <v>731</v>
      </c>
      <c r="C16" s="717">
        <f>C57+C58+C59+C71</f>
        <v>0</v>
      </c>
      <c r="D16" s="730" t="e">
        <f>SUM(D57:G59)</f>
        <v>#REF!</v>
      </c>
      <c r="E16" s="719" t="e">
        <f t="shared" ref="E16:E34" si="0">C16+D16</f>
        <v>#REF!</v>
      </c>
      <c r="F16" s="731"/>
      <c r="G16" s="731"/>
      <c r="H16" s="732"/>
      <c r="I16" s="733"/>
      <c r="J16" s="732"/>
      <c r="K16" s="734"/>
      <c r="L16" s="735"/>
      <c r="M16" s="736"/>
      <c r="N16" s="736"/>
      <c r="O16" s="736"/>
      <c r="P16" s="722"/>
      <c r="Q16" s="723"/>
      <c r="R16" s="724"/>
      <c r="S16" s="737"/>
      <c r="T16" s="738"/>
      <c r="U16" s="739"/>
      <c r="V16" s="739"/>
      <c r="W16" s="740"/>
      <c r="X16" s="724"/>
      <c r="Y16" s="724"/>
      <c r="Z16" s="724"/>
      <c r="AA16" s="724"/>
      <c r="AB16" s="724"/>
      <c r="AE16" s="726"/>
      <c r="AF16" s="727"/>
      <c r="AG16" s="728"/>
      <c r="AH16" s="741"/>
      <c r="AI16" s="696"/>
      <c r="AJ16" s="742"/>
    </row>
    <row r="17" spans="1:256" ht="30" x14ac:dyDescent="0.3">
      <c r="A17" s="715">
        <v>3</v>
      </c>
      <c r="B17" s="729" t="s">
        <v>732</v>
      </c>
      <c r="C17" s="717"/>
      <c r="D17" s="743">
        <f>SUM(D60:G60)</f>
        <v>0.69454799999999994</v>
      </c>
      <c r="E17" s="719">
        <f t="shared" si="0"/>
        <v>0.69454799999999994</v>
      </c>
      <c r="F17" s="744"/>
      <c r="G17" s="744"/>
      <c r="H17" s="745"/>
      <c r="I17" s="746"/>
      <c r="J17" s="745"/>
      <c r="K17" s="746"/>
      <c r="L17" s="670"/>
      <c r="M17" s="671"/>
      <c r="N17" s="671"/>
      <c r="O17" s="671"/>
      <c r="P17" s="722"/>
      <c r="Q17" s="747"/>
      <c r="R17" s="724"/>
      <c r="S17" s="737"/>
      <c r="T17" s="748"/>
      <c r="U17" s="739"/>
      <c r="V17" s="739"/>
      <c r="W17" s="740"/>
      <c r="X17" s="724"/>
      <c r="Y17" s="724"/>
      <c r="Z17" s="724"/>
      <c r="AA17" s="724"/>
      <c r="AB17" s="724"/>
      <c r="AE17" s="696"/>
      <c r="AF17" s="696"/>
      <c r="AG17" s="696"/>
      <c r="AH17" s="696"/>
      <c r="AI17" s="696"/>
      <c r="AJ17" s="749"/>
    </row>
    <row r="18" spans="1:256" ht="15.6" x14ac:dyDescent="0.3">
      <c r="A18" s="715">
        <v>4</v>
      </c>
      <c r="B18" s="750" t="s">
        <v>733</v>
      </c>
      <c r="C18" s="717">
        <f>C61</f>
        <v>0</v>
      </c>
      <c r="D18" s="743">
        <f>SUM(D61:G61)</f>
        <v>0</v>
      </c>
      <c r="E18" s="719">
        <f t="shared" si="0"/>
        <v>0</v>
      </c>
      <c r="F18" s="744"/>
      <c r="G18" s="744"/>
      <c r="H18" s="751"/>
      <c r="I18" s="752"/>
      <c r="J18" s="751"/>
      <c r="K18" s="753"/>
      <c r="L18" s="674"/>
      <c r="M18" s="733"/>
      <c r="N18" s="733"/>
      <c r="O18" s="733"/>
      <c r="P18" s="722"/>
      <c r="Q18" s="747"/>
      <c r="R18" s="724"/>
      <c r="S18" s="754"/>
      <c r="T18" s="755"/>
      <c r="U18" s="754"/>
      <c r="V18" s="754"/>
      <c r="W18" s="754"/>
      <c r="X18" s="724"/>
      <c r="Y18" s="724"/>
      <c r="Z18" s="724"/>
      <c r="AA18" s="724"/>
      <c r="AB18" s="724"/>
      <c r="AE18" s="754"/>
      <c r="AF18" s="754"/>
      <c r="AG18" s="756"/>
      <c r="AH18" s="756"/>
      <c r="AI18" s="739"/>
      <c r="AJ18" s="749"/>
    </row>
    <row r="19" spans="1:256" ht="30" x14ac:dyDescent="0.3">
      <c r="A19" s="715">
        <v>5</v>
      </c>
      <c r="B19" s="729" t="s">
        <v>734</v>
      </c>
      <c r="C19" s="717"/>
      <c r="D19" s="743">
        <f>SUM(D62:G62)</f>
        <v>9.2725844367200025</v>
      </c>
      <c r="E19" s="719">
        <f t="shared" si="0"/>
        <v>9.2725844367200025</v>
      </c>
      <c r="F19" s="731"/>
      <c r="G19" s="744"/>
      <c r="H19" s="745"/>
      <c r="I19" s="746"/>
      <c r="J19" s="745"/>
      <c r="K19" s="746"/>
      <c r="L19" s="670"/>
      <c r="M19" s="671"/>
      <c r="N19" s="671"/>
      <c r="O19" s="671"/>
      <c r="P19" s="722"/>
      <c r="Q19" s="747"/>
      <c r="R19" s="724"/>
      <c r="S19" s="696"/>
      <c r="T19" s="696"/>
      <c r="U19" s="696"/>
      <c r="V19" s="696"/>
      <c r="W19" s="754"/>
      <c r="X19" s="724"/>
      <c r="Y19" s="724"/>
      <c r="Z19" s="724"/>
      <c r="AA19" s="724"/>
      <c r="AB19" s="724"/>
      <c r="AE19" s="754"/>
      <c r="AF19" s="754"/>
      <c r="AG19" s="678"/>
      <c r="AH19" s="678"/>
      <c r="AI19" s="757"/>
      <c r="AJ19" s="749"/>
    </row>
    <row r="20" spans="1:256" ht="30" x14ac:dyDescent="0.3">
      <c r="A20" s="715">
        <v>6</v>
      </c>
      <c r="B20" s="729" t="s">
        <v>735</v>
      </c>
      <c r="C20" s="753"/>
      <c r="D20" s="743">
        <f>SUM(D63:G63)</f>
        <v>1.7173785933269567</v>
      </c>
      <c r="E20" s="719">
        <f t="shared" si="0"/>
        <v>1.7173785933269567</v>
      </c>
      <c r="F20" s="731"/>
      <c r="G20" s="744"/>
      <c r="H20" s="745"/>
      <c r="I20" s="746"/>
      <c r="J20" s="745"/>
      <c r="K20" s="746"/>
      <c r="L20" s="670"/>
      <c r="M20" s="671"/>
      <c r="N20" s="671"/>
      <c r="O20" s="671"/>
      <c r="P20" s="722"/>
      <c r="Q20" s="747"/>
      <c r="R20" s="724"/>
      <c r="S20" s="696"/>
      <c r="T20" s="696"/>
      <c r="U20" s="696"/>
      <c r="V20" s="696"/>
      <c r="W20" s="754"/>
      <c r="X20" s="724"/>
      <c r="Y20" s="724"/>
      <c r="Z20" s="724"/>
      <c r="AA20" s="724"/>
      <c r="AB20" s="724"/>
      <c r="AE20" s="754"/>
      <c r="AF20" s="754"/>
      <c r="AG20" s="678"/>
      <c r="AH20" s="678"/>
      <c r="AI20" s="757"/>
      <c r="AJ20" s="749"/>
    </row>
    <row r="21" spans="1:256" ht="45" x14ac:dyDescent="0.3">
      <c r="A21" s="715">
        <v>7</v>
      </c>
      <c r="B21" s="729" t="s">
        <v>736</v>
      </c>
      <c r="C21" s="758"/>
      <c r="D21" s="730" t="e">
        <f>SUM(D64:G67)</f>
        <v>#REF!</v>
      </c>
      <c r="E21" s="719" t="e">
        <f t="shared" si="0"/>
        <v>#REF!</v>
      </c>
      <c r="H21" s="745"/>
      <c r="I21" s="746"/>
      <c r="J21" s="745"/>
      <c r="K21" s="746"/>
      <c r="L21" s="678"/>
      <c r="M21" s="759"/>
      <c r="N21" s="759"/>
      <c r="O21" s="759"/>
    </row>
    <row r="22" spans="1:256" ht="30" x14ac:dyDescent="0.3">
      <c r="A22" s="760">
        <v>8</v>
      </c>
      <c r="B22" s="761" t="s">
        <v>737</v>
      </c>
      <c r="C22" s="762"/>
      <c r="D22" s="763">
        <f>SUM(D68:G68)</f>
        <v>0.12744000000000003</v>
      </c>
      <c r="E22" s="764">
        <f t="shared" si="0"/>
        <v>0.12744000000000003</v>
      </c>
      <c r="F22" s="687"/>
      <c r="G22" s="687"/>
      <c r="H22" s="765"/>
      <c r="I22" s="766"/>
      <c r="J22" s="765"/>
      <c r="K22" s="766"/>
      <c r="L22" s="759"/>
      <c r="M22" s="759"/>
      <c r="N22" s="759"/>
      <c r="O22" s="759"/>
      <c r="P22" s="687"/>
      <c r="Q22" s="687"/>
      <c r="R22" s="687"/>
      <c r="S22" s="687"/>
      <c r="T22" s="687"/>
      <c r="U22" s="687"/>
      <c r="V22" s="687"/>
      <c r="W22" s="687"/>
      <c r="X22" s="687"/>
      <c r="Y22" s="687"/>
      <c r="Z22" s="687"/>
      <c r="AA22" s="687"/>
      <c r="AB22" s="687"/>
      <c r="AC22" s="687"/>
      <c r="AD22" s="687"/>
      <c r="AE22" s="687"/>
      <c r="AF22" s="687"/>
      <c r="AG22" s="687"/>
      <c r="AH22" s="687"/>
      <c r="AI22" s="687"/>
      <c r="AJ22" s="687"/>
      <c r="AK22" s="687"/>
      <c r="AL22" s="687"/>
      <c r="AM22" s="687"/>
      <c r="AN22" s="687"/>
      <c r="AO22" s="687"/>
      <c r="AP22" s="687"/>
      <c r="AQ22" s="687"/>
      <c r="AR22" s="687"/>
      <c r="AS22" s="687"/>
      <c r="AT22" s="687"/>
      <c r="AU22" s="687"/>
      <c r="AV22" s="687"/>
      <c r="AW22" s="687"/>
      <c r="AX22" s="687"/>
      <c r="AY22" s="687"/>
      <c r="AZ22" s="687"/>
      <c r="BA22" s="687"/>
      <c r="BB22" s="687"/>
      <c r="BC22" s="687"/>
      <c r="BD22" s="687"/>
      <c r="BE22" s="687"/>
      <c r="BF22" s="687"/>
      <c r="BG22" s="687"/>
      <c r="BH22" s="687"/>
      <c r="BI22" s="687"/>
      <c r="BJ22" s="687"/>
      <c r="BK22" s="687"/>
      <c r="BL22" s="687"/>
      <c r="BM22" s="687"/>
      <c r="BN22" s="687"/>
      <c r="BO22" s="687"/>
      <c r="BP22" s="687"/>
      <c r="BQ22" s="687"/>
      <c r="BR22" s="687"/>
      <c r="BS22" s="687"/>
      <c r="BT22" s="687"/>
      <c r="BU22" s="687"/>
      <c r="BV22" s="687"/>
      <c r="BW22" s="687"/>
      <c r="BX22" s="687"/>
      <c r="BY22" s="687"/>
      <c r="BZ22" s="687"/>
      <c r="CA22" s="687"/>
      <c r="CB22" s="687"/>
      <c r="CC22" s="687"/>
      <c r="CD22" s="687"/>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7"/>
      <c r="ED22" s="687"/>
      <c r="EE22" s="687"/>
      <c r="EF22" s="687"/>
      <c r="EG22" s="687"/>
      <c r="EH22" s="687"/>
      <c r="EI22" s="687"/>
      <c r="EJ22" s="687"/>
      <c r="EK22" s="687"/>
      <c r="EL22" s="687"/>
      <c r="EM22" s="687"/>
      <c r="EN22" s="687"/>
      <c r="EO22" s="687"/>
      <c r="EP22" s="687"/>
      <c r="EQ22" s="687"/>
      <c r="ER22" s="687"/>
      <c r="ES22" s="687"/>
      <c r="ET22" s="687"/>
      <c r="EU22" s="687"/>
      <c r="EV22" s="687"/>
      <c r="EW22" s="687"/>
      <c r="EX22" s="687"/>
      <c r="EY22" s="687"/>
      <c r="EZ22" s="687"/>
      <c r="FA22" s="687"/>
      <c r="FB22" s="687"/>
      <c r="FC22" s="687"/>
      <c r="FD22" s="687"/>
      <c r="FE22" s="687"/>
      <c r="FF22" s="687"/>
      <c r="FG22" s="687"/>
      <c r="FH22" s="687"/>
      <c r="FI22" s="687"/>
      <c r="FJ22" s="687"/>
      <c r="FK22" s="687"/>
      <c r="FL22" s="687"/>
      <c r="FM22" s="687"/>
      <c r="FN22" s="687"/>
      <c r="FO22" s="687"/>
      <c r="FP22" s="687"/>
      <c r="FQ22" s="687"/>
      <c r="FR22" s="687"/>
      <c r="FS22" s="687"/>
      <c r="FT22" s="687"/>
      <c r="FU22" s="687"/>
      <c r="FV22" s="687"/>
      <c r="FW22" s="687"/>
      <c r="FX22" s="687"/>
      <c r="FY22" s="687"/>
      <c r="FZ22" s="687"/>
      <c r="GA22" s="687"/>
      <c r="GB22" s="687"/>
      <c r="GC22" s="687"/>
      <c r="GD22" s="687"/>
      <c r="GE22" s="687"/>
      <c r="GF22" s="687"/>
      <c r="GG22" s="687"/>
      <c r="GH22" s="687"/>
      <c r="GI22" s="687"/>
      <c r="GJ22" s="687"/>
      <c r="GK22" s="687"/>
      <c r="GL22" s="687"/>
      <c r="GM22" s="687"/>
      <c r="GN22" s="687"/>
      <c r="GO22" s="687"/>
      <c r="GP22" s="687"/>
      <c r="GQ22" s="687"/>
      <c r="GR22" s="687"/>
      <c r="GS22" s="687"/>
      <c r="GT22" s="687"/>
      <c r="GU22" s="687"/>
      <c r="GV22" s="687"/>
      <c r="GW22" s="687"/>
      <c r="GX22" s="687"/>
      <c r="GY22" s="687"/>
      <c r="GZ22" s="687"/>
      <c r="HA22" s="687"/>
      <c r="HB22" s="687"/>
      <c r="HC22" s="687"/>
      <c r="HD22" s="687"/>
      <c r="HE22" s="687"/>
      <c r="HF22" s="687"/>
      <c r="HG22" s="687"/>
      <c r="HH22" s="687"/>
      <c r="HI22" s="687"/>
      <c r="HJ22" s="687"/>
      <c r="HK22" s="687"/>
      <c r="HL22" s="687"/>
      <c r="HM22" s="687"/>
      <c r="HN22" s="687"/>
      <c r="HO22" s="687"/>
      <c r="HP22" s="687"/>
      <c r="HQ22" s="687"/>
      <c r="HR22" s="687"/>
      <c r="HS22" s="687"/>
      <c r="HT22" s="687"/>
      <c r="HU22" s="687"/>
      <c r="HV22" s="687"/>
      <c r="HW22" s="687"/>
      <c r="HX22" s="687"/>
      <c r="HY22" s="687"/>
      <c r="HZ22" s="687"/>
      <c r="IA22" s="687"/>
      <c r="IB22" s="687"/>
      <c r="IC22" s="687"/>
      <c r="ID22" s="687"/>
      <c r="IE22" s="687"/>
      <c r="IF22" s="687"/>
      <c r="IG22" s="687"/>
      <c r="IH22" s="687"/>
      <c r="II22" s="687"/>
      <c r="IJ22" s="687"/>
      <c r="IK22" s="687"/>
      <c r="IL22" s="687"/>
      <c r="IM22" s="687"/>
      <c r="IN22" s="687"/>
      <c r="IO22" s="687"/>
      <c r="IP22" s="687"/>
      <c r="IQ22" s="687"/>
      <c r="IR22" s="687"/>
      <c r="IS22" s="687"/>
      <c r="IT22" s="687"/>
      <c r="IU22" s="687"/>
      <c r="IV22" s="687"/>
    </row>
    <row r="23" spans="1:256" ht="46.8" x14ac:dyDescent="0.3">
      <c r="A23" s="715">
        <v>9</v>
      </c>
      <c r="B23" s="767" t="s">
        <v>738</v>
      </c>
      <c r="C23" s="768">
        <f>C69</f>
        <v>0</v>
      </c>
      <c r="D23" s="769"/>
      <c r="E23" s="719">
        <f t="shared" si="0"/>
        <v>0</v>
      </c>
      <c r="F23" s="731"/>
      <c r="G23" s="745"/>
      <c r="H23" s="745"/>
      <c r="I23" s="770"/>
      <c r="J23" s="745"/>
      <c r="K23" s="734"/>
      <c r="L23" s="674"/>
      <c r="M23" s="733"/>
      <c r="N23" s="733"/>
      <c r="O23" s="733"/>
      <c r="P23" s="722"/>
      <c r="Q23" s="747"/>
      <c r="R23" s="724"/>
      <c r="S23" s="771"/>
      <c r="T23" s="772"/>
      <c r="U23" s="773"/>
      <c r="V23" s="774"/>
      <c r="W23" s="775"/>
      <c r="X23" s="724"/>
      <c r="Y23" s="724"/>
      <c r="Z23" s="724"/>
      <c r="AA23" s="724"/>
      <c r="AB23" s="724"/>
      <c r="AE23" s="772"/>
      <c r="AF23" s="776"/>
      <c r="AG23" s="777"/>
      <c r="AH23" s="778"/>
      <c r="AI23" s="727"/>
      <c r="AJ23" s="742"/>
    </row>
    <row r="24" spans="1:256" ht="45" x14ac:dyDescent="0.3">
      <c r="A24" s="715">
        <v>10</v>
      </c>
      <c r="B24" s="767" t="s">
        <v>739</v>
      </c>
      <c r="C24" s="779">
        <f>C70</f>
        <v>0</v>
      </c>
      <c r="D24" s="743">
        <f>D70</f>
        <v>0</v>
      </c>
      <c r="E24" s="719">
        <f t="shared" si="0"/>
        <v>0</v>
      </c>
      <c r="F24" s="731"/>
      <c r="G24" s="744"/>
      <c r="H24" s="751"/>
      <c r="I24" s="752"/>
      <c r="J24" s="751"/>
      <c r="K24" s="753"/>
      <c r="L24" s="674"/>
      <c r="M24" s="733"/>
      <c r="N24" s="733"/>
      <c r="O24" s="733"/>
      <c r="P24" s="709"/>
      <c r="Q24" s="780"/>
      <c r="R24" s="781"/>
      <c r="S24" s="782"/>
      <c r="T24" s="772"/>
      <c r="U24" s="773"/>
      <c r="V24" s="774"/>
      <c r="W24" s="775"/>
      <c r="X24" s="781"/>
      <c r="Y24" s="781"/>
      <c r="Z24" s="781"/>
      <c r="AA24" s="724"/>
      <c r="AB24" s="724"/>
      <c r="AE24" s="772"/>
      <c r="AF24" s="776"/>
      <c r="AG24" s="783"/>
      <c r="AH24" s="678"/>
      <c r="AI24" s="696"/>
      <c r="AJ24" s="742"/>
    </row>
    <row r="25" spans="1:256" ht="45" x14ac:dyDescent="0.3">
      <c r="A25" s="715">
        <v>11</v>
      </c>
      <c r="B25" s="767" t="s">
        <v>740</v>
      </c>
      <c r="C25" s="779"/>
      <c r="D25" s="743">
        <f>SUM(E72:G72)</f>
        <v>0</v>
      </c>
      <c r="E25" s="719">
        <f t="shared" si="0"/>
        <v>0</v>
      </c>
      <c r="F25" s="731"/>
      <c r="G25" s="744"/>
      <c r="H25" s="745"/>
      <c r="I25" s="784"/>
      <c r="J25" s="745"/>
      <c r="K25" s="745"/>
      <c r="L25" s="674"/>
      <c r="M25" s="733"/>
      <c r="N25" s="733"/>
      <c r="O25" s="733"/>
      <c r="P25" s="709"/>
      <c r="Q25" s="780"/>
      <c r="R25" s="781"/>
      <c r="S25" s="782"/>
      <c r="T25" s="772"/>
      <c r="U25" s="773"/>
      <c r="V25" s="774"/>
      <c r="W25" s="775"/>
      <c r="X25" s="781"/>
      <c r="Y25" s="781"/>
      <c r="Z25" s="781"/>
      <c r="AA25" s="724"/>
      <c r="AB25" s="724"/>
      <c r="AE25" s="785"/>
      <c r="AF25" s="776"/>
      <c r="AG25" s="783"/>
      <c r="AH25" s="678"/>
      <c r="AI25" s="696"/>
      <c r="AJ25" s="742"/>
    </row>
    <row r="26" spans="1:256" ht="30" x14ac:dyDescent="0.3">
      <c r="A26" s="715">
        <v>12</v>
      </c>
      <c r="B26" s="767" t="s">
        <v>741</v>
      </c>
      <c r="C26" s="779"/>
      <c r="D26" s="751" t="s">
        <v>742</v>
      </c>
      <c r="E26" s="786"/>
      <c r="F26" s="731"/>
      <c r="G26" s="744"/>
      <c r="H26" s="745"/>
      <c r="I26" s="784"/>
      <c r="J26" s="745"/>
      <c r="K26" s="745"/>
      <c r="L26" s="674"/>
      <c r="M26" s="733"/>
      <c r="N26" s="733"/>
      <c r="O26" s="733"/>
      <c r="P26" s="709"/>
      <c r="Q26" s="780"/>
      <c r="R26" s="781"/>
      <c r="S26" s="782"/>
      <c r="T26" s="772"/>
      <c r="U26" s="773"/>
      <c r="V26" s="774"/>
      <c r="W26" s="775"/>
      <c r="X26" s="781"/>
      <c r="Y26" s="781"/>
      <c r="Z26" s="781"/>
      <c r="AA26" s="724"/>
      <c r="AB26" s="724"/>
      <c r="AE26" s="785"/>
      <c r="AF26" s="776"/>
      <c r="AG26" s="783"/>
      <c r="AH26" s="678"/>
      <c r="AI26" s="696"/>
      <c r="AJ26" s="742"/>
    </row>
    <row r="27" spans="1:256" ht="15.6" x14ac:dyDescent="0.3">
      <c r="A27" s="787">
        <v>13</v>
      </c>
      <c r="B27" s="788" t="s">
        <v>743</v>
      </c>
      <c r="C27" s="789">
        <f>C73</f>
        <v>0</v>
      </c>
      <c r="D27" s="790">
        <f>SUM(D73:G73)</f>
        <v>0</v>
      </c>
      <c r="E27" s="789">
        <f>C27+D27</f>
        <v>0</v>
      </c>
      <c r="F27" s="731"/>
      <c r="G27" s="744"/>
      <c r="H27" s="745"/>
      <c r="I27" s="791"/>
      <c r="J27" s="745"/>
      <c r="K27" s="792"/>
      <c r="L27" s="674"/>
      <c r="M27" s="733"/>
      <c r="N27" s="733"/>
      <c r="O27" s="733"/>
      <c r="P27" s="722"/>
      <c r="Q27" s="747"/>
      <c r="R27" s="724"/>
      <c r="S27" s="771"/>
      <c r="T27" s="793"/>
      <c r="U27" s="739"/>
      <c r="V27" s="794"/>
      <c r="W27" s="740"/>
      <c r="X27" s="724"/>
      <c r="Y27" s="724"/>
      <c r="Z27" s="724"/>
      <c r="AA27" s="678"/>
      <c r="AB27" s="724"/>
      <c r="AE27" s="795"/>
      <c r="AF27" s="776"/>
      <c r="AG27" s="783"/>
      <c r="AH27" s="678"/>
      <c r="AI27" s="696"/>
      <c r="AJ27" s="742"/>
    </row>
    <row r="28" spans="1:256" ht="15.6" x14ac:dyDescent="0.3">
      <c r="A28" s="796">
        <v>14</v>
      </c>
      <c r="B28" s="797" t="s">
        <v>744</v>
      </c>
      <c r="C28" s="798" t="e">
        <f>SUM(C15:C27)</f>
        <v>#REF!</v>
      </c>
      <c r="D28" s="798" t="e">
        <f>SUM(D15:D27)</f>
        <v>#REF!</v>
      </c>
      <c r="E28" s="799" t="e">
        <f t="shared" si="0"/>
        <v>#REF!</v>
      </c>
      <c r="F28" s="731"/>
      <c r="G28" s="744"/>
      <c r="H28" s="800"/>
      <c r="I28" s="801"/>
      <c r="J28" s="802"/>
      <c r="K28" s="803"/>
      <c r="L28" s="668"/>
      <c r="M28" s="685"/>
      <c r="N28" s="685"/>
      <c r="O28" s="685"/>
      <c r="P28" s="722"/>
      <c r="Q28" s="747"/>
      <c r="R28" s="724"/>
      <c r="S28" s="771"/>
      <c r="T28" s="793"/>
      <c r="U28" s="739"/>
      <c r="V28" s="794"/>
      <c r="W28" s="740"/>
      <c r="X28" s="724"/>
      <c r="Y28" s="724"/>
      <c r="Z28" s="724"/>
      <c r="AA28" s="678"/>
      <c r="AB28" s="724"/>
      <c r="AE28" s="795"/>
      <c r="AF28" s="776"/>
      <c r="AG28" s="783"/>
      <c r="AH28" s="678"/>
      <c r="AI28" s="696"/>
      <c r="AJ28" s="742"/>
    </row>
    <row r="29" spans="1:256" ht="15.6" hidden="1" x14ac:dyDescent="0.3">
      <c r="A29" s="715">
        <v>15</v>
      </c>
      <c r="B29" s="804" t="s">
        <v>745</v>
      </c>
      <c r="C29" s="805">
        <v>0</v>
      </c>
      <c r="D29" s="806"/>
      <c r="E29" s="806"/>
      <c r="F29" s="807"/>
      <c r="G29" s="808"/>
      <c r="H29" s="808"/>
      <c r="L29" s="668"/>
      <c r="M29" s="685"/>
      <c r="N29" s="685"/>
      <c r="O29" s="685"/>
      <c r="P29" s="668"/>
      <c r="Q29" s="668"/>
      <c r="S29" s="809"/>
      <c r="T29" s="810"/>
      <c r="U29" s="754"/>
      <c r="V29" s="811"/>
      <c r="W29" s="812"/>
      <c r="AE29" s="812"/>
      <c r="AF29" s="812"/>
      <c r="AG29" s="678"/>
      <c r="AH29" s="678"/>
      <c r="AI29" s="812"/>
      <c r="AJ29" s="742">
        <f>AE29-AI29</f>
        <v>0</v>
      </c>
    </row>
    <row r="30" spans="1:256" ht="15.6" hidden="1" x14ac:dyDescent="0.3">
      <c r="A30" s="813" t="s">
        <v>18</v>
      </c>
      <c r="B30" s="814" t="s">
        <v>746</v>
      </c>
      <c r="C30" s="717"/>
      <c r="D30" s="815">
        <f>+(C16+C17+C18+C27)*0.075</f>
        <v>0</v>
      </c>
      <c r="E30" s="719">
        <f t="shared" si="0"/>
        <v>0</v>
      </c>
      <c r="F30" s="808"/>
      <c r="G30" s="808"/>
      <c r="H30" s="808"/>
      <c r="L30" s="668"/>
      <c r="M30" s="685"/>
      <c r="N30" s="685"/>
      <c r="O30" s="685"/>
      <c r="P30" s="668"/>
      <c r="Q30" s="668"/>
      <c r="S30" s="728"/>
      <c r="T30" s="816"/>
      <c r="U30" s="817"/>
      <c r="V30" s="785"/>
      <c r="W30" s="785"/>
      <c r="AE30" s="728"/>
      <c r="AF30" s="728"/>
      <c r="AG30" s="678"/>
      <c r="AH30" s="678"/>
      <c r="AI30" s="696"/>
      <c r="AJ30" s="699"/>
    </row>
    <row r="31" spans="1:256" ht="15.6" hidden="1" x14ac:dyDescent="0.3">
      <c r="A31" s="813" t="s">
        <v>198</v>
      </c>
      <c r="B31" s="750" t="s">
        <v>747</v>
      </c>
      <c r="C31" s="717"/>
      <c r="D31" s="815">
        <f>+(D30)*0.1</f>
        <v>0</v>
      </c>
      <c r="E31" s="719">
        <f t="shared" si="0"/>
        <v>0</v>
      </c>
      <c r="F31" s="808"/>
      <c r="G31" s="808"/>
      <c r="H31" s="808"/>
      <c r="I31" s="668"/>
      <c r="J31" s="668"/>
      <c r="K31" s="668"/>
      <c r="L31" s="668"/>
      <c r="M31" s="685"/>
      <c r="N31" s="685"/>
      <c r="O31" s="685"/>
      <c r="P31" s="668"/>
      <c r="Q31" s="668"/>
      <c r="S31" s="776"/>
      <c r="T31" s="818"/>
      <c r="U31" s="817"/>
      <c r="V31" s="785"/>
      <c r="W31" s="785"/>
      <c r="AE31" s="728"/>
      <c r="AF31" s="728"/>
      <c r="AG31" s="678"/>
      <c r="AH31" s="678"/>
      <c r="AI31" s="696"/>
      <c r="AJ31" s="699"/>
    </row>
    <row r="32" spans="1:256" ht="15.6" hidden="1" x14ac:dyDescent="0.3">
      <c r="A32" s="813" t="s">
        <v>199</v>
      </c>
      <c r="B32" s="750" t="s">
        <v>748</v>
      </c>
      <c r="C32" s="717"/>
      <c r="D32" s="815">
        <f>((C16+C17+C18+C27)+D30+D31)*0.18</f>
        <v>0</v>
      </c>
      <c r="E32" s="719">
        <f t="shared" si="0"/>
        <v>0</v>
      </c>
      <c r="F32" s="808"/>
      <c r="G32" s="808"/>
      <c r="H32" s="808"/>
      <c r="I32" s="668"/>
      <c r="J32" s="668"/>
      <c r="K32" s="668"/>
      <c r="L32" s="668"/>
      <c r="M32" s="685"/>
      <c r="N32" s="685"/>
      <c r="O32" s="685"/>
      <c r="P32" s="668"/>
      <c r="Q32" s="668"/>
      <c r="S32" s="776"/>
      <c r="T32" s="818"/>
      <c r="U32" s="817"/>
      <c r="V32" s="785"/>
      <c r="W32" s="785"/>
      <c r="AE32" s="728"/>
      <c r="AF32" s="728"/>
      <c r="AG32" s="678"/>
      <c r="AH32" s="678"/>
      <c r="AI32" s="696"/>
      <c r="AJ32" s="699"/>
    </row>
    <row r="33" spans="1:256" ht="30" hidden="1" x14ac:dyDescent="0.3">
      <c r="A33" s="819" t="s">
        <v>200</v>
      </c>
      <c r="B33" s="767" t="s">
        <v>749</v>
      </c>
      <c r="C33" s="717"/>
      <c r="D33" s="815" t="e">
        <f>+(C15+C23+C24)*0.1/(1-0.1)</f>
        <v>#REF!</v>
      </c>
      <c r="E33" s="719" t="e">
        <f t="shared" si="0"/>
        <v>#REF!</v>
      </c>
      <c r="F33" s="808"/>
      <c r="G33" s="808"/>
      <c r="H33" s="808"/>
      <c r="I33" s="668"/>
      <c r="J33" s="668"/>
      <c r="K33" s="668"/>
      <c r="L33" s="668"/>
      <c r="M33" s="685"/>
      <c r="N33" s="685"/>
      <c r="O33" s="685"/>
      <c r="P33" s="668"/>
      <c r="Q33" s="668"/>
      <c r="S33" s="728"/>
      <c r="T33" s="820"/>
      <c r="U33" s="817"/>
      <c r="V33" s="785"/>
      <c r="W33" s="785"/>
      <c r="AE33" s="821"/>
      <c r="AF33" s="728"/>
      <c r="AG33" s="678"/>
      <c r="AH33" s="678"/>
      <c r="AI33" s="821"/>
      <c r="AJ33" s="699"/>
    </row>
    <row r="34" spans="1:256" ht="15.6" hidden="1" x14ac:dyDescent="0.3">
      <c r="A34" s="819" t="s">
        <v>12</v>
      </c>
      <c r="B34" s="822" t="s">
        <v>750</v>
      </c>
      <c r="C34" s="823"/>
      <c r="D34" s="824" t="e">
        <f>+(C15+C23+C24+D33)*0.18</f>
        <v>#REF!</v>
      </c>
      <c r="E34" s="825" t="e">
        <f t="shared" si="0"/>
        <v>#REF!</v>
      </c>
      <c r="F34" s="668"/>
      <c r="G34" s="668"/>
      <c r="H34" s="668"/>
      <c r="I34" s="668"/>
      <c r="J34" s="826"/>
      <c r="K34" s="668"/>
      <c r="L34" s="668"/>
      <c r="M34" s="685"/>
      <c r="N34" s="685"/>
      <c r="O34" s="685"/>
      <c r="P34" s="668"/>
      <c r="Q34" s="668"/>
      <c r="S34" s="812"/>
      <c r="T34" s="827"/>
      <c r="U34" s="817"/>
      <c r="V34" s="817"/>
      <c r="W34" s="817"/>
      <c r="AE34" s="785"/>
      <c r="AF34" s="812"/>
      <c r="AG34" s="678"/>
      <c r="AH34" s="678"/>
      <c r="AI34" s="696"/>
      <c r="AJ34" s="699"/>
    </row>
    <row r="35" spans="1:256" ht="15.6" hidden="1" x14ac:dyDescent="0.3">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5.6" x14ac:dyDescent="0.3">
      <c r="A36" s="830">
        <v>15</v>
      </c>
      <c r="B36" s="831" t="s">
        <v>785</v>
      </c>
      <c r="C36" s="832" t="e">
        <f>C35+C28</f>
        <v>#REF!</v>
      </c>
      <c r="D36" s="832" t="e">
        <f>D35+D28</f>
        <v>#REF!</v>
      </c>
      <c r="E36" s="832" t="e">
        <f>E35+E28</f>
        <v>#REF!</v>
      </c>
      <c r="F36" s="668"/>
      <c r="G36" s="668"/>
      <c r="H36" s="668"/>
      <c r="I36" s="668"/>
      <c r="J36" s="828"/>
      <c r="K36" s="826"/>
      <c r="L36" s="668"/>
      <c r="M36" s="685"/>
      <c r="N36" s="685"/>
      <c r="O36" s="685"/>
      <c r="P36" s="668"/>
      <c r="Q36" s="668"/>
      <c r="S36" s="812"/>
      <c r="T36" s="829"/>
      <c r="U36" s="817"/>
      <c r="V36" s="833"/>
      <c r="W36" s="785"/>
      <c r="AE36" s="795"/>
      <c r="AF36" s="812"/>
      <c r="AG36" s="678"/>
      <c r="AH36" s="678"/>
      <c r="AI36" s="696"/>
      <c r="AJ36" s="699"/>
    </row>
    <row r="37" spans="1:256" ht="15.6" x14ac:dyDescent="0.3">
      <c r="A37" s="834">
        <v>16</v>
      </c>
      <c r="B37" s="835" t="s">
        <v>751</v>
      </c>
      <c r="C37" s="836"/>
      <c r="D37" s="837" t="e">
        <f>I76</f>
        <v>#REF!</v>
      </c>
      <c r="E37" s="836" t="e">
        <f>C37+D37</f>
        <v>#REF!</v>
      </c>
      <c r="F37" s="668"/>
      <c r="G37" s="668"/>
      <c r="H37" s="668"/>
      <c r="I37" s="668"/>
      <c r="J37" s="828"/>
      <c r="K37" s="826"/>
      <c r="L37" s="668"/>
      <c r="M37" s="685"/>
      <c r="N37" s="685"/>
      <c r="O37" s="685"/>
      <c r="P37" s="668"/>
      <c r="Q37" s="668"/>
      <c r="S37" s="812"/>
      <c r="T37" s="829"/>
      <c r="U37" s="817"/>
      <c r="V37" s="833"/>
      <c r="W37" s="785"/>
      <c r="AE37" s="795"/>
      <c r="AF37" s="812"/>
      <c r="AG37" s="678"/>
      <c r="AH37" s="678"/>
      <c r="AI37" s="696"/>
      <c r="AJ37" s="699"/>
    </row>
    <row r="38" spans="1:256" ht="15.6" x14ac:dyDescent="0.3">
      <c r="A38" s="830">
        <v>17</v>
      </c>
      <c r="B38" s="831" t="s">
        <v>786</v>
      </c>
      <c r="C38" s="838" t="e">
        <f>C36-C37</f>
        <v>#REF!</v>
      </c>
      <c r="D38" s="838" t="e">
        <f>D36-D37</f>
        <v>#REF!</v>
      </c>
      <c r="E38" s="838" t="e">
        <f>E36-E37</f>
        <v>#REF!</v>
      </c>
      <c r="F38" s="668"/>
      <c r="G38" s="670"/>
      <c r="H38" s="156"/>
      <c r="I38" s="839"/>
      <c r="J38" s="840"/>
      <c r="K38" s="668"/>
      <c r="L38" s="668"/>
      <c r="M38" s="685"/>
      <c r="N38" s="685"/>
      <c r="O38" s="685"/>
      <c r="P38" s="668"/>
      <c r="Q38" s="668"/>
    </row>
    <row r="39" spans="1:256" ht="15.6" x14ac:dyDescent="0.3">
      <c r="A39" s="841"/>
      <c r="B39" s="842"/>
      <c r="C39" s="843"/>
      <c r="D39" s="668"/>
      <c r="E39" s="668"/>
      <c r="F39" s="668"/>
      <c r="G39" s="670"/>
      <c r="H39" s="670"/>
      <c r="I39" s="839"/>
      <c r="J39" s="844"/>
      <c r="K39" s="668"/>
      <c r="L39" s="668"/>
      <c r="M39" s="685"/>
      <c r="N39" s="685"/>
      <c r="O39" s="685"/>
      <c r="P39" s="668"/>
      <c r="Q39" s="845"/>
    </row>
    <row r="40" spans="1:256" ht="15.6" x14ac:dyDescent="0.3">
      <c r="A40" s="841"/>
      <c r="B40" s="842"/>
      <c r="C40" s="843"/>
      <c r="D40" s="668"/>
      <c r="E40" s="668"/>
      <c r="F40" s="668"/>
      <c r="G40" s="670"/>
      <c r="H40" s="670"/>
      <c r="I40" s="846"/>
      <c r="J40" s="844"/>
      <c r="K40" s="668"/>
      <c r="L40" s="668"/>
      <c r="M40" s="685"/>
      <c r="N40" s="685"/>
      <c r="O40" s="685"/>
      <c r="P40" s="668"/>
      <c r="Q40" s="845"/>
    </row>
    <row r="41" spans="1:256" ht="15.6" x14ac:dyDescent="0.3">
      <c r="A41" s="841"/>
      <c r="B41" s="842"/>
      <c r="C41" s="843"/>
      <c r="D41" s="668"/>
      <c r="E41" s="668"/>
      <c r="F41" s="668"/>
      <c r="G41" s="156"/>
      <c r="H41" s="670"/>
      <c r="I41" s="670"/>
      <c r="J41" s="844"/>
      <c r="K41" s="668"/>
      <c r="L41" s="668"/>
      <c r="M41" s="685"/>
      <c r="N41" s="685"/>
      <c r="O41" s="685"/>
      <c r="P41" s="668"/>
      <c r="Q41" s="845"/>
    </row>
    <row r="42" spans="1:256" ht="15.6" x14ac:dyDescent="0.3">
      <c r="A42" s="841"/>
      <c r="B42" s="842"/>
      <c r="C42" s="843"/>
      <c r="D42" s="668"/>
      <c r="E42" s="847" t="s">
        <v>752</v>
      </c>
      <c r="F42" s="668"/>
      <c r="G42" s="668"/>
      <c r="H42" s="668"/>
      <c r="I42" s="848"/>
      <c r="J42" s="849"/>
      <c r="K42" s="668"/>
      <c r="L42" s="668"/>
      <c r="M42" s="685"/>
      <c r="N42" s="685"/>
      <c r="O42" s="685"/>
      <c r="P42" s="668"/>
      <c r="Q42" s="845"/>
    </row>
    <row r="43" spans="1:256" ht="15.6" x14ac:dyDescent="0.3">
      <c r="A43" s="841"/>
      <c r="B43" s="842"/>
      <c r="C43" s="843"/>
      <c r="D43" s="668"/>
      <c r="E43" s="847" t="s">
        <v>753</v>
      </c>
      <c r="F43" s="668"/>
      <c r="G43" s="668"/>
      <c r="H43" s="668"/>
      <c r="I43" s="668"/>
      <c r="J43" s="849"/>
      <c r="K43" s="668"/>
      <c r="L43" s="668"/>
      <c r="M43" s="685"/>
      <c r="N43" s="685"/>
      <c r="O43" s="685"/>
      <c r="P43" s="668"/>
      <c r="Q43" s="845"/>
    </row>
    <row r="44" spans="1:256" ht="15.6" x14ac:dyDescent="0.3">
      <c r="A44" s="841"/>
      <c r="B44" s="842"/>
      <c r="C44" s="843"/>
      <c r="D44" s="668"/>
      <c r="E44" s="850" t="s">
        <v>754</v>
      </c>
      <c r="F44" s="668"/>
      <c r="G44" s="671"/>
      <c r="H44" s="671"/>
      <c r="I44" s="671"/>
      <c r="J44" s="851"/>
      <c r="K44" s="671"/>
      <c r="L44" s="671"/>
      <c r="M44" s="671"/>
      <c r="N44" s="671"/>
      <c r="O44" s="671"/>
      <c r="P44" s="671"/>
      <c r="Q44" s="852"/>
      <c r="R44" s="759"/>
      <c r="S44" s="759"/>
      <c r="T44" s="759"/>
      <c r="U44" s="759"/>
      <c r="V44" s="759"/>
      <c r="W44" s="759"/>
      <c r="X44" s="759"/>
      <c r="Y44" s="759"/>
      <c r="Z44" s="759"/>
      <c r="AA44" s="759"/>
      <c r="AB44" s="759"/>
      <c r="AC44" s="759"/>
      <c r="AD44" s="759"/>
      <c r="AE44" s="759"/>
      <c r="AF44" s="759"/>
      <c r="AG44" s="759"/>
      <c r="AH44" s="759"/>
      <c r="AI44" s="759"/>
      <c r="AJ44" s="759"/>
    </row>
    <row r="45" spans="1:256" ht="15.6" x14ac:dyDescent="0.3">
      <c r="A45" s="841"/>
      <c r="B45" s="842"/>
      <c r="C45" s="843"/>
      <c r="D45" s="668"/>
      <c r="E45" s="850"/>
      <c r="F45" s="668"/>
      <c r="G45" s="671"/>
      <c r="H45" s="671"/>
      <c r="I45" s="671"/>
      <c r="J45" s="851"/>
      <c r="K45" s="671"/>
      <c r="L45" s="671"/>
      <c r="M45" s="671"/>
      <c r="N45" s="671"/>
      <c r="O45" s="671"/>
      <c r="P45" s="671"/>
      <c r="Q45" s="852"/>
      <c r="R45" s="759"/>
      <c r="S45" s="759"/>
      <c r="T45" s="759"/>
      <c r="U45" s="759"/>
      <c r="V45" s="759"/>
      <c r="W45" s="759"/>
      <c r="X45" s="759"/>
      <c r="Y45" s="759"/>
      <c r="Z45" s="759"/>
      <c r="AA45" s="759"/>
      <c r="AB45" s="759"/>
      <c r="AC45" s="759"/>
      <c r="AD45" s="759"/>
      <c r="AE45" s="759"/>
      <c r="AF45" s="759"/>
      <c r="AG45" s="759"/>
      <c r="AH45" s="759"/>
      <c r="AI45" s="759"/>
      <c r="AJ45" s="759"/>
    </row>
    <row r="46" spans="1:256" ht="15.6" x14ac:dyDescent="0.3">
      <c r="A46" s="841"/>
      <c r="B46" s="853" t="s">
        <v>726</v>
      </c>
      <c r="C46" s="854">
        <v>75</v>
      </c>
      <c r="D46" s="855" t="s">
        <v>755</v>
      </c>
      <c r="F46" s="671"/>
      <c r="I46" s="851"/>
      <c r="L46" s="668"/>
      <c r="M46" s="685"/>
      <c r="N46" s="685"/>
      <c r="O46" s="685"/>
      <c r="P46" s="668"/>
      <c r="Q46" s="845"/>
      <c r="S46" s="856"/>
      <c r="T46" s="778"/>
      <c r="U46" s="778"/>
      <c r="V46" s="778"/>
      <c r="W46" s="778"/>
      <c r="Y46" s="759"/>
      <c r="Z46" s="759"/>
      <c r="AA46" s="759"/>
      <c r="AB46" s="759"/>
      <c r="AC46" s="759"/>
      <c r="AF46" s="857"/>
      <c r="AG46" s="857"/>
      <c r="AH46" s="857"/>
      <c r="AI46" s="857"/>
      <c r="AJ46" s="858"/>
    </row>
    <row r="47" spans="1:256" ht="15.6" x14ac:dyDescent="0.3">
      <c r="A47" s="841"/>
      <c r="B47" s="853" t="s">
        <v>728</v>
      </c>
      <c r="C47" s="854">
        <v>68</v>
      </c>
      <c r="D47" s="859" t="s">
        <v>756</v>
      </c>
      <c r="F47" s="668"/>
      <c r="G47" s="668"/>
      <c r="H47" s="668"/>
      <c r="I47" s="668"/>
      <c r="J47" s="849"/>
      <c r="L47" s="668"/>
      <c r="M47" s="685"/>
      <c r="N47" s="685"/>
      <c r="O47" s="685"/>
      <c r="P47" s="668"/>
      <c r="Q47" s="845"/>
      <c r="Y47" s="860"/>
      <c r="Z47" s="861"/>
      <c r="AA47" s="861"/>
      <c r="AB47" s="862"/>
      <c r="AC47" s="861"/>
      <c r="AF47" s="687"/>
      <c r="AG47" s="687"/>
      <c r="AH47" s="687"/>
      <c r="AI47" s="687"/>
      <c r="AJ47" s="687"/>
    </row>
    <row r="48" spans="1:256" ht="15.6" x14ac:dyDescent="0.3">
      <c r="A48" s="841"/>
      <c r="B48" s="863" t="s">
        <v>757</v>
      </c>
      <c r="C48" s="864">
        <v>0.06</v>
      </c>
      <c r="D48" s="865"/>
      <c r="F48" s="668"/>
      <c r="G48" s="668"/>
      <c r="H48" s="668"/>
      <c r="I48" s="668"/>
      <c r="J48" s="849"/>
      <c r="K48" s="668"/>
      <c r="L48" s="668"/>
      <c r="M48" s="685"/>
      <c r="N48" s="685"/>
      <c r="O48" s="685"/>
      <c r="P48" s="668"/>
      <c r="Q48" s="845"/>
      <c r="Y48" s="860"/>
      <c r="Z48" s="861"/>
      <c r="AA48" s="861"/>
      <c r="AB48" s="862"/>
      <c r="AC48" s="861"/>
      <c r="AF48" s="687"/>
      <c r="AG48" s="687"/>
      <c r="AH48" s="687"/>
      <c r="AI48" s="687"/>
      <c r="AJ48" s="687"/>
    </row>
    <row r="49" spans="1:256" ht="15.6" x14ac:dyDescent="0.3">
      <c r="A49" s="866"/>
      <c r="B49" s="863" t="s">
        <v>758</v>
      </c>
      <c r="C49" s="864">
        <f>12%*0+20%</f>
        <v>0.2</v>
      </c>
      <c r="D49" s="867"/>
      <c r="E49" s="868"/>
      <c r="F49" s="685"/>
      <c r="G49" s="685"/>
      <c r="H49" s="685"/>
      <c r="I49" s="685"/>
      <c r="J49" s="869"/>
      <c r="K49" s="685"/>
      <c r="L49" s="685"/>
      <c r="M49" s="685"/>
      <c r="N49" s="685"/>
      <c r="O49" s="685"/>
      <c r="P49" s="685"/>
      <c r="Q49" s="870"/>
      <c r="R49" s="687"/>
      <c r="S49" s="687"/>
      <c r="T49" s="687"/>
      <c r="U49" s="687"/>
      <c r="V49" s="687"/>
      <c r="W49" s="687"/>
      <c r="X49" s="687"/>
      <c r="Y49" s="860"/>
      <c r="Z49" s="861"/>
      <c r="AA49" s="861"/>
      <c r="AB49" s="862"/>
      <c r="AC49" s="861"/>
      <c r="AD49" s="687"/>
      <c r="AE49" s="687"/>
      <c r="AF49" s="687"/>
      <c r="AG49" s="687"/>
      <c r="AH49" s="687"/>
      <c r="AI49" s="687"/>
      <c r="AJ49" s="687"/>
      <c r="AK49" s="687"/>
      <c r="AL49" s="687"/>
      <c r="AM49" s="687"/>
      <c r="AN49" s="687"/>
      <c r="AO49" s="687"/>
      <c r="AP49" s="687"/>
      <c r="AQ49" s="687"/>
      <c r="AR49" s="687"/>
      <c r="AS49" s="687"/>
      <c r="AT49" s="687"/>
      <c r="AU49" s="687"/>
      <c r="AV49" s="687"/>
      <c r="AW49" s="687"/>
      <c r="AX49" s="687"/>
      <c r="AY49" s="687"/>
      <c r="AZ49" s="687"/>
      <c r="BA49" s="687"/>
      <c r="BB49" s="687"/>
      <c r="BC49" s="687"/>
      <c r="BD49" s="687"/>
      <c r="BE49" s="687"/>
      <c r="BF49" s="687"/>
      <c r="BG49" s="687"/>
      <c r="BH49" s="687"/>
      <c r="BI49" s="687"/>
      <c r="BJ49" s="687"/>
      <c r="BK49" s="687"/>
      <c r="BL49" s="687"/>
      <c r="BM49" s="687"/>
      <c r="BN49" s="687"/>
      <c r="BO49" s="687"/>
      <c r="BP49" s="687"/>
      <c r="BQ49" s="687"/>
      <c r="BR49" s="687"/>
      <c r="BS49" s="687"/>
      <c r="BT49" s="687"/>
      <c r="BU49" s="687"/>
      <c r="BV49" s="687"/>
      <c r="BW49" s="687"/>
      <c r="BX49" s="687"/>
      <c r="BY49" s="687"/>
      <c r="BZ49" s="687"/>
      <c r="CA49" s="687"/>
      <c r="CB49" s="687"/>
      <c r="CC49" s="687"/>
      <c r="CD49" s="687"/>
      <c r="CE49" s="687"/>
      <c r="CF49" s="687"/>
      <c r="CG49" s="687"/>
      <c r="CH49" s="687"/>
      <c r="CI49" s="687"/>
      <c r="CJ49" s="687"/>
      <c r="CK49" s="687"/>
      <c r="CL49" s="687"/>
      <c r="CM49" s="687"/>
      <c r="CN49" s="687"/>
      <c r="CO49" s="687"/>
      <c r="CP49" s="687"/>
      <c r="CQ49" s="687"/>
      <c r="CR49" s="687"/>
      <c r="CS49" s="687"/>
      <c r="CT49" s="687"/>
      <c r="CU49" s="687"/>
      <c r="CV49" s="687"/>
      <c r="CW49" s="687"/>
      <c r="CX49" s="687"/>
      <c r="CY49" s="687"/>
      <c r="CZ49" s="687"/>
      <c r="DA49" s="687"/>
      <c r="DB49" s="687"/>
      <c r="DC49" s="687"/>
      <c r="DD49" s="687"/>
      <c r="DE49" s="687"/>
      <c r="DF49" s="687"/>
      <c r="DG49" s="687"/>
      <c r="DH49" s="687"/>
      <c r="DI49" s="687"/>
      <c r="DJ49" s="687"/>
      <c r="DK49" s="687"/>
      <c r="DL49" s="687"/>
      <c r="DM49" s="687"/>
      <c r="DN49" s="687"/>
      <c r="DO49" s="687"/>
      <c r="DP49" s="687"/>
      <c r="DQ49" s="687"/>
      <c r="DR49" s="687"/>
      <c r="DS49" s="687"/>
      <c r="DT49" s="687"/>
      <c r="DU49" s="687"/>
      <c r="DV49" s="687"/>
      <c r="DW49" s="687"/>
      <c r="DX49" s="687"/>
      <c r="DY49" s="687"/>
      <c r="DZ49" s="687"/>
      <c r="EA49" s="687"/>
      <c r="EB49" s="687"/>
      <c r="EC49" s="687"/>
      <c r="ED49" s="687"/>
      <c r="EE49" s="687"/>
      <c r="EF49" s="687"/>
      <c r="EG49" s="687"/>
      <c r="EH49" s="687"/>
      <c r="EI49" s="687"/>
      <c r="EJ49" s="687"/>
      <c r="EK49" s="687"/>
      <c r="EL49" s="687"/>
      <c r="EM49" s="687"/>
      <c r="EN49" s="687"/>
      <c r="EO49" s="687"/>
      <c r="EP49" s="687"/>
      <c r="EQ49" s="687"/>
      <c r="ER49" s="687"/>
      <c r="ES49" s="687"/>
      <c r="ET49" s="687"/>
      <c r="EU49" s="687"/>
      <c r="EV49" s="687"/>
      <c r="EW49" s="687"/>
      <c r="EX49" s="687"/>
      <c r="EY49" s="687"/>
      <c r="EZ49" s="687"/>
      <c r="FA49" s="687"/>
      <c r="FB49" s="687"/>
      <c r="FC49" s="687"/>
      <c r="FD49" s="687"/>
      <c r="FE49" s="687"/>
      <c r="FF49" s="687"/>
      <c r="FG49" s="687"/>
      <c r="FH49" s="687"/>
      <c r="FI49" s="687"/>
      <c r="FJ49" s="687"/>
      <c r="FK49" s="687"/>
      <c r="FL49" s="687"/>
      <c r="FM49" s="687"/>
      <c r="FN49" s="687"/>
      <c r="FO49" s="687"/>
      <c r="FP49" s="687"/>
      <c r="FQ49" s="687"/>
      <c r="FR49" s="687"/>
      <c r="FS49" s="687"/>
      <c r="FT49" s="687"/>
      <c r="FU49" s="687"/>
      <c r="FV49" s="687"/>
      <c r="FW49" s="687"/>
      <c r="FX49" s="687"/>
      <c r="FY49" s="687"/>
      <c r="FZ49" s="687"/>
      <c r="GA49" s="687"/>
      <c r="GB49" s="687"/>
      <c r="GC49" s="687"/>
      <c r="GD49" s="687"/>
      <c r="GE49" s="687"/>
      <c r="GF49" s="687"/>
      <c r="GG49" s="687"/>
      <c r="GH49" s="687"/>
      <c r="GI49" s="687"/>
      <c r="GJ49" s="687"/>
      <c r="GK49" s="687"/>
      <c r="GL49" s="687"/>
      <c r="GM49" s="687"/>
      <c r="GN49" s="687"/>
      <c r="GO49" s="687"/>
      <c r="GP49" s="687"/>
      <c r="GQ49" s="687"/>
      <c r="GR49" s="687"/>
      <c r="GS49" s="687"/>
      <c r="GT49" s="687"/>
      <c r="GU49" s="687"/>
      <c r="GV49" s="687"/>
      <c r="GW49" s="687"/>
      <c r="GX49" s="687"/>
      <c r="GY49" s="687"/>
      <c r="GZ49" s="687"/>
      <c r="HA49" s="687"/>
      <c r="HB49" s="687"/>
      <c r="HC49" s="687"/>
      <c r="HD49" s="687"/>
      <c r="HE49" s="687"/>
      <c r="HF49" s="687"/>
      <c r="HG49" s="687"/>
      <c r="HH49" s="687"/>
      <c r="HI49" s="687"/>
      <c r="HJ49" s="687"/>
      <c r="HK49" s="687"/>
      <c r="HL49" s="687"/>
      <c r="HM49" s="687"/>
      <c r="HN49" s="687"/>
      <c r="HO49" s="687"/>
      <c r="HP49" s="687"/>
      <c r="HQ49" s="687"/>
      <c r="HR49" s="687"/>
      <c r="HS49" s="687"/>
      <c r="HT49" s="687"/>
      <c r="HU49" s="687"/>
      <c r="HV49" s="687"/>
      <c r="HW49" s="687"/>
      <c r="HX49" s="687"/>
      <c r="HY49" s="687"/>
      <c r="HZ49" s="687"/>
      <c r="IA49" s="687"/>
      <c r="IB49" s="687"/>
      <c r="IC49" s="687"/>
      <c r="ID49" s="687"/>
      <c r="IE49" s="687"/>
      <c r="IF49" s="687"/>
      <c r="IG49" s="687"/>
      <c r="IH49" s="687"/>
      <c r="II49" s="687"/>
      <c r="IJ49" s="687"/>
      <c r="IK49" s="687"/>
      <c r="IL49" s="687"/>
      <c r="IM49" s="687"/>
      <c r="IN49" s="687"/>
      <c r="IO49" s="687"/>
      <c r="IP49" s="687"/>
      <c r="IQ49" s="687"/>
      <c r="IR49" s="687"/>
      <c r="IS49" s="687"/>
      <c r="IT49" s="687"/>
      <c r="IU49" s="687"/>
      <c r="IV49" s="687"/>
    </row>
    <row r="50" spans="1:256" ht="15.6" x14ac:dyDescent="0.3">
      <c r="A50" s="866"/>
      <c r="B50" s="863" t="s">
        <v>759</v>
      </c>
      <c r="C50" s="864">
        <v>0.2</v>
      </c>
      <c r="D50" s="867"/>
      <c r="E50" s="868"/>
      <c r="F50" s="685"/>
      <c r="G50" s="685"/>
      <c r="H50" s="685"/>
      <c r="I50" s="668" t="s">
        <v>25</v>
      </c>
      <c r="J50" s="687"/>
      <c r="K50" s="685"/>
      <c r="L50" s="685"/>
      <c r="M50" s="685"/>
      <c r="N50" s="685"/>
      <c r="O50" s="685"/>
      <c r="P50" s="685"/>
      <c r="Q50" s="870"/>
      <c r="R50" s="687"/>
      <c r="S50" s="687"/>
      <c r="T50" s="687"/>
      <c r="U50" s="687"/>
      <c r="V50" s="687"/>
      <c r="W50" s="687"/>
      <c r="X50" s="687"/>
      <c r="Y50" s="860"/>
      <c r="Z50" s="861"/>
      <c r="AA50" s="861"/>
      <c r="AB50" s="862"/>
      <c r="AC50" s="861"/>
      <c r="AD50" s="687"/>
      <c r="AE50" s="687"/>
      <c r="AF50" s="687"/>
      <c r="AG50" s="687"/>
      <c r="AH50" s="687"/>
      <c r="AI50" s="687"/>
      <c r="AJ50" s="687"/>
      <c r="AK50" s="687"/>
      <c r="AL50" s="687"/>
      <c r="AM50" s="687"/>
      <c r="AN50" s="687"/>
      <c r="AO50" s="687"/>
      <c r="AP50" s="687"/>
      <c r="AQ50" s="687"/>
      <c r="AR50" s="687"/>
      <c r="AS50" s="687"/>
      <c r="AT50" s="687"/>
      <c r="AU50" s="687"/>
      <c r="AV50" s="687"/>
      <c r="AW50" s="687"/>
      <c r="AX50" s="687"/>
      <c r="AY50" s="687"/>
      <c r="AZ50" s="687"/>
      <c r="BA50" s="687"/>
      <c r="BB50" s="687"/>
      <c r="BC50" s="687"/>
      <c r="BD50" s="687"/>
      <c r="BE50" s="687"/>
      <c r="BF50" s="687"/>
      <c r="BG50" s="687"/>
      <c r="BH50" s="687"/>
      <c r="BI50" s="687"/>
      <c r="BJ50" s="687"/>
      <c r="BK50" s="687"/>
      <c r="BL50" s="687"/>
      <c r="BM50" s="687"/>
      <c r="BN50" s="687"/>
      <c r="BO50" s="687"/>
      <c r="BP50" s="687"/>
      <c r="BQ50" s="687"/>
      <c r="BR50" s="687"/>
      <c r="BS50" s="687"/>
      <c r="BT50" s="687"/>
      <c r="BU50" s="687"/>
      <c r="BV50" s="687"/>
      <c r="BW50" s="687"/>
      <c r="BX50" s="687"/>
      <c r="BY50" s="687"/>
      <c r="BZ50" s="687"/>
      <c r="CA50" s="687"/>
      <c r="CB50" s="687"/>
      <c r="CC50" s="687"/>
      <c r="CD50" s="687"/>
      <c r="CE50" s="687"/>
      <c r="CF50" s="687"/>
      <c r="CG50" s="687"/>
      <c r="CH50" s="687"/>
      <c r="CI50" s="687"/>
      <c r="CJ50" s="687"/>
      <c r="CK50" s="687"/>
      <c r="CL50" s="687"/>
      <c r="CM50" s="687"/>
      <c r="CN50" s="687"/>
      <c r="CO50" s="687"/>
      <c r="CP50" s="687"/>
      <c r="CQ50" s="687"/>
      <c r="CR50" s="687"/>
      <c r="CS50" s="687"/>
      <c r="CT50" s="687"/>
      <c r="CU50" s="687"/>
      <c r="CV50" s="687"/>
      <c r="CW50" s="687"/>
      <c r="CX50" s="687"/>
      <c r="CY50" s="687"/>
      <c r="CZ50" s="687"/>
      <c r="DA50" s="687"/>
      <c r="DB50" s="687"/>
      <c r="DC50" s="687"/>
      <c r="DD50" s="687"/>
      <c r="DE50" s="687"/>
      <c r="DF50" s="687"/>
      <c r="DG50" s="687"/>
      <c r="DH50" s="687"/>
      <c r="DI50" s="687"/>
      <c r="DJ50" s="687"/>
      <c r="DK50" s="687"/>
      <c r="DL50" s="687"/>
      <c r="DM50" s="687"/>
      <c r="DN50" s="687"/>
      <c r="DO50" s="687"/>
      <c r="DP50" s="687"/>
      <c r="DQ50" s="687"/>
      <c r="DR50" s="687"/>
      <c r="DS50" s="687"/>
      <c r="DT50" s="687"/>
      <c r="DU50" s="687"/>
      <c r="DV50" s="687"/>
      <c r="DW50" s="687"/>
      <c r="DX50" s="687"/>
      <c r="DY50" s="687"/>
      <c r="DZ50" s="687"/>
      <c r="EA50" s="687"/>
      <c r="EB50" s="687"/>
      <c r="EC50" s="687"/>
      <c r="ED50" s="687"/>
      <c r="EE50" s="687"/>
      <c r="EF50" s="687"/>
      <c r="EG50" s="687"/>
      <c r="EH50" s="687"/>
      <c r="EI50" s="687"/>
      <c r="EJ50" s="687"/>
      <c r="EK50" s="687"/>
      <c r="EL50" s="687"/>
      <c r="EM50" s="687"/>
      <c r="EN50" s="687"/>
      <c r="EO50" s="687"/>
      <c r="EP50" s="687"/>
      <c r="EQ50" s="687"/>
      <c r="ER50" s="687"/>
      <c r="ES50" s="687"/>
      <c r="ET50" s="687"/>
      <c r="EU50" s="687"/>
      <c r="EV50" s="687"/>
      <c r="EW50" s="687"/>
      <c r="EX50" s="687"/>
      <c r="EY50" s="687"/>
      <c r="EZ50" s="687"/>
      <c r="FA50" s="687"/>
      <c r="FB50" s="687"/>
      <c r="FC50" s="687"/>
      <c r="FD50" s="687"/>
      <c r="FE50" s="687"/>
      <c r="FF50" s="687"/>
      <c r="FG50" s="687"/>
      <c r="FH50" s="687"/>
      <c r="FI50" s="687"/>
      <c r="FJ50" s="687"/>
      <c r="FK50" s="687"/>
      <c r="FL50" s="687"/>
      <c r="FM50" s="687"/>
      <c r="FN50" s="687"/>
      <c r="FO50" s="687"/>
      <c r="FP50" s="687"/>
      <c r="FQ50" s="687"/>
      <c r="FR50" s="687"/>
      <c r="FS50" s="687"/>
      <c r="FT50" s="687"/>
      <c r="FU50" s="687"/>
      <c r="FV50" s="687"/>
      <c r="FW50" s="687"/>
      <c r="FX50" s="687"/>
      <c r="FY50" s="687"/>
      <c r="FZ50" s="687"/>
      <c r="GA50" s="687"/>
      <c r="GB50" s="687"/>
      <c r="GC50" s="687"/>
      <c r="GD50" s="687"/>
      <c r="GE50" s="687"/>
      <c r="GF50" s="687"/>
      <c r="GG50" s="687"/>
      <c r="GH50" s="687"/>
      <c r="GI50" s="687"/>
      <c r="GJ50" s="687"/>
      <c r="GK50" s="687"/>
      <c r="GL50" s="687"/>
      <c r="GM50" s="687"/>
      <c r="GN50" s="687"/>
      <c r="GO50" s="687"/>
      <c r="GP50" s="687"/>
      <c r="GQ50" s="687"/>
      <c r="GR50" s="687"/>
      <c r="GS50" s="687"/>
      <c r="GT50" s="687"/>
      <c r="GU50" s="687"/>
      <c r="GV50" s="687"/>
      <c r="GW50" s="687"/>
      <c r="GX50" s="687"/>
      <c r="GY50" s="687"/>
      <c r="GZ50" s="687"/>
      <c r="HA50" s="687"/>
      <c r="HB50" s="687"/>
      <c r="HC50" s="687"/>
      <c r="HD50" s="687"/>
      <c r="HE50" s="687"/>
      <c r="HF50" s="687"/>
      <c r="HG50" s="687"/>
      <c r="HH50" s="687"/>
      <c r="HI50" s="687"/>
      <c r="HJ50" s="687"/>
      <c r="HK50" s="687"/>
      <c r="HL50" s="687"/>
      <c r="HM50" s="687"/>
      <c r="HN50" s="687"/>
      <c r="HO50" s="687"/>
      <c r="HP50" s="687"/>
      <c r="HQ50" s="687"/>
      <c r="HR50" s="687"/>
      <c r="HS50" s="687"/>
      <c r="HT50" s="687"/>
      <c r="HU50" s="687"/>
      <c r="HV50" s="687"/>
      <c r="HW50" s="687"/>
      <c r="HX50" s="687"/>
      <c r="HY50" s="687"/>
      <c r="HZ50" s="687"/>
      <c r="IA50" s="687"/>
      <c r="IB50" s="687"/>
      <c r="IC50" s="687"/>
      <c r="ID50" s="687"/>
      <c r="IE50" s="687"/>
      <c r="IF50" s="687"/>
      <c r="IG50" s="687"/>
      <c r="IH50" s="687"/>
      <c r="II50" s="687"/>
      <c r="IJ50" s="687"/>
      <c r="IK50" s="687"/>
      <c r="IL50" s="687"/>
      <c r="IM50" s="687"/>
      <c r="IN50" s="687"/>
      <c r="IO50" s="687"/>
      <c r="IP50" s="687"/>
      <c r="IQ50" s="687"/>
      <c r="IR50" s="687"/>
      <c r="IS50" s="687"/>
      <c r="IT50" s="687"/>
      <c r="IU50" s="687"/>
      <c r="IV50" s="687"/>
    </row>
    <row r="51" spans="1:256" ht="15.6" x14ac:dyDescent="0.3">
      <c r="A51" s="841"/>
      <c r="B51" s="863" t="s">
        <v>760</v>
      </c>
      <c r="C51" s="864">
        <v>0.12</v>
      </c>
      <c r="D51" s="865"/>
      <c r="F51" s="668"/>
      <c r="G51" s="668"/>
      <c r="H51" s="668"/>
      <c r="I51" s="668"/>
      <c r="J51" s="849"/>
      <c r="K51" s="668"/>
      <c r="L51" s="668"/>
      <c r="M51" s="685"/>
      <c r="N51" s="685"/>
      <c r="O51" s="685"/>
      <c r="P51" s="668"/>
      <c r="Q51" s="845"/>
      <c r="Y51" s="860"/>
      <c r="Z51" s="861"/>
      <c r="AA51" s="861"/>
      <c r="AB51" s="862"/>
      <c r="AC51" s="861"/>
      <c r="AF51" s="687"/>
      <c r="AG51" s="687"/>
      <c r="AH51" s="687"/>
      <c r="AI51" s="687"/>
      <c r="AJ51" s="687"/>
    </row>
    <row r="52" spans="1:256" ht="15.6" x14ac:dyDescent="0.3">
      <c r="A52" s="841"/>
      <c r="B52" s="871" t="s">
        <v>469</v>
      </c>
      <c r="C52" s="864">
        <v>7.4999999999999997E-2</v>
      </c>
      <c r="D52" s="865"/>
      <c r="F52" s="668"/>
      <c r="G52" s="668"/>
      <c r="H52" s="668"/>
      <c r="I52" s="668"/>
      <c r="J52" s="849"/>
      <c r="K52" s="668"/>
      <c r="L52" s="668"/>
      <c r="M52" s="685"/>
      <c r="N52" s="685"/>
      <c r="O52" s="685"/>
      <c r="P52" s="668"/>
      <c r="Q52" s="845"/>
      <c r="Y52" s="860"/>
      <c r="Z52" s="861"/>
      <c r="AA52" s="861"/>
      <c r="AB52" s="862"/>
      <c r="AC52" s="861"/>
      <c r="AF52" s="687"/>
      <c r="AG52" s="687"/>
      <c r="AH52" s="687"/>
      <c r="AI52" s="687"/>
      <c r="AJ52" s="687"/>
    </row>
    <row r="53" spans="1:256" ht="15.6" x14ac:dyDescent="0.3">
      <c r="A53" s="872" t="s">
        <v>633</v>
      </c>
      <c r="B53" s="873" t="s">
        <v>0</v>
      </c>
      <c r="C53" s="1175" t="s">
        <v>761</v>
      </c>
      <c r="D53" s="1175"/>
      <c r="E53" s="1176" t="s">
        <v>762</v>
      </c>
      <c r="F53" s="1176"/>
      <c r="G53" s="1176"/>
      <c r="H53" s="874"/>
      <c r="I53" s="874"/>
      <c r="J53" s="875"/>
      <c r="K53" s="875"/>
      <c r="L53" s="668"/>
      <c r="M53" s="685"/>
      <c r="N53" s="685"/>
      <c r="O53" s="685"/>
      <c r="P53" s="668"/>
      <c r="Q53" s="845"/>
      <c r="S53" s="876"/>
      <c r="T53" s="876"/>
      <c r="U53" s="876"/>
      <c r="V53" s="876"/>
      <c r="W53" s="876"/>
      <c r="Y53" s="860"/>
      <c r="Z53" s="857"/>
      <c r="AA53" s="857"/>
      <c r="AB53" s="857"/>
      <c r="AC53" s="861"/>
      <c r="AF53" s="687"/>
      <c r="AG53" s="687"/>
      <c r="AH53" s="687"/>
      <c r="AI53" s="687"/>
      <c r="AJ53" s="687"/>
    </row>
    <row r="54" spans="1:256" ht="30" x14ac:dyDescent="0.3">
      <c r="A54" s="877"/>
      <c r="B54" s="878"/>
      <c r="C54" s="879" t="s">
        <v>763</v>
      </c>
      <c r="D54" s="880" t="s">
        <v>764</v>
      </c>
      <c r="E54" s="881" t="s">
        <v>765</v>
      </c>
      <c r="F54" s="881" t="s">
        <v>766</v>
      </c>
      <c r="G54" s="879" t="s">
        <v>767</v>
      </c>
      <c r="H54" s="882" t="s">
        <v>768</v>
      </c>
      <c r="I54" s="883" t="s">
        <v>1</v>
      </c>
      <c r="L54" s="668"/>
      <c r="M54" s="685"/>
      <c r="N54" s="685"/>
      <c r="O54" s="685"/>
      <c r="P54" s="668"/>
      <c r="Q54" s="845"/>
      <c r="S54" s="876"/>
      <c r="T54" s="876"/>
      <c r="U54" s="876"/>
      <c r="V54" s="876"/>
      <c r="W54" s="876"/>
      <c r="Y54" s="884"/>
      <c r="Z54" s="759"/>
      <c r="AA54" s="759"/>
      <c r="AB54" s="759"/>
      <c r="AC54" s="857"/>
    </row>
    <row r="55" spans="1:256" ht="15.6" x14ac:dyDescent="0.3">
      <c r="A55" s="877"/>
      <c r="B55" s="885">
        <v>0.05</v>
      </c>
      <c r="C55" s="886"/>
      <c r="D55" s="887">
        <f>(B55-C55)</f>
        <v>0.05</v>
      </c>
      <c r="E55" s="888">
        <v>0.18</v>
      </c>
      <c r="F55" s="888">
        <v>0.18</v>
      </c>
      <c r="G55" s="888">
        <v>0.18</v>
      </c>
      <c r="H55" s="889"/>
      <c r="I55" s="883"/>
      <c r="L55" s="668"/>
      <c r="M55" s="685"/>
      <c r="N55" s="685"/>
      <c r="O55" s="685"/>
      <c r="P55" s="668"/>
      <c r="Q55" s="845"/>
      <c r="S55" s="876"/>
      <c r="T55" s="876"/>
      <c r="U55" s="876"/>
      <c r="V55" s="876"/>
      <c r="W55" s="876"/>
      <c r="Y55" s="884"/>
      <c r="Z55" s="759"/>
      <c r="AA55" s="759"/>
      <c r="AB55" s="759"/>
      <c r="AC55" s="857"/>
    </row>
    <row r="56" spans="1:256" ht="15.6" x14ac:dyDescent="0.3">
      <c r="A56" s="830">
        <v>1</v>
      </c>
      <c r="B56" s="890" t="s">
        <v>769</v>
      </c>
      <c r="C56" s="891" t="e">
        <f>(SUM(D57:D67)+SUM(C57:C61)*1.07-C58*1.07-D58)*C55</f>
        <v>#REF!</v>
      </c>
      <c r="D56" s="892" t="e">
        <f>(SUM(D57:D68)+SUM(C57:C61)*1.07-C58*1.07-D58)*D55</f>
        <v>#REF!</v>
      </c>
      <c r="E56" s="893"/>
      <c r="F56" s="894" t="e">
        <f>D56*F55</f>
        <v>#REF!</v>
      </c>
      <c r="G56" s="893"/>
      <c r="H56" s="893"/>
      <c r="I56" s="895" t="e">
        <f>SUM(C56:H56)</f>
        <v>#REF!</v>
      </c>
      <c r="L56" s="668"/>
      <c r="M56" s="685"/>
      <c r="N56" s="685"/>
      <c r="O56" s="685"/>
      <c r="P56" s="668"/>
      <c r="Q56" s="668"/>
      <c r="S56" s="876"/>
      <c r="T56" s="876"/>
      <c r="U56" s="876"/>
      <c r="V56" s="876"/>
      <c r="W56" s="876"/>
    </row>
    <row r="57" spans="1:256" ht="15.6" x14ac:dyDescent="0.3">
      <c r="A57" s="896">
        <v>2</v>
      </c>
      <c r="B57" s="897" t="s">
        <v>770</v>
      </c>
      <c r="C57" s="855"/>
      <c r="D57" s="855" t="e">
        <f>'BOQ_STAGE-1'!F43/100</f>
        <v>#REF!</v>
      </c>
      <c r="E57" s="898" t="e">
        <f>D57*$E$55</f>
        <v>#REF!</v>
      </c>
      <c r="F57" s="899" t="e">
        <f>(D57*0.02)*($F$55)</f>
        <v>#REF!</v>
      </c>
      <c r="G57" s="899" t="e">
        <f>(D57*0.02)</f>
        <v>#REF!</v>
      </c>
      <c r="H57" s="900"/>
      <c r="I57" s="895" t="e">
        <f t="shared" ref="I57:I74" si="1">SUM(C57:H57)</f>
        <v>#REF!</v>
      </c>
      <c r="L57" s="668"/>
      <c r="M57" s="685"/>
      <c r="N57" s="685"/>
      <c r="O57" s="685"/>
      <c r="P57" s="668"/>
      <c r="Q57" s="668"/>
      <c r="S57" s="876"/>
      <c r="T57" s="876"/>
      <c r="U57" s="876"/>
      <c r="V57" s="876"/>
      <c r="W57" s="876"/>
    </row>
    <row r="58" spans="1:256" ht="15.6" x14ac:dyDescent="0.3">
      <c r="A58" s="896">
        <v>3</v>
      </c>
      <c r="B58" s="897" t="s">
        <v>771</v>
      </c>
      <c r="C58" s="855"/>
      <c r="D58" s="855"/>
      <c r="E58" s="898">
        <f>D58*E55</f>
        <v>0</v>
      </c>
      <c r="F58" s="898"/>
      <c r="G58" s="899">
        <f>(D58*0.02)*(1+$G$55)*0</f>
        <v>0</v>
      </c>
      <c r="H58" s="900"/>
      <c r="I58" s="895">
        <f t="shared" si="1"/>
        <v>0</v>
      </c>
      <c r="L58" s="668"/>
      <c r="M58" s="685"/>
      <c r="N58" s="685"/>
      <c r="O58" s="685"/>
      <c r="P58" s="668"/>
      <c r="Q58" s="668"/>
      <c r="S58" s="876"/>
      <c r="T58" s="876"/>
      <c r="U58" s="876"/>
      <c r="V58" s="876"/>
      <c r="W58" s="876"/>
    </row>
    <row r="59" spans="1:256" ht="15.6" x14ac:dyDescent="0.3">
      <c r="A59" s="896">
        <v>4</v>
      </c>
      <c r="B59" s="897" t="s">
        <v>772</v>
      </c>
      <c r="C59" s="855"/>
      <c r="D59" s="855">
        <f>'BOQ_STAGE-1'!F46/100</f>
        <v>3.2</v>
      </c>
      <c r="E59" s="898">
        <f>D59*E55</f>
        <v>0.57599999999999996</v>
      </c>
      <c r="F59" s="899">
        <f>(D59*0.09)*($F$55)</f>
        <v>5.1839999999999997E-2</v>
      </c>
      <c r="G59" s="899">
        <f>(D59*0.09)</f>
        <v>0.28799999999999998</v>
      </c>
      <c r="H59" s="900"/>
      <c r="I59" s="895">
        <f t="shared" si="1"/>
        <v>4.1158400000000004</v>
      </c>
      <c r="L59" s="668"/>
      <c r="M59" s="685"/>
      <c r="N59" s="685"/>
      <c r="O59" s="685"/>
      <c r="P59" s="668"/>
      <c r="Q59" s="668"/>
    </row>
    <row r="60" spans="1:256" ht="15.6" x14ac:dyDescent="0.3">
      <c r="A60" s="830">
        <v>5</v>
      </c>
      <c r="B60" s="901" t="s">
        <v>773</v>
      </c>
      <c r="C60" s="891"/>
      <c r="D60" s="855">
        <f>'BOQ_STAGE-1'!F50/100</f>
        <v>0.54</v>
      </c>
      <c r="E60" s="894">
        <f>D60*E55</f>
        <v>9.7200000000000009E-2</v>
      </c>
      <c r="F60" s="899">
        <f>(D60*0.09)*($F$55)</f>
        <v>8.7480000000000006E-3</v>
      </c>
      <c r="G60" s="899">
        <f>(D60*0.09)</f>
        <v>4.8600000000000004E-2</v>
      </c>
      <c r="H60" s="895"/>
      <c r="I60" s="895">
        <f t="shared" si="1"/>
        <v>0.69454799999999994</v>
      </c>
      <c r="J60" s="758"/>
      <c r="K60" s="758"/>
      <c r="L60" s="902"/>
      <c r="M60" s="903"/>
      <c r="N60" s="903"/>
      <c r="O60" s="903"/>
      <c r="P60" s="902"/>
      <c r="Q60" s="902"/>
      <c r="R60" s="758"/>
      <c r="S60" s="857"/>
      <c r="T60" s="857"/>
      <c r="U60" s="884"/>
      <c r="V60" s="857"/>
      <c r="W60" s="884"/>
      <c r="X60" s="758"/>
      <c r="Y60" s="758"/>
      <c r="Z60" s="758"/>
      <c r="AA60" s="758"/>
      <c r="AB60" s="758"/>
      <c r="AC60" s="758"/>
      <c r="AD60" s="758"/>
      <c r="AE60" s="758"/>
      <c r="AF60" s="758"/>
      <c r="AG60" s="758"/>
      <c r="AH60" s="758"/>
      <c r="AI60" s="758"/>
      <c r="AJ60" s="758"/>
      <c r="AK60" s="758"/>
      <c r="AL60" s="758"/>
      <c r="AM60" s="758"/>
      <c r="AN60" s="758"/>
      <c r="AO60" s="758"/>
      <c r="AP60" s="758"/>
      <c r="AQ60" s="758"/>
      <c r="AR60" s="758"/>
      <c r="AS60" s="758"/>
      <c r="AT60" s="758"/>
      <c r="AU60" s="758"/>
      <c r="AV60" s="758"/>
      <c r="AW60" s="758"/>
      <c r="AX60" s="758"/>
      <c r="AY60" s="758"/>
      <c r="AZ60" s="758"/>
      <c r="BA60" s="758"/>
      <c r="BB60" s="758"/>
      <c r="BC60" s="758"/>
      <c r="BD60" s="758"/>
      <c r="BE60" s="758"/>
      <c r="BF60" s="758"/>
      <c r="BG60" s="758"/>
      <c r="BH60" s="758"/>
      <c r="BI60" s="758"/>
      <c r="BJ60" s="758"/>
      <c r="BK60" s="758"/>
      <c r="BL60" s="758"/>
      <c r="BM60" s="758"/>
      <c r="BN60" s="758"/>
      <c r="BO60" s="758"/>
      <c r="BP60" s="758"/>
      <c r="BQ60" s="758"/>
      <c r="BR60" s="758"/>
      <c r="BS60" s="758"/>
      <c r="BT60" s="758"/>
      <c r="BU60" s="758"/>
      <c r="BV60" s="758"/>
      <c r="BW60" s="758"/>
      <c r="BX60" s="758"/>
      <c r="BY60" s="758"/>
      <c r="BZ60" s="758"/>
      <c r="CA60" s="758"/>
      <c r="CB60" s="758"/>
      <c r="CC60" s="758"/>
      <c r="CD60" s="758"/>
      <c r="CE60" s="758"/>
      <c r="CF60" s="758"/>
      <c r="CG60" s="758"/>
      <c r="CH60" s="758"/>
      <c r="CI60" s="758"/>
      <c r="CJ60" s="758"/>
      <c r="CK60" s="758"/>
      <c r="CL60" s="758"/>
      <c r="CM60" s="758"/>
      <c r="CN60" s="758"/>
      <c r="CO60" s="758"/>
      <c r="CP60" s="758"/>
      <c r="CQ60" s="758"/>
      <c r="CR60" s="758"/>
      <c r="CS60" s="758"/>
      <c r="CT60" s="758"/>
      <c r="CU60" s="758"/>
      <c r="CV60" s="758"/>
      <c r="CW60" s="758"/>
      <c r="CX60" s="758"/>
      <c r="CY60" s="758"/>
      <c r="CZ60" s="758"/>
      <c r="DA60" s="758"/>
      <c r="DB60" s="758"/>
      <c r="DC60" s="758"/>
      <c r="DD60" s="758"/>
      <c r="DE60" s="758"/>
      <c r="DF60" s="758"/>
      <c r="DG60" s="758"/>
      <c r="DH60" s="758"/>
      <c r="DI60" s="758"/>
      <c r="DJ60" s="758"/>
      <c r="DK60" s="758"/>
      <c r="DL60" s="758"/>
      <c r="DM60" s="758"/>
      <c r="DN60" s="758"/>
      <c r="DO60" s="758"/>
      <c r="DP60" s="758"/>
      <c r="DQ60" s="758"/>
      <c r="DR60" s="758"/>
      <c r="DS60" s="758"/>
      <c r="DT60" s="758"/>
      <c r="DU60" s="758"/>
      <c r="DV60" s="758"/>
      <c r="DW60" s="758"/>
      <c r="DX60" s="758"/>
      <c r="DY60" s="758"/>
      <c r="DZ60" s="758"/>
      <c r="EA60" s="758"/>
      <c r="EB60" s="758"/>
      <c r="EC60" s="758"/>
      <c r="ED60" s="758"/>
      <c r="EE60" s="758"/>
      <c r="EF60" s="758"/>
      <c r="EG60" s="758"/>
      <c r="EH60" s="758"/>
      <c r="EI60" s="758"/>
      <c r="EJ60" s="758"/>
      <c r="EK60" s="758"/>
      <c r="EL60" s="758"/>
      <c r="EM60" s="758"/>
      <c r="EN60" s="758"/>
      <c r="EO60" s="758"/>
      <c r="EP60" s="758"/>
      <c r="EQ60" s="758"/>
      <c r="ER60" s="758"/>
      <c r="ES60" s="758"/>
      <c r="ET60" s="758"/>
      <c r="EU60" s="758"/>
      <c r="EV60" s="758"/>
      <c r="EW60" s="758"/>
      <c r="EX60" s="758"/>
      <c r="EY60" s="758"/>
      <c r="EZ60" s="758"/>
      <c r="FA60" s="758"/>
      <c r="FB60" s="758"/>
      <c r="FC60" s="758"/>
      <c r="FD60" s="758"/>
      <c r="FE60" s="758"/>
      <c r="FF60" s="758"/>
      <c r="FG60" s="758"/>
      <c r="FH60" s="758"/>
      <c r="FI60" s="758"/>
      <c r="FJ60" s="758"/>
      <c r="FK60" s="758"/>
      <c r="FL60" s="758"/>
      <c r="FM60" s="758"/>
      <c r="FN60" s="758"/>
      <c r="FO60" s="758"/>
      <c r="FP60" s="758"/>
      <c r="FQ60" s="758"/>
      <c r="FR60" s="758"/>
      <c r="FS60" s="758"/>
      <c r="FT60" s="758"/>
      <c r="FU60" s="758"/>
      <c r="FV60" s="758"/>
      <c r="FW60" s="758"/>
      <c r="FX60" s="758"/>
      <c r="FY60" s="758"/>
      <c r="FZ60" s="758"/>
      <c r="GA60" s="758"/>
      <c r="GB60" s="758"/>
      <c r="GC60" s="758"/>
      <c r="GD60" s="758"/>
      <c r="GE60" s="758"/>
      <c r="GF60" s="758"/>
      <c r="GG60" s="758"/>
      <c r="GH60" s="758"/>
      <c r="GI60" s="758"/>
      <c r="GJ60" s="758"/>
      <c r="GK60" s="758"/>
      <c r="GL60" s="758"/>
      <c r="GM60" s="758"/>
      <c r="GN60" s="758"/>
      <c r="GO60" s="758"/>
      <c r="GP60" s="758"/>
      <c r="GQ60" s="758"/>
      <c r="GR60" s="758"/>
      <c r="GS60" s="758"/>
      <c r="GT60" s="758"/>
      <c r="GU60" s="758"/>
      <c r="GV60" s="758"/>
      <c r="GW60" s="758"/>
      <c r="GX60" s="758"/>
      <c r="GY60" s="758"/>
      <c r="GZ60" s="758"/>
      <c r="HA60" s="758"/>
      <c r="HB60" s="758"/>
      <c r="HC60" s="758"/>
      <c r="HD60" s="758"/>
      <c r="HE60" s="758"/>
      <c r="HF60" s="758"/>
      <c r="HG60" s="758"/>
      <c r="HH60" s="758"/>
      <c r="HI60" s="758"/>
      <c r="HJ60" s="758"/>
      <c r="HK60" s="758"/>
      <c r="HL60" s="758"/>
      <c r="HM60" s="758"/>
      <c r="HN60" s="758"/>
      <c r="HO60" s="758"/>
      <c r="HP60" s="758"/>
      <c r="HQ60" s="758"/>
      <c r="HR60" s="758"/>
      <c r="HS60" s="758"/>
      <c r="HT60" s="758"/>
      <c r="HU60" s="758"/>
      <c r="HV60" s="758"/>
      <c r="HW60" s="758"/>
      <c r="HX60" s="758"/>
      <c r="HY60" s="758"/>
      <c r="HZ60" s="758"/>
      <c r="IA60" s="758"/>
      <c r="IB60" s="758"/>
      <c r="IC60" s="758"/>
      <c r="ID60" s="758"/>
      <c r="IE60" s="758"/>
      <c r="IF60" s="758"/>
      <c r="IG60" s="758"/>
      <c r="IH60" s="758"/>
      <c r="II60" s="758"/>
      <c r="IJ60" s="758"/>
      <c r="IK60" s="758"/>
      <c r="IL60" s="758"/>
      <c r="IM60" s="758"/>
      <c r="IN60" s="758"/>
      <c r="IO60" s="758"/>
      <c r="IP60" s="758"/>
      <c r="IQ60" s="758"/>
      <c r="IR60" s="758"/>
      <c r="IS60" s="758"/>
      <c r="IT60" s="758"/>
      <c r="IU60" s="758"/>
      <c r="IV60" s="758"/>
    </row>
    <row r="61" spans="1:256" ht="15.6" x14ac:dyDescent="0.3">
      <c r="A61" s="830">
        <v>6</v>
      </c>
      <c r="B61" s="901" t="s">
        <v>510</v>
      </c>
      <c r="C61" s="855"/>
      <c r="D61" s="855"/>
      <c r="E61" s="894">
        <f>D61*E55</f>
        <v>0</v>
      </c>
      <c r="F61" s="899">
        <f>(D61*0.09)*($F$55)</f>
        <v>0</v>
      </c>
      <c r="G61" s="899">
        <f>(D61*0.09)</f>
        <v>0</v>
      </c>
      <c r="H61" s="895"/>
      <c r="I61" s="895">
        <f t="shared" si="1"/>
        <v>0</v>
      </c>
      <c r="J61" s="758"/>
      <c r="K61" s="758"/>
      <c r="L61" s="902"/>
      <c r="M61" s="903"/>
      <c r="N61" s="903"/>
      <c r="O61" s="903"/>
      <c r="P61" s="902"/>
      <c r="Q61" s="902"/>
      <c r="R61" s="758"/>
      <c r="S61" s="904"/>
      <c r="T61" s="857"/>
      <c r="U61" s="905"/>
      <c r="V61" s="857"/>
      <c r="W61" s="857"/>
      <c r="X61" s="758"/>
      <c r="Y61" s="758"/>
      <c r="Z61" s="758"/>
      <c r="AA61" s="758"/>
      <c r="AB61" s="758"/>
      <c r="AC61" s="758"/>
      <c r="AD61" s="758"/>
      <c r="AE61" s="758"/>
      <c r="AF61" s="758"/>
      <c r="AG61" s="758"/>
      <c r="AH61" s="758"/>
      <c r="AI61" s="758"/>
      <c r="AJ61" s="758"/>
      <c r="AK61" s="758"/>
      <c r="AL61" s="758"/>
      <c r="AM61" s="758"/>
      <c r="AN61" s="758"/>
      <c r="AO61" s="758"/>
      <c r="AP61" s="758"/>
      <c r="AQ61" s="758"/>
      <c r="AR61" s="758"/>
      <c r="AS61" s="758"/>
      <c r="AT61" s="758"/>
      <c r="AU61" s="758"/>
      <c r="AV61" s="758"/>
      <c r="AW61" s="758"/>
      <c r="AX61" s="758"/>
      <c r="AY61" s="758"/>
      <c r="AZ61" s="758"/>
      <c r="BA61" s="758"/>
      <c r="BB61" s="758"/>
      <c r="BC61" s="758"/>
      <c r="BD61" s="758"/>
      <c r="BE61" s="758"/>
      <c r="BF61" s="758"/>
      <c r="BG61" s="758"/>
      <c r="BH61" s="758"/>
      <c r="BI61" s="758"/>
      <c r="BJ61" s="758"/>
      <c r="BK61" s="758"/>
      <c r="BL61" s="758"/>
      <c r="BM61" s="758"/>
      <c r="BN61" s="758"/>
      <c r="BO61" s="758"/>
      <c r="BP61" s="758"/>
      <c r="BQ61" s="758"/>
      <c r="BR61" s="758"/>
      <c r="BS61" s="758"/>
      <c r="BT61" s="758"/>
      <c r="BU61" s="758"/>
      <c r="BV61" s="758"/>
      <c r="BW61" s="758"/>
      <c r="BX61" s="758"/>
      <c r="BY61" s="758"/>
      <c r="BZ61" s="758"/>
      <c r="CA61" s="758"/>
      <c r="CB61" s="758"/>
      <c r="CC61" s="758"/>
      <c r="CD61" s="758"/>
      <c r="CE61" s="758"/>
      <c r="CF61" s="758"/>
      <c r="CG61" s="758"/>
      <c r="CH61" s="758"/>
      <c r="CI61" s="758"/>
      <c r="CJ61" s="758"/>
      <c r="CK61" s="758"/>
      <c r="CL61" s="758"/>
      <c r="CM61" s="758"/>
      <c r="CN61" s="758"/>
      <c r="CO61" s="758"/>
      <c r="CP61" s="758"/>
      <c r="CQ61" s="758"/>
      <c r="CR61" s="758"/>
      <c r="CS61" s="758"/>
      <c r="CT61" s="758"/>
      <c r="CU61" s="758"/>
      <c r="CV61" s="758"/>
      <c r="CW61" s="758"/>
      <c r="CX61" s="758"/>
      <c r="CY61" s="758"/>
      <c r="CZ61" s="758"/>
      <c r="DA61" s="758"/>
      <c r="DB61" s="758"/>
      <c r="DC61" s="758"/>
      <c r="DD61" s="758"/>
      <c r="DE61" s="758"/>
      <c r="DF61" s="758"/>
      <c r="DG61" s="758"/>
      <c r="DH61" s="758"/>
      <c r="DI61" s="758"/>
      <c r="DJ61" s="758"/>
      <c r="DK61" s="758"/>
      <c r="DL61" s="758"/>
      <c r="DM61" s="758"/>
      <c r="DN61" s="758"/>
      <c r="DO61" s="758"/>
      <c r="DP61" s="758"/>
      <c r="DQ61" s="758"/>
      <c r="DR61" s="758"/>
      <c r="DS61" s="758"/>
      <c r="DT61" s="758"/>
      <c r="DU61" s="758"/>
      <c r="DV61" s="758"/>
      <c r="DW61" s="758"/>
      <c r="DX61" s="758"/>
      <c r="DY61" s="758"/>
      <c r="DZ61" s="758"/>
      <c r="EA61" s="758"/>
      <c r="EB61" s="758"/>
      <c r="EC61" s="758"/>
      <c r="ED61" s="758"/>
      <c r="EE61" s="758"/>
      <c r="EF61" s="758"/>
      <c r="EG61" s="758"/>
      <c r="EH61" s="758"/>
      <c r="EI61" s="758"/>
      <c r="EJ61" s="758"/>
      <c r="EK61" s="758"/>
      <c r="EL61" s="758"/>
      <c r="EM61" s="758"/>
      <c r="EN61" s="758"/>
      <c r="EO61" s="758"/>
      <c r="EP61" s="758"/>
      <c r="EQ61" s="758"/>
      <c r="ER61" s="758"/>
      <c r="ES61" s="758"/>
      <c r="ET61" s="758"/>
      <c r="EU61" s="758"/>
      <c r="EV61" s="758"/>
      <c r="EW61" s="758"/>
      <c r="EX61" s="758"/>
      <c r="EY61" s="758"/>
      <c r="EZ61" s="758"/>
      <c r="FA61" s="758"/>
      <c r="FB61" s="758"/>
      <c r="FC61" s="758"/>
      <c r="FD61" s="758"/>
      <c r="FE61" s="758"/>
      <c r="FF61" s="758"/>
      <c r="FG61" s="758"/>
      <c r="FH61" s="758"/>
      <c r="FI61" s="758"/>
      <c r="FJ61" s="758"/>
      <c r="FK61" s="758"/>
      <c r="FL61" s="758"/>
      <c r="FM61" s="758"/>
      <c r="FN61" s="758"/>
      <c r="FO61" s="758"/>
      <c r="FP61" s="758"/>
      <c r="FQ61" s="758"/>
      <c r="FR61" s="758"/>
      <c r="FS61" s="758"/>
      <c r="FT61" s="758"/>
      <c r="FU61" s="758"/>
      <c r="FV61" s="758"/>
      <c r="FW61" s="758"/>
      <c r="FX61" s="758"/>
      <c r="FY61" s="758"/>
      <c r="FZ61" s="758"/>
      <c r="GA61" s="758"/>
      <c r="GB61" s="758"/>
      <c r="GC61" s="758"/>
      <c r="GD61" s="758"/>
      <c r="GE61" s="758"/>
      <c r="GF61" s="758"/>
      <c r="GG61" s="758"/>
      <c r="GH61" s="758"/>
      <c r="GI61" s="758"/>
      <c r="GJ61" s="758"/>
      <c r="GK61" s="758"/>
      <c r="GL61" s="758"/>
      <c r="GM61" s="758"/>
      <c r="GN61" s="758"/>
      <c r="GO61" s="758"/>
      <c r="GP61" s="758"/>
      <c r="GQ61" s="758"/>
      <c r="GR61" s="758"/>
      <c r="GS61" s="758"/>
      <c r="GT61" s="758"/>
      <c r="GU61" s="758"/>
      <c r="GV61" s="758"/>
      <c r="GW61" s="758"/>
      <c r="GX61" s="758"/>
      <c r="GY61" s="758"/>
      <c r="GZ61" s="758"/>
      <c r="HA61" s="758"/>
      <c r="HB61" s="758"/>
      <c r="HC61" s="758"/>
      <c r="HD61" s="758"/>
      <c r="HE61" s="758"/>
      <c r="HF61" s="758"/>
      <c r="HG61" s="758"/>
      <c r="HH61" s="758"/>
      <c r="HI61" s="758"/>
      <c r="HJ61" s="758"/>
      <c r="HK61" s="758"/>
      <c r="HL61" s="758"/>
      <c r="HM61" s="758"/>
      <c r="HN61" s="758"/>
      <c r="HO61" s="758"/>
      <c r="HP61" s="758"/>
      <c r="HQ61" s="758"/>
      <c r="HR61" s="758"/>
      <c r="HS61" s="758"/>
      <c r="HT61" s="758"/>
      <c r="HU61" s="758"/>
      <c r="HV61" s="758"/>
      <c r="HW61" s="758"/>
      <c r="HX61" s="758"/>
      <c r="HY61" s="758"/>
      <c r="HZ61" s="758"/>
      <c r="IA61" s="758"/>
      <c r="IB61" s="758"/>
      <c r="IC61" s="758"/>
      <c r="ID61" s="758"/>
      <c r="IE61" s="758"/>
      <c r="IF61" s="758"/>
      <c r="IG61" s="758"/>
      <c r="IH61" s="758"/>
      <c r="II61" s="758"/>
      <c r="IJ61" s="758"/>
      <c r="IK61" s="758"/>
      <c r="IL61" s="758"/>
      <c r="IM61" s="758"/>
      <c r="IN61" s="758"/>
      <c r="IO61" s="758"/>
      <c r="IP61" s="758"/>
      <c r="IQ61" s="758"/>
      <c r="IR61" s="758"/>
      <c r="IS61" s="758"/>
      <c r="IT61" s="758"/>
      <c r="IU61" s="758"/>
      <c r="IV61" s="758"/>
    </row>
    <row r="62" spans="1:256" ht="30" x14ac:dyDescent="0.3">
      <c r="A62" s="830">
        <v>7</v>
      </c>
      <c r="B62" s="906" t="s">
        <v>774</v>
      </c>
      <c r="C62" s="891"/>
      <c r="D62" s="855">
        <f>'BOQ_STAGE-1'!F148/100</f>
        <v>7.8581224040000022</v>
      </c>
      <c r="E62" s="894"/>
      <c r="F62" s="907">
        <f>D62*F55</f>
        <v>1.4144620327200004</v>
      </c>
      <c r="G62" s="894"/>
      <c r="H62" s="894"/>
      <c r="I62" s="895">
        <f t="shared" si="1"/>
        <v>9.2725844367200025</v>
      </c>
      <c r="J62" s="758"/>
      <c r="K62" s="758"/>
      <c r="L62" s="902"/>
      <c r="M62" s="903"/>
      <c r="N62" s="903"/>
      <c r="O62" s="903"/>
      <c r="P62" s="902"/>
      <c r="Q62" s="902"/>
      <c r="R62" s="758"/>
      <c r="S62" s="904"/>
      <c r="T62" s="857"/>
      <c r="U62" s="905"/>
      <c r="V62" s="857"/>
      <c r="W62" s="857"/>
      <c r="X62" s="758"/>
      <c r="Y62" s="758"/>
      <c r="Z62" s="758"/>
      <c r="AA62" s="758"/>
      <c r="AB62" s="758"/>
      <c r="AC62" s="758"/>
      <c r="AD62" s="758"/>
      <c r="AE62" s="758"/>
      <c r="AF62" s="758"/>
      <c r="AG62" s="758"/>
      <c r="AH62" s="758"/>
      <c r="AI62" s="758"/>
      <c r="AJ62" s="758"/>
      <c r="AK62" s="758"/>
      <c r="AL62" s="758"/>
      <c r="AM62" s="758"/>
      <c r="AN62" s="758"/>
      <c r="AO62" s="758"/>
      <c r="AP62" s="758"/>
      <c r="AQ62" s="758"/>
      <c r="AR62" s="758"/>
      <c r="AS62" s="758"/>
      <c r="AT62" s="758"/>
      <c r="AU62" s="758"/>
      <c r="AV62" s="758"/>
      <c r="AW62" s="758"/>
      <c r="AX62" s="758"/>
      <c r="AY62" s="758"/>
      <c r="AZ62" s="758"/>
      <c r="BA62" s="758"/>
      <c r="BB62" s="758"/>
      <c r="BC62" s="758"/>
      <c r="BD62" s="758"/>
      <c r="BE62" s="758"/>
      <c r="BF62" s="758"/>
      <c r="BG62" s="758"/>
      <c r="BH62" s="758"/>
      <c r="BI62" s="758"/>
      <c r="BJ62" s="758"/>
      <c r="BK62" s="758"/>
      <c r="BL62" s="758"/>
      <c r="BM62" s="758"/>
      <c r="BN62" s="758"/>
      <c r="BO62" s="758"/>
      <c r="BP62" s="758"/>
      <c r="BQ62" s="758"/>
      <c r="BR62" s="758"/>
      <c r="BS62" s="758"/>
      <c r="BT62" s="758"/>
      <c r="BU62" s="758"/>
      <c r="BV62" s="758"/>
      <c r="BW62" s="758"/>
      <c r="BX62" s="758"/>
      <c r="BY62" s="758"/>
      <c r="BZ62" s="758"/>
      <c r="CA62" s="758"/>
      <c r="CB62" s="758"/>
      <c r="CC62" s="758"/>
      <c r="CD62" s="758"/>
      <c r="CE62" s="758"/>
      <c r="CF62" s="758"/>
      <c r="CG62" s="758"/>
      <c r="CH62" s="758"/>
      <c r="CI62" s="758"/>
      <c r="CJ62" s="758"/>
      <c r="CK62" s="758"/>
      <c r="CL62" s="758"/>
      <c r="CM62" s="758"/>
      <c r="CN62" s="758"/>
      <c r="CO62" s="758"/>
      <c r="CP62" s="758"/>
      <c r="CQ62" s="758"/>
      <c r="CR62" s="758"/>
      <c r="CS62" s="758"/>
      <c r="CT62" s="758"/>
      <c r="CU62" s="758"/>
      <c r="CV62" s="758"/>
      <c r="CW62" s="758"/>
      <c r="CX62" s="758"/>
      <c r="CY62" s="758"/>
      <c r="CZ62" s="758"/>
      <c r="DA62" s="758"/>
      <c r="DB62" s="758"/>
      <c r="DC62" s="758"/>
      <c r="DD62" s="758"/>
      <c r="DE62" s="758"/>
      <c r="DF62" s="758"/>
      <c r="DG62" s="758"/>
      <c r="DH62" s="758"/>
      <c r="DI62" s="758"/>
      <c r="DJ62" s="758"/>
      <c r="DK62" s="758"/>
      <c r="DL62" s="758"/>
      <c r="DM62" s="758"/>
      <c r="DN62" s="758"/>
      <c r="DO62" s="758"/>
      <c r="DP62" s="758"/>
      <c r="DQ62" s="758"/>
      <c r="DR62" s="758"/>
      <c r="DS62" s="758"/>
      <c r="DT62" s="758"/>
      <c r="DU62" s="758"/>
      <c r="DV62" s="758"/>
      <c r="DW62" s="758"/>
      <c r="DX62" s="758"/>
      <c r="DY62" s="758"/>
      <c r="DZ62" s="758"/>
      <c r="EA62" s="758"/>
      <c r="EB62" s="758"/>
      <c r="EC62" s="758"/>
      <c r="ED62" s="758"/>
      <c r="EE62" s="758"/>
      <c r="EF62" s="758"/>
      <c r="EG62" s="758"/>
      <c r="EH62" s="758"/>
      <c r="EI62" s="758"/>
      <c r="EJ62" s="758"/>
      <c r="EK62" s="758"/>
      <c r="EL62" s="758"/>
      <c r="EM62" s="758"/>
      <c r="EN62" s="758"/>
      <c r="EO62" s="758"/>
      <c r="EP62" s="758"/>
      <c r="EQ62" s="758"/>
      <c r="ER62" s="758"/>
      <c r="ES62" s="758"/>
      <c r="ET62" s="758"/>
      <c r="EU62" s="758"/>
      <c r="EV62" s="758"/>
      <c r="EW62" s="758"/>
      <c r="EX62" s="758"/>
      <c r="EY62" s="758"/>
      <c r="EZ62" s="758"/>
      <c r="FA62" s="758"/>
      <c r="FB62" s="758"/>
      <c r="FC62" s="758"/>
      <c r="FD62" s="758"/>
      <c r="FE62" s="758"/>
      <c r="FF62" s="758"/>
      <c r="FG62" s="758"/>
      <c r="FH62" s="758"/>
      <c r="FI62" s="758"/>
      <c r="FJ62" s="758"/>
      <c r="FK62" s="758"/>
      <c r="FL62" s="758"/>
      <c r="FM62" s="758"/>
      <c r="FN62" s="758"/>
      <c r="FO62" s="758"/>
      <c r="FP62" s="758"/>
      <c r="FQ62" s="758"/>
      <c r="FR62" s="758"/>
      <c r="FS62" s="758"/>
      <c r="FT62" s="758"/>
      <c r="FU62" s="758"/>
      <c r="FV62" s="758"/>
      <c r="FW62" s="758"/>
      <c r="FX62" s="758"/>
      <c r="FY62" s="758"/>
      <c r="FZ62" s="758"/>
      <c r="GA62" s="758"/>
      <c r="GB62" s="758"/>
      <c r="GC62" s="758"/>
      <c r="GD62" s="758"/>
      <c r="GE62" s="758"/>
      <c r="GF62" s="758"/>
      <c r="GG62" s="758"/>
      <c r="GH62" s="758"/>
      <c r="GI62" s="758"/>
      <c r="GJ62" s="758"/>
      <c r="GK62" s="758"/>
      <c r="GL62" s="758"/>
      <c r="GM62" s="758"/>
      <c r="GN62" s="758"/>
      <c r="GO62" s="758"/>
      <c r="GP62" s="758"/>
      <c r="GQ62" s="758"/>
      <c r="GR62" s="758"/>
      <c r="GS62" s="758"/>
      <c r="GT62" s="758"/>
      <c r="GU62" s="758"/>
      <c r="GV62" s="758"/>
      <c r="GW62" s="758"/>
      <c r="GX62" s="758"/>
      <c r="GY62" s="758"/>
      <c r="GZ62" s="758"/>
      <c r="HA62" s="758"/>
      <c r="HB62" s="758"/>
      <c r="HC62" s="758"/>
      <c r="HD62" s="758"/>
      <c r="HE62" s="758"/>
      <c r="HF62" s="758"/>
      <c r="HG62" s="758"/>
      <c r="HH62" s="758"/>
      <c r="HI62" s="758"/>
      <c r="HJ62" s="758"/>
      <c r="HK62" s="758"/>
      <c r="HL62" s="758"/>
      <c r="HM62" s="758"/>
      <c r="HN62" s="758"/>
      <c r="HO62" s="758"/>
      <c r="HP62" s="758"/>
      <c r="HQ62" s="758"/>
      <c r="HR62" s="758"/>
      <c r="HS62" s="758"/>
      <c r="HT62" s="758"/>
      <c r="HU62" s="758"/>
      <c r="HV62" s="758"/>
      <c r="HW62" s="758"/>
      <c r="HX62" s="758"/>
      <c r="HY62" s="758"/>
      <c r="HZ62" s="758"/>
      <c r="IA62" s="758"/>
      <c r="IB62" s="758"/>
      <c r="IC62" s="758"/>
      <c r="ID62" s="758"/>
      <c r="IE62" s="758"/>
      <c r="IF62" s="758"/>
      <c r="IG62" s="758"/>
      <c r="IH62" s="758"/>
      <c r="II62" s="758"/>
      <c r="IJ62" s="758"/>
      <c r="IK62" s="758"/>
      <c r="IL62" s="758"/>
      <c r="IM62" s="758"/>
      <c r="IN62" s="758"/>
      <c r="IO62" s="758"/>
      <c r="IP62" s="758"/>
      <c r="IQ62" s="758"/>
      <c r="IR62" s="758"/>
      <c r="IS62" s="758"/>
      <c r="IT62" s="758"/>
      <c r="IU62" s="758"/>
      <c r="IV62" s="758"/>
    </row>
    <row r="63" spans="1:256" ht="15" x14ac:dyDescent="0.3">
      <c r="A63" s="830"/>
      <c r="B63" s="908" t="s">
        <v>775</v>
      </c>
      <c r="C63" s="891"/>
      <c r="D63" s="855">
        <f>'BOQ_STAGE-1'!F133/100</f>
        <v>1.4554055875652177</v>
      </c>
      <c r="E63" s="894"/>
      <c r="F63" s="907">
        <f>D63*F55</f>
        <v>0.26197300576173915</v>
      </c>
      <c r="G63" s="894"/>
      <c r="H63" s="894"/>
      <c r="I63" s="895">
        <f t="shared" si="1"/>
        <v>1.7173785933269567</v>
      </c>
      <c r="J63" s="758"/>
      <c r="K63" s="758"/>
      <c r="L63" s="902"/>
      <c r="M63" s="903"/>
      <c r="N63" s="903"/>
      <c r="O63" s="903"/>
      <c r="P63" s="902"/>
      <c r="Q63" s="902"/>
      <c r="R63" s="758"/>
      <c r="S63" s="904"/>
      <c r="T63" s="857"/>
      <c r="U63" s="905"/>
      <c r="V63" s="857"/>
      <c r="W63" s="857"/>
      <c r="X63" s="758"/>
      <c r="Y63" s="758"/>
      <c r="Z63" s="758"/>
      <c r="AA63" s="758"/>
      <c r="AB63" s="758"/>
      <c r="AC63" s="758"/>
      <c r="AD63" s="758"/>
      <c r="AE63" s="758"/>
      <c r="AF63" s="758"/>
      <c r="AG63" s="758"/>
      <c r="AH63" s="758"/>
      <c r="AI63" s="758"/>
      <c r="AJ63" s="758"/>
      <c r="AK63" s="758"/>
      <c r="AL63" s="758"/>
      <c r="AM63" s="758"/>
      <c r="AN63" s="758"/>
      <c r="AO63" s="758"/>
      <c r="AP63" s="758"/>
      <c r="AQ63" s="758"/>
      <c r="AR63" s="758"/>
      <c r="AS63" s="758"/>
      <c r="AT63" s="758"/>
      <c r="AU63" s="758"/>
      <c r="AV63" s="758"/>
      <c r="AW63" s="758"/>
      <c r="AX63" s="758"/>
      <c r="AY63" s="758"/>
      <c r="AZ63" s="758"/>
      <c r="BA63" s="758"/>
      <c r="BB63" s="758"/>
      <c r="BC63" s="758"/>
      <c r="BD63" s="758"/>
      <c r="BE63" s="758"/>
      <c r="BF63" s="758"/>
      <c r="BG63" s="758"/>
      <c r="BH63" s="758"/>
      <c r="BI63" s="758"/>
      <c r="BJ63" s="758"/>
      <c r="BK63" s="758"/>
      <c r="BL63" s="758"/>
      <c r="BM63" s="758"/>
      <c r="BN63" s="758"/>
      <c r="BO63" s="758"/>
      <c r="BP63" s="758"/>
      <c r="BQ63" s="758"/>
      <c r="BR63" s="758"/>
      <c r="BS63" s="758"/>
      <c r="BT63" s="758"/>
      <c r="BU63" s="758"/>
      <c r="BV63" s="758"/>
      <c r="BW63" s="758"/>
      <c r="BX63" s="758"/>
      <c r="BY63" s="758"/>
      <c r="BZ63" s="758"/>
      <c r="CA63" s="758"/>
      <c r="CB63" s="758"/>
      <c r="CC63" s="758"/>
      <c r="CD63" s="758"/>
      <c r="CE63" s="758"/>
      <c r="CF63" s="758"/>
      <c r="CG63" s="758"/>
      <c r="CH63" s="758"/>
      <c r="CI63" s="758"/>
      <c r="CJ63" s="758"/>
      <c r="CK63" s="758"/>
      <c r="CL63" s="758"/>
      <c r="CM63" s="758"/>
      <c r="CN63" s="758"/>
      <c r="CO63" s="758"/>
      <c r="CP63" s="758"/>
      <c r="CQ63" s="758"/>
      <c r="CR63" s="758"/>
      <c r="CS63" s="758"/>
      <c r="CT63" s="758"/>
      <c r="CU63" s="758"/>
      <c r="CV63" s="758"/>
      <c r="CW63" s="758"/>
      <c r="CX63" s="758"/>
      <c r="CY63" s="758"/>
      <c r="CZ63" s="758"/>
      <c r="DA63" s="758"/>
      <c r="DB63" s="758"/>
      <c r="DC63" s="758"/>
      <c r="DD63" s="758"/>
      <c r="DE63" s="758"/>
      <c r="DF63" s="758"/>
      <c r="DG63" s="758"/>
      <c r="DH63" s="758"/>
      <c r="DI63" s="758"/>
      <c r="DJ63" s="758"/>
      <c r="DK63" s="758"/>
      <c r="DL63" s="758"/>
      <c r="DM63" s="758"/>
      <c r="DN63" s="758"/>
      <c r="DO63" s="758"/>
      <c r="DP63" s="758"/>
      <c r="DQ63" s="758"/>
      <c r="DR63" s="758"/>
      <c r="DS63" s="758"/>
      <c r="DT63" s="758"/>
      <c r="DU63" s="758"/>
      <c r="DV63" s="758"/>
      <c r="DW63" s="758"/>
      <c r="DX63" s="758"/>
      <c r="DY63" s="758"/>
      <c r="DZ63" s="758"/>
      <c r="EA63" s="758"/>
      <c r="EB63" s="758"/>
      <c r="EC63" s="758"/>
      <c r="ED63" s="758"/>
      <c r="EE63" s="758"/>
      <c r="EF63" s="758"/>
      <c r="EG63" s="758"/>
      <c r="EH63" s="758"/>
      <c r="EI63" s="758"/>
      <c r="EJ63" s="758"/>
      <c r="EK63" s="758"/>
      <c r="EL63" s="758"/>
      <c r="EM63" s="758"/>
      <c r="EN63" s="758"/>
      <c r="EO63" s="758"/>
      <c r="EP63" s="758"/>
      <c r="EQ63" s="758"/>
      <c r="ER63" s="758"/>
      <c r="ES63" s="758"/>
      <c r="ET63" s="758"/>
      <c r="EU63" s="758"/>
      <c r="EV63" s="758"/>
      <c r="EW63" s="758"/>
      <c r="EX63" s="758"/>
      <c r="EY63" s="758"/>
      <c r="EZ63" s="758"/>
      <c r="FA63" s="758"/>
      <c r="FB63" s="758"/>
      <c r="FC63" s="758"/>
      <c r="FD63" s="758"/>
      <c r="FE63" s="758"/>
      <c r="FF63" s="758"/>
      <c r="FG63" s="758"/>
      <c r="FH63" s="758"/>
      <c r="FI63" s="758"/>
      <c r="FJ63" s="758"/>
      <c r="FK63" s="758"/>
      <c r="FL63" s="758"/>
      <c r="FM63" s="758"/>
      <c r="FN63" s="758"/>
      <c r="FO63" s="758"/>
      <c r="FP63" s="758"/>
      <c r="FQ63" s="758"/>
      <c r="FR63" s="758"/>
      <c r="FS63" s="758"/>
      <c r="FT63" s="758"/>
      <c r="FU63" s="758"/>
      <c r="FV63" s="758"/>
      <c r="FW63" s="758"/>
      <c r="FX63" s="758"/>
      <c r="FY63" s="758"/>
      <c r="FZ63" s="758"/>
      <c r="GA63" s="758"/>
      <c r="GB63" s="758"/>
      <c r="GC63" s="758"/>
      <c r="GD63" s="758"/>
      <c r="GE63" s="758"/>
      <c r="GF63" s="758"/>
      <c r="GG63" s="758"/>
      <c r="GH63" s="758"/>
      <c r="GI63" s="758"/>
      <c r="GJ63" s="758"/>
      <c r="GK63" s="758"/>
      <c r="GL63" s="758"/>
      <c r="GM63" s="758"/>
      <c r="GN63" s="758"/>
      <c r="GO63" s="758"/>
      <c r="GP63" s="758"/>
      <c r="GQ63" s="758"/>
      <c r="GR63" s="758"/>
      <c r="GS63" s="758"/>
      <c r="GT63" s="758"/>
      <c r="GU63" s="758"/>
      <c r="GV63" s="758"/>
      <c r="GW63" s="758"/>
      <c r="GX63" s="758"/>
      <c r="GY63" s="758"/>
      <c r="GZ63" s="758"/>
      <c r="HA63" s="758"/>
      <c r="HB63" s="758"/>
      <c r="HC63" s="758"/>
      <c r="HD63" s="758"/>
      <c r="HE63" s="758"/>
      <c r="HF63" s="758"/>
      <c r="HG63" s="758"/>
      <c r="HH63" s="758"/>
      <c r="HI63" s="758"/>
      <c r="HJ63" s="758"/>
      <c r="HK63" s="758"/>
      <c r="HL63" s="758"/>
      <c r="HM63" s="758"/>
      <c r="HN63" s="758"/>
      <c r="HO63" s="758"/>
      <c r="HP63" s="758"/>
      <c r="HQ63" s="758"/>
      <c r="HR63" s="758"/>
      <c r="HS63" s="758"/>
      <c r="HT63" s="758"/>
      <c r="HU63" s="758"/>
      <c r="HV63" s="758"/>
      <c r="HW63" s="758"/>
      <c r="HX63" s="758"/>
      <c r="HY63" s="758"/>
      <c r="HZ63" s="758"/>
      <c r="IA63" s="758"/>
      <c r="IB63" s="758"/>
      <c r="IC63" s="758"/>
      <c r="ID63" s="758"/>
      <c r="IE63" s="758"/>
      <c r="IF63" s="758"/>
      <c r="IG63" s="758"/>
      <c r="IH63" s="758"/>
      <c r="II63" s="758"/>
      <c r="IJ63" s="758"/>
      <c r="IK63" s="758"/>
      <c r="IL63" s="758"/>
      <c r="IM63" s="758"/>
      <c r="IN63" s="758"/>
      <c r="IO63" s="758"/>
      <c r="IP63" s="758"/>
      <c r="IQ63" s="758"/>
      <c r="IR63" s="758"/>
      <c r="IS63" s="758"/>
      <c r="IT63" s="758"/>
      <c r="IU63" s="758"/>
      <c r="IV63" s="758"/>
    </row>
    <row r="64" spans="1:256" ht="15.6" x14ac:dyDescent="0.3">
      <c r="A64" s="830">
        <v>8</v>
      </c>
      <c r="B64" s="909" t="s">
        <v>776</v>
      </c>
      <c r="C64" s="891"/>
      <c r="D64" s="910" t="e">
        <f>C57*1.07*C48+D57*C49</f>
        <v>#REF!</v>
      </c>
      <c r="E64" s="911"/>
      <c r="F64" s="907" t="e">
        <f>D64*F55</f>
        <v>#REF!</v>
      </c>
      <c r="G64" s="911"/>
      <c r="H64" s="911"/>
      <c r="I64" s="895" t="e">
        <f t="shared" si="1"/>
        <v>#REF!</v>
      </c>
      <c r="J64" s="758"/>
      <c r="K64" s="758"/>
      <c r="L64" s="902"/>
      <c r="M64" s="903"/>
      <c r="N64" s="903"/>
      <c r="O64" s="903"/>
      <c r="P64" s="902"/>
      <c r="Q64" s="902"/>
      <c r="R64" s="758"/>
      <c r="S64" s="912"/>
      <c r="T64" s="857"/>
      <c r="U64" s="857"/>
      <c r="V64" s="857"/>
      <c r="W64" s="857"/>
      <c r="X64" s="758"/>
      <c r="Y64" s="758"/>
      <c r="Z64" s="758"/>
      <c r="AA64" s="758"/>
      <c r="AB64" s="758"/>
      <c r="AC64" s="758"/>
      <c r="AD64" s="758"/>
      <c r="AE64" s="758"/>
      <c r="AF64" s="758"/>
      <c r="AG64" s="758"/>
      <c r="AH64" s="758"/>
      <c r="AI64" s="758"/>
      <c r="AJ64" s="758"/>
      <c r="AK64" s="758"/>
      <c r="AL64" s="758"/>
      <c r="AM64" s="758"/>
      <c r="AN64" s="758"/>
      <c r="AO64" s="758"/>
      <c r="AP64" s="758"/>
      <c r="AQ64" s="758"/>
      <c r="AR64" s="758"/>
      <c r="AS64" s="758"/>
      <c r="AT64" s="758"/>
      <c r="AU64" s="758"/>
      <c r="AV64" s="758"/>
      <c r="AW64" s="758"/>
      <c r="AX64" s="758"/>
      <c r="AY64" s="758"/>
      <c r="AZ64" s="758"/>
      <c r="BA64" s="758"/>
      <c r="BB64" s="758"/>
      <c r="BC64" s="758"/>
      <c r="BD64" s="758"/>
      <c r="BE64" s="758"/>
      <c r="BF64" s="758"/>
      <c r="BG64" s="758"/>
      <c r="BH64" s="758"/>
      <c r="BI64" s="758"/>
      <c r="BJ64" s="758"/>
      <c r="BK64" s="758"/>
      <c r="BL64" s="758"/>
      <c r="BM64" s="758"/>
      <c r="BN64" s="758"/>
      <c r="BO64" s="758"/>
      <c r="BP64" s="758"/>
      <c r="BQ64" s="758"/>
      <c r="BR64" s="758"/>
      <c r="BS64" s="758"/>
      <c r="BT64" s="758"/>
      <c r="BU64" s="758"/>
      <c r="BV64" s="758"/>
      <c r="BW64" s="758"/>
      <c r="BX64" s="758"/>
      <c r="BY64" s="758"/>
      <c r="BZ64" s="758"/>
      <c r="CA64" s="758"/>
      <c r="CB64" s="758"/>
      <c r="CC64" s="758"/>
      <c r="CD64" s="758"/>
      <c r="CE64" s="758"/>
      <c r="CF64" s="758"/>
      <c r="CG64" s="758"/>
      <c r="CH64" s="758"/>
      <c r="CI64" s="758"/>
      <c r="CJ64" s="758"/>
      <c r="CK64" s="758"/>
      <c r="CL64" s="758"/>
      <c r="CM64" s="758"/>
      <c r="CN64" s="758"/>
      <c r="CO64" s="758"/>
      <c r="CP64" s="758"/>
      <c r="CQ64" s="758"/>
      <c r="CR64" s="758"/>
      <c r="CS64" s="758"/>
      <c r="CT64" s="758"/>
      <c r="CU64" s="758"/>
      <c r="CV64" s="758"/>
      <c r="CW64" s="758"/>
      <c r="CX64" s="758"/>
      <c r="CY64" s="758"/>
      <c r="CZ64" s="758"/>
      <c r="DA64" s="758"/>
      <c r="DB64" s="758"/>
      <c r="DC64" s="758"/>
      <c r="DD64" s="758"/>
      <c r="DE64" s="758"/>
      <c r="DF64" s="758"/>
      <c r="DG64" s="758"/>
      <c r="DH64" s="758"/>
      <c r="DI64" s="758"/>
      <c r="DJ64" s="758"/>
      <c r="DK64" s="758"/>
      <c r="DL64" s="758"/>
      <c r="DM64" s="758"/>
      <c r="DN64" s="758"/>
      <c r="DO64" s="758"/>
      <c r="DP64" s="758"/>
      <c r="DQ64" s="758"/>
      <c r="DR64" s="758"/>
      <c r="DS64" s="758"/>
      <c r="DT64" s="758"/>
      <c r="DU64" s="758"/>
      <c r="DV64" s="758"/>
      <c r="DW64" s="758"/>
      <c r="DX64" s="758"/>
      <c r="DY64" s="758"/>
      <c r="DZ64" s="758"/>
      <c r="EA64" s="758"/>
      <c r="EB64" s="758"/>
      <c r="EC64" s="758"/>
      <c r="ED64" s="758"/>
      <c r="EE64" s="758"/>
      <c r="EF64" s="758"/>
      <c r="EG64" s="758"/>
      <c r="EH64" s="758"/>
      <c r="EI64" s="758"/>
      <c r="EJ64" s="758"/>
      <c r="EK64" s="758"/>
      <c r="EL64" s="758"/>
      <c r="EM64" s="758"/>
      <c r="EN64" s="758"/>
      <c r="EO64" s="758"/>
      <c r="EP64" s="758"/>
      <c r="EQ64" s="758"/>
      <c r="ER64" s="758"/>
      <c r="ES64" s="758"/>
      <c r="ET64" s="758"/>
      <c r="EU64" s="758"/>
      <c r="EV64" s="758"/>
      <c r="EW64" s="758"/>
      <c r="EX64" s="758"/>
      <c r="EY64" s="758"/>
      <c r="EZ64" s="758"/>
      <c r="FA64" s="758"/>
      <c r="FB64" s="758"/>
      <c r="FC64" s="758"/>
      <c r="FD64" s="758"/>
      <c r="FE64" s="758"/>
      <c r="FF64" s="758"/>
      <c r="FG64" s="758"/>
      <c r="FH64" s="758"/>
      <c r="FI64" s="758"/>
      <c r="FJ64" s="758"/>
      <c r="FK64" s="758"/>
      <c r="FL64" s="758"/>
      <c r="FM64" s="758"/>
      <c r="FN64" s="758"/>
      <c r="FO64" s="758"/>
      <c r="FP64" s="758"/>
      <c r="FQ64" s="758"/>
      <c r="FR64" s="758"/>
      <c r="FS64" s="758"/>
      <c r="FT64" s="758"/>
      <c r="FU64" s="758"/>
      <c r="FV64" s="758"/>
      <c r="FW64" s="758"/>
      <c r="FX64" s="758"/>
      <c r="FY64" s="758"/>
      <c r="FZ64" s="758"/>
      <c r="GA64" s="758"/>
      <c r="GB64" s="758"/>
      <c r="GC64" s="758"/>
      <c r="GD64" s="758"/>
      <c r="GE64" s="758"/>
      <c r="GF64" s="758"/>
      <c r="GG64" s="758"/>
      <c r="GH64" s="758"/>
      <c r="GI64" s="758"/>
      <c r="GJ64" s="758"/>
      <c r="GK64" s="758"/>
      <c r="GL64" s="758"/>
      <c r="GM64" s="758"/>
      <c r="GN64" s="758"/>
      <c r="GO64" s="758"/>
      <c r="GP64" s="758"/>
      <c r="GQ64" s="758"/>
      <c r="GR64" s="758"/>
      <c r="GS64" s="758"/>
      <c r="GT64" s="758"/>
      <c r="GU64" s="758"/>
      <c r="GV64" s="758"/>
      <c r="GW64" s="758"/>
      <c r="GX64" s="758"/>
      <c r="GY64" s="758"/>
      <c r="GZ64" s="758"/>
      <c r="HA64" s="758"/>
      <c r="HB64" s="758"/>
      <c r="HC64" s="758"/>
      <c r="HD64" s="758"/>
      <c r="HE64" s="758"/>
      <c r="HF64" s="758"/>
      <c r="HG64" s="758"/>
      <c r="HH64" s="758"/>
      <c r="HI64" s="758"/>
      <c r="HJ64" s="758"/>
      <c r="HK64" s="758"/>
      <c r="HL64" s="758"/>
      <c r="HM64" s="758"/>
      <c r="HN64" s="758"/>
      <c r="HO64" s="758"/>
      <c r="HP64" s="758"/>
      <c r="HQ64" s="758"/>
      <c r="HR64" s="758"/>
      <c r="HS64" s="758"/>
      <c r="HT64" s="758"/>
      <c r="HU64" s="758"/>
      <c r="HV64" s="758"/>
      <c r="HW64" s="758"/>
      <c r="HX64" s="758"/>
      <c r="HY64" s="758"/>
      <c r="HZ64" s="758"/>
      <c r="IA64" s="758"/>
      <c r="IB64" s="758"/>
      <c r="IC64" s="758"/>
      <c r="ID64" s="758"/>
      <c r="IE64" s="758"/>
      <c r="IF64" s="758"/>
      <c r="IG64" s="758"/>
      <c r="IH64" s="758"/>
      <c r="II64" s="758"/>
      <c r="IJ64" s="758"/>
      <c r="IK64" s="758"/>
      <c r="IL64" s="758"/>
      <c r="IM64" s="758"/>
      <c r="IN64" s="758"/>
      <c r="IO64" s="758"/>
      <c r="IP64" s="758"/>
      <c r="IQ64" s="758"/>
      <c r="IR64" s="758"/>
      <c r="IS64" s="758"/>
      <c r="IT64" s="758"/>
      <c r="IU64" s="758"/>
      <c r="IV64" s="758"/>
    </row>
    <row r="65" spans="1:256" ht="15.6" x14ac:dyDescent="0.3">
      <c r="A65" s="830"/>
      <c r="B65" s="909" t="s">
        <v>777</v>
      </c>
      <c r="C65" s="891"/>
      <c r="D65" s="910">
        <f>C59*1.07*C50+D59*C50</f>
        <v>0.64000000000000012</v>
      </c>
      <c r="E65" s="911"/>
      <c r="F65" s="907">
        <f>D65*F55</f>
        <v>0.11520000000000002</v>
      </c>
      <c r="G65" s="911"/>
      <c r="H65" s="911"/>
      <c r="I65" s="895">
        <f t="shared" si="1"/>
        <v>0.75520000000000009</v>
      </c>
      <c r="J65" s="758"/>
      <c r="K65" s="758"/>
      <c r="L65" s="902"/>
      <c r="M65" s="903"/>
      <c r="N65" s="903"/>
      <c r="O65" s="903"/>
      <c r="P65" s="902"/>
      <c r="Q65" s="902"/>
      <c r="R65" s="758"/>
      <c r="S65" s="912"/>
      <c r="T65" s="857"/>
      <c r="U65" s="857"/>
      <c r="V65" s="857"/>
      <c r="W65" s="857"/>
      <c r="X65" s="758"/>
      <c r="Y65" s="758"/>
      <c r="Z65" s="758"/>
      <c r="AA65" s="758"/>
      <c r="AB65" s="758"/>
      <c r="AC65" s="758"/>
      <c r="AD65" s="758"/>
      <c r="AE65" s="758"/>
      <c r="AF65" s="758"/>
      <c r="AG65" s="758"/>
      <c r="AH65" s="758"/>
      <c r="AI65" s="758"/>
      <c r="AJ65" s="758"/>
      <c r="AK65" s="758"/>
      <c r="AL65" s="758"/>
      <c r="AM65" s="758"/>
      <c r="AN65" s="758"/>
      <c r="AO65" s="758"/>
      <c r="AP65" s="758"/>
      <c r="AQ65" s="758"/>
      <c r="AR65" s="758"/>
      <c r="AS65" s="758"/>
      <c r="AT65" s="758"/>
      <c r="AU65" s="758"/>
      <c r="AV65" s="758"/>
      <c r="AW65" s="758"/>
      <c r="AX65" s="758"/>
      <c r="AY65" s="758"/>
      <c r="AZ65" s="758"/>
      <c r="BA65" s="758"/>
      <c r="BB65" s="758"/>
      <c r="BC65" s="758"/>
      <c r="BD65" s="758"/>
      <c r="BE65" s="758"/>
      <c r="BF65" s="758"/>
      <c r="BG65" s="758"/>
      <c r="BH65" s="758"/>
      <c r="BI65" s="758"/>
      <c r="BJ65" s="758"/>
      <c r="BK65" s="758"/>
      <c r="BL65" s="758"/>
      <c r="BM65" s="758"/>
      <c r="BN65" s="758"/>
      <c r="BO65" s="758"/>
      <c r="BP65" s="758"/>
      <c r="BQ65" s="758"/>
      <c r="BR65" s="758"/>
      <c r="BS65" s="758"/>
      <c r="BT65" s="758"/>
      <c r="BU65" s="758"/>
      <c r="BV65" s="758"/>
      <c r="BW65" s="758"/>
      <c r="BX65" s="758"/>
      <c r="BY65" s="758"/>
      <c r="BZ65" s="758"/>
      <c r="CA65" s="758"/>
      <c r="CB65" s="758"/>
      <c r="CC65" s="758"/>
      <c r="CD65" s="758"/>
      <c r="CE65" s="758"/>
      <c r="CF65" s="758"/>
      <c r="CG65" s="758"/>
      <c r="CH65" s="758"/>
      <c r="CI65" s="758"/>
      <c r="CJ65" s="758"/>
      <c r="CK65" s="758"/>
      <c r="CL65" s="758"/>
      <c r="CM65" s="758"/>
      <c r="CN65" s="758"/>
      <c r="CO65" s="758"/>
      <c r="CP65" s="758"/>
      <c r="CQ65" s="758"/>
      <c r="CR65" s="758"/>
      <c r="CS65" s="758"/>
      <c r="CT65" s="758"/>
      <c r="CU65" s="758"/>
      <c r="CV65" s="758"/>
      <c r="CW65" s="758"/>
      <c r="CX65" s="758"/>
      <c r="CY65" s="758"/>
      <c r="CZ65" s="758"/>
      <c r="DA65" s="758"/>
      <c r="DB65" s="758"/>
      <c r="DC65" s="758"/>
      <c r="DD65" s="758"/>
      <c r="DE65" s="758"/>
      <c r="DF65" s="758"/>
      <c r="DG65" s="758"/>
      <c r="DH65" s="758"/>
      <c r="DI65" s="758"/>
      <c r="DJ65" s="758"/>
      <c r="DK65" s="758"/>
      <c r="DL65" s="758"/>
      <c r="DM65" s="758"/>
      <c r="DN65" s="758"/>
      <c r="DO65" s="758"/>
      <c r="DP65" s="758"/>
      <c r="DQ65" s="758"/>
      <c r="DR65" s="758"/>
      <c r="DS65" s="758"/>
      <c r="DT65" s="758"/>
      <c r="DU65" s="758"/>
      <c r="DV65" s="758"/>
      <c r="DW65" s="758"/>
      <c r="DX65" s="758"/>
      <c r="DY65" s="758"/>
      <c r="DZ65" s="758"/>
      <c r="EA65" s="758"/>
      <c r="EB65" s="758"/>
      <c r="EC65" s="758"/>
      <c r="ED65" s="758"/>
      <c r="EE65" s="758"/>
      <c r="EF65" s="758"/>
      <c r="EG65" s="758"/>
      <c r="EH65" s="758"/>
      <c r="EI65" s="758"/>
      <c r="EJ65" s="758"/>
      <c r="EK65" s="758"/>
      <c r="EL65" s="758"/>
      <c r="EM65" s="758"/>
      <c r="EN65" s="758"/>
      <c r="EO65" s="758"/>
      <c r="EP65" s="758"/>
      <c r="EQ65" s="758"/>
      <c r="ER65" s="758"/>
      <c r="ES65" s="758"/>
      <c r="ET65" s="758"/>
      <c r="EU65" s="758"/>
      <c r="EV65" s="758"/>
      <c r="EW65" s="758"/>
      <c r="EX65" s="758"/>
      <c r="EY65" s="758"/>
      <c r="EZ65" s="758"/>
      <c r="FA65" s="758"/>
      <c r="FB65" s="758"/>
      <c r="FC65" s="758"/>
      <c r="FD65" s="758"/>
      <c r="FE65" s="758"/>
      <c r="FF65" s="758"/>
      <c r="FG65" s="758"/>
      <c r="FH65" s="758"/>
      <c r="FI65" s="758"/>
      <c r="FJ65" s="758"/>
      <c r="FK65" s="758"/>
      <c r="FL65" s="758"/>
      <c r="FM65" s="758"/>
      <c r="FN65" s="758"/>
      <c r="FO65" s="758"/>
      <c r="FP65" s="758"/>
      <c r="FQ65" s="758"/>
      <c r="FR65" s="758"/>
      <c r="FS65" s="758"/>
      <c r="FT65" s="758"/>
      <c r="FU65" s="758"/>
      <c r="FV65" s="758"/>
      <c r="FW65" s="758"/>
      <c r="FX65" s="758"/>
      <c r="FY65" s="758"/>
      <c r="FZ65" s="758"/>
      <c r="GA65" s="758"/>
      <c r="GB65" s="758"/>
      <c r="GC65" s="758"/>
      <c r="GD65" s="758"/>
      <c r="GE65" s="758"/>
      <c r="GF65" s="758"/>
      <c r="GG65" s="758"/>
      <c r="GH65" s="758"/>
      <c r="GI65" s="758"/>
      <c r="GJ65" s="758"/>
      <c r="GK65" s="758"/>
      <c r="GL65" s="758"/>
      <c r="GM65" s="758"/>
      <c r="GN65" s="758"/>
      <c r="GO65" s="758"/>
      <c r="GP65" s="758"/>
      <c r="GQ65" s="758"/>
      <c r="GR65" s="758"/>
      <c r="GS65" s="758"/>
      <c r="GT65" s="758"/>
      <c r="GU65" s="758"/>
      <c r="GV65" s="758"/>
      <c r="GW65" s="758"/>
      <c r="GX65" s="758"/>
      <c r="GY65" s="758"/>
      <c r="GZ65" s="758"/>
      <c r="HA65" s="758"/>
      <c r="HB65" s="758"/>
      <c r="HC65" s="758"/>
      <c r="HD65" s="758"/>
      <c r="HE65" s="758"/>
      <c r="HF65" s="758"/>
      <c r="HG65" s="758"/>
      <c r="HH65" s="758"/>
      <c r="HI65" s="758"/>
      <c r="HJ65" s="758"/>
      <c r="HK65" s="758"/>
      <c r="HL65" s="758"/>
      <c r="HM65" s="758"/>
      <c r="HN65" s="758"/>
      <c r="HO65" s="758"/>
      <c r="HP65" s="758"/>
      <c r="HQ65" s="758"/>
      <c r="HR65" s="758"/>
      <c r="HS65" s="758"/>
      <c r="HT65" s="758"/>
      <c r="HU65" s="758"/>
      <c r="HV65" s="758"/>
      <c r="HW65" s="758"/>
      <c r="HX65" s="758"/>
      <c r="HY65" s="758"/>
      <c r="HZ65" s="758"/>
      <c r="IA65" s="758"/>
      <c r="IB65" s="758"/>
      <c r="IC65" s="758"/>
      <c r="ID65" s="758"/>
      <c r="IE65" s="758"/>
      <c r="IF65" s="758"/>
      <c r="IG65" s="758"/>
      <c r="IH65" s="758"/>
      <c r="II65" s="758"/>
      <c r="IJ65" s="758"/>
      <c r="IK65" s="758"/>
      <c r="IL65" s="758"/>
      <c r="IM65" s="758"/>
      <c r="IN65" s="758"/>
      <c r="IO65" s="758"/>
      <c r="IP65" s="758"/>
      <c r="IQ65" s="758"/>
      <c r="IR65" s="758"/>
      <c r="IS65" s="758"/>
      <c r="IT65" s="758"/>
      <c r="IU65" s="758"/>
      <c r="IV65" s="758"/>
    </row>
    <row r="66" spans="1:256" ht="15.6" x14ac:dyDescent="0.3">
      <c r="A66" s="830"/>
      <c r="B66" s="909" t="s">
        <v>778</v>
      </c>
      <c r="C66" s="891"/>
      <c r="D66" s="910">
        <f>C61*1.07*C51+D61*C51</f>
        <v>0</v>
      </c>
      <c r="E66" s="911"/>
      <c r="F66" s="907">
        <f>D66*F55</f>
        <v>0</v>
      </c>
      <c r="G66" s="911"/>
      <c r="H66" s="911"/>
      <c r="I66" s="895">
        <f t="shared" si="1"/>
        <v>0</v>
      </c>
      <c r="J66" s="758"/>
      <c r="K66" s="758"/>
      <c r="L66" s="902"/>
      <c r="M66" s="903"/>
      <c r="N66" s="903"/>
      <c r="O66" s="903"/>
      <c r="P66" s="902"/>
      <c r="Q66" s="902"/>
      <c r="R66" s="758"/>
      <c r="S66" s="912"/>
      <c r="T66" s="857"/>
      <c r="U66" s="857"/>
      <c r="V66" s="857"/>
      <c r="W66" s="857"/>
      <c r="X66" s="758"/>
      <c r="Y66" s="758"/>
      <c r="Z66" s="758"/>
      <c r="AA66" s="758"/>
      <c r="AB66" s="758"/>
      <c r="AC66" s="758"/>
      <c r="AD66" s="758"/>
      <c r="AE66" s="758"/>
      <c r="AF66" s="758"/>
      <c r="AG66" s="758"/>
      <c r="AH66" s="758"/>
      <c r="AI66" s="758"/>
      <c r="AJ66" s="758"/>
      <c r="AK66" s="758"/>
      <c r="AL66" s="758"/>
      <c r="AM66" s="758"/>
      <c r="AN66" s="758"/>
      <c r="AO66" s="758"/>
      <c r="AP66" s="758"/>
      <c r="AQ66" s="758"/>
      <c r="AR66" s="758"/>
      <c r="AS66" s="758"/>
      <c r="AT66" s="758"/>
      <c r="AU66" s="758"/>
      <c r="AV66" s="758"/>
      <c r="AW66" s="758"/>
      <c r="AX66" s="758"/>
      <c r="AY66" s="758"/>
      <c r="AZ66" s="758"/>
      <c r="BA66" s="758"/>
      <c r="BB66" s="758"/>
      <c r="BC66" s="758"/>
      <c r="BD66" s="758"/>
      <c r="BE66" s="758"/>
      <c r="BF66" s="758"/>
      <c r="BG66" s="758"/>
      <c r="BH66" s="758"/>
      <c r="BI66" s="758"/>
      <c r="BJ66" s="758"/>
      <c r="BK66" s="758"/>
      <c r="BL66" s="758"/>
      <c r="BM66" s="758"/>
      <c r="BN66" s="758"/>
      <c r="BO66" s="758"/>
      <c r="BP66" s="758"/>
      <c r="BQ66" s="758"/>
      <c r="BR66" s="758"/>
      <c r="BS66" s="758"/>
      <c r="BT66" s="758"/>
      <c r="BU66" s="758"/>
      <c r="BV66" s="758"/>
      <c r="BW66" s="758"/>
      <c r="BX66" s="758"/>
      <c r="BY66" s="758"/>
      <c r="BZ66" s="758"/>
      <c r="CA66" s="758"/>
      <c r="CB66" s="758"/>
      <c r="CC66" s="758"/>
      <c r="CD66" s="758"/>
      <c r="CE66" s="758"/>
      <c r="CF66" s="758"/>
      <c r="CG66" s="758"/>
      <c r="CH66" s="758"/>
      <c r="CI66" s="758"/>
      <c r="CJ66" s="758"/>
      <c r="CK66" s="758"/>
      <c r="CL66" s="758"/>
      <c r="CM66" s="758"/>
      <c r="CN66" s="758"/>
      <c r="CO66" s="758"/>
      <c r="CP66" s="758"/>
      <c r="CQ66" s="758"/>
      <c r="CR66" s="758"/>
      <c r="CS66" s="758"/>
      <c r="CT66" s="758"/>
      <c r="CU66" s="758"/>
      <c r="CV66" s="758"/>
      <c r="CW66" s="758"/>
      <c r="CX66" s="758"/>
      <c r="CY66" s="758"/>
      <c r="CZ66" s="758"/>
      <c r="DA66" s="758"/>
      <c r="DB66" s="758"/>
      <c r="DC66" s="758"/>
      <c r="DD66" s="758"/>
      <c r="DE66" s="758"/>
      <c r="DF66" s="758"/>
      <c r="DG66" s="758"/>
      <c r="DH66" s="758"/>
      <c r="DI66" s="758"/>
      <c r="DJ66" s="758"/>
      <c r="DK66" s="758"/>
      <c r="DL66" s="758"/>
      <c r="DM66" s="758"/>
      <c r="DN66" s="758"/>
      <c r="DO66" s="758"/>
      <c r="DP66" s="758"/>
      <c r="DQ66" s="758"/>
      <c r="DR66" s="758"/>
      <c r="DS66" s="758"/>
      <c r="DT66" s="758"/>
      <c r="DU66" s="758"/>
      <c r="DV66" s="758"/>
      <c r="DW66" s="758"/>
      <c r="DX66" s="758"/>
      <c r="DY66" s="758"/>
      <c r="DZ66" s="758"/>
      <c r="EA66" s="758"/>
      <c r="EB66" s="758"/>
      <c r="EC66" s="758"/>
      <c r="ED66" s="758"/>
      <c r="EE66" s="758"/>
      <c r="EF66" s="758"/>
      <c r="EG66" s="758"/>
      <c r="EH66" s="758"/>
      <c r="EI66" s="758"/>
      <c r="EJ66" s="758"/>
      <c r="EK66" s="758"/>
      <c r="EL66" s="758"/>
      <c r="EM66" s="758"/>
      <c r="EN66" s="758"/>
      <c r="EO66" s="758"/>
      <c r="EP66" s="758"/>
      <c r="EQ66" s="758"/>
      <c r="ER66" s="758"/>
      <c r="ES66" s="758"/>
      <c r="ET66" s="758"/>
      <c r="EU66" s="758"/>
      <c r="EV66" s="758"/>
      <c r="EW66" s="758"/>
      <c r="EX66" s="758"/>
      <c r="EY66" s="758"/>
      <c r="EZ66" s="758"/>
      <c r="FA66" s="758"/>
      <c r="FB66" s="758"/>
      <c r="FC66" s="758"/>
      <c r="FD66" s="758"/>
      <c r="FE66" s="758"/>
      <c r="FF66" s="758"/>
      <c r="FG66" s="758"/>
      <c r="FH66" s="758"/>
      <c r="FI66" s="758"/>
      <c r="FJ66" s="758"/>
      <c r="FK66" s="758"/>
      <c r="FL66" s="758"/>
      <c r="FM66" s="758"/>
      <c r="FN66" s="758"/>
      <c r="FO66" s="758"/>
      <c r="FP66" s="758"/>
      <c r="FQ66" s="758"/>
      <c r="FR66" s="758"/>
      <c r="FS66" s="758"/>
      <c r="FT66" s="758"/>
      <c r="FU66" s="758"/>
      <c r="FV66" s="758"/>
      <c r="FW66" s="758"/>
      <c r="FX66" s="758"/>
      <c r="FY66" s="758"/>
      <c r="FZ66" s="758"/>
      <c r="GA66" s="758"/>
      <c r="GB66" s="758"/>
      <c r="GC66" s="758"/>
      <c r="GD66" s="758"/>
      <c r="GE66" s="758"/>
      <c r="GF66" s="758"/>
      <c r="GG66" s="758"/>
      <c r="GH66" s="758"/>
      <c r="GI66" s="758"/>
      <c r="GJ66" s="758"/>
      <c r="GK66" s="758"/>
      <c r="GL66" s="758"/>
      <c r="GM66" s="758"/>
      <c r="GN66" s="758"/>
      <c r="GO66" s="758"/>
      <c r="GP66" s="758"/>
      <c r="GQ66" s="758"/>
      <c r="GR66" s="758"/>
      <c r="GS66" s="758"/>
      <c r="GT66" s="758"/>
      <c r="GU66" s="758"/>
      <c r="GV66" s="758"/>
      <c r="GW66" s="758"/>
      <c r="GX66" s="758"/>
      <c r="GY66" s="758"/>
      <c r="GZ66" s="758"/>
      <c r="HA66" s="758"/>
      <c r="HB66" s="758"/>
      <c r="HC66" s="758"/>
      <c r="HD66" s="758"/>
      <c r="HE66" s="758"/>
      <c r="HF66" s="758"/>
      <c r="HG66" s="758"/>
      <c r="HH66" s="758"/>
      <c r="HI66" s="758"/>
      <c r="HJ66" s="758"/>
      <c r="HK66" s="758"/>
      <c r="HL66" s="758"/>
      <c r="HM66" s="758"/>
      <c r="HN66" s="758"/>
      <c r="HO66" s="758"/>
      <c r="HP66" s="758"/>
      <c r="HQ66" s="758"/>
      <c r="HR66" s="758"/>
      <c r="HS66" s="758"/>
      <c r="HT66" s="758"/>
      <c r="HU66" s="758"/>
      <c r="HV66" s="758"/>
      <c r="HW66" s="758"/>
      <c r="HX66" s="758"/>
      <c r="HY66" s="758"/>
      <c r="HZ66" s="758"/>
      <c r="IA66" s="758"/>
      <c r="IB66" s="758"/>
      <c r="IC66" s="758"/>
      <c r="ID66" s="758"/>
      <c r="IE66" s="758"/>
      <c r="IF66" s="758"/>
      <c r="IG66" s="758"/>
      <c r="IH66" s="758"/>
      <c r="II66" s="758"/>
      <c r="IJ66" s="758"/>
      <c r="IK66" s="758"/>
      <c r="IL66" s="758"/>
      <c r="IM66" s="758"/>
      <c r="IN66" s="758"/>
      <c r="IO66" s="758"/>
      <c r="IP66" s="758"/>
      <c r="IQ66" s="758"/>
      <c r="IR66" s="758"/>
      <c r="IS66" s="758"/>
      <c r="IT66" s="758"/>
      <c r="IU66" s="758"/>
      <c r="IV66" s="758"/>
    </row>
    <row r="67" spans="1:256" ht="15.6" x14ac:dyDescent="0.3">
      <c r="A67" s="830"/>
      <c r="B67" s="909" t="s">
        <v>511</v>
      </c>
      <c r="C67" s="891"/>
      <c r="D67" s="913">
        <f>'BOQ_STAGE-1'!F57/100</f>
        <v>1.2856000000000001</v>
      </c>
      <c r="E67" s="911"/>
      <c r="F67" s="907">
        <f>D67*F55</f>
        <v>0.231408</v>
      </c>
      <c r="G67" s="911"/>
      <c r="H67" s="911"/>
      <c r="I67" s="895">
        <f t="shared" si="1"/>
        <v>1.5170080000000001</v>
      </c>
      <c r="J67" s="758"/>
      <c r="K67" s="758"/>
      <c r="L67" s="902"/>
      <c r="M67" s="903"/>
      <c r="N67" s="903"/>
      <c r="O67" s="903"/>
      <c r="P67" s="902"/>
      <c r="Q67" s="902"/>
      <c r="R67" s="758"/>
      <c r="S67" s="912"/>
      <c r="T67" s="857"/>
      <c r="U67" s="857"/>
      <c r="V67" s="857"/>
      <c r="W67" s="857"/>
      <c r="X67" s="758"/>
      <c r="Y67" s="758"/>
      <c r="Z67" s="758"/>
      <c r="AA67" s="758"/>
      <c r="AB67" s="758"/>
      <c r="AC67" s="758"/>
      <c r="AD67" s="758"/>
      <c r="AE67" s="758"/>
      <c r="AF67" s="758"/>
      <c r="AG67" s="758"/>
      <c r="AH67" s="758"/>
      <c r="AI67" s="758"/>
      <c r="AJ67" s="758"/>
      <c r="AK67" s="758"/>
      <c r="AL67" s="758"/>
      <c r="AM67" s="758"/>
      <c r="AN67" s="758"/>
      <c r="AO67" s="758"/>
      <c r="AP67" s="758"/>
      <c r="AQ67" s="758"/>
      <c r="AR67" s="758"/>
      <c r="AS67" s="758"/>
      <c r="AT67" s="758"/>
      <c r="AU67" s="758"/>
      <c r="AV67" s="758"/>
      <c r="AW67" s="758"/>
      <c r="AX67" s="758"/>
      <c r="AY67" s="758"/>
      <c r="AZ67" s="758"/>
      <c r="BA67" s="758"/>
      <c r="BB67" s="758"/>
      <c r="BC67" s="758"/>
      <c r="BD67" s="758"/>
      <c r="BE67" s="758"/>
      <c r="BF67" s="758"/>
      <c r="BG67" s="758"/>
      <c r="BH67" s="758"/>
      <c r="BI67" s="758"/>
      <c r="BJ67" s="758"/>
      <c r="BK67" s="758"/>
      <c r="BL67" s="758"/>
      <c r="BM67" s="758"/>
      <c r="BN67" s="758"/>
      <c r="BO67" s="758"/>
      <c r="BP67" s="758"/>
      <c r="BQ67" s="758"/>
      <c r="BR67" s="758"/>
      <c r="BS67" s="758"/>
      <c r="BT67" s="758"/>
      <c r="BU67" s="758"/>
      <c r="BV67" s="758"/>
      <c r="BW67" s="758"/>
      <c r="BX67" s="758"/>
      <c r="BY67" s="758"/>
      <c r="BZ67" s="758"/>
      <c r="CA67" s="758"/>
      <c r="CB67" s="758"/>
      <c r="CC67" s="758"/>
      <c r="CD67" s="758"/>
      <c r="CE67" s="758"/>
      <c r="CF67" s="758"/>
      <c r="CG67" s="758"/>
      <c r="CH67" s="758"/>
      <c r="CI67" s="758"/>
      <c r="CJ67" s="758"/>
      <c r="CK67" s="758"/>
      <c r="CL67" s="758"/>
      <c r="CM67" s="758"/>
      <c r="CN67" s="758"/>
      <c r="CO67" s="758"/>
      <c r="CP67" s="758"/>
      <c r="CQ67" s="758"/>
      <c r="CR67" s="758"/>
      <c r="CS67" s="758"/>
      <c r="CT67" s="758"/>
      <c r="CU67" s="758"/>
      <c r="CV67" s="758"/>
      <c r="CW67" s="758"/>
      <c r="CX67" s="758"/>
      <c r="CY67" s="758"/>
      <c r="CZ67" s="758"/>
      <c r="DA67" s="758"/>
      <c r="DB67" s="758"/>
      <c r="DC67" s="758"/>
      <c r="DD67" s="758"/>
      <c r="DE67" s="758"/>
      <c r="DF67" s="758"/>
      <c r="DG67" s="758"/>
      <c r="DH67" s="758"/>
      <c r="DI67" s="758"/>
      <c r="DJ67" s="758"/>
      <c r="DK67" s="758"/>
      <c r="DL67" s="758"/>
      <c r="DM67" s="758"/>
      <c r="DN67" s="758"/>
      <c r="DO67" s="758"/>
      <c r="DP67" s="758"/>
      <c r="DQ67" s="758"/>
      <c r="DR67" s="758"/>
      <c r="DS67" s="758"/>
      <c r="DT67" s="758"/>
      <c r="DU67" s="758"/>
      <c r="DV67" s="758"/>
      <c r="DW67" s="758"/>
      <c r="DX67" s="758"/>
      <c r="DY67" s="758"/>
      <c r="DZ67" s="758"/>
      <c r="EA67" s="758"/>
      <c r="EB67" s="758"/>
      <c r="EC67" s="758"/>
      <c r="ED67" s="758"/>
      <c r="EE67" s="758"/>
      <c r="EF67" s="758"/>
      <c r="EG67" s="758"/>
      <c r="EH67" s="758"/>
      <c r="EI67" s="758"/>
      <c r="EJ67" s="758"/>
      <c r="EK67" s="758"/>
      <c r="EL67" s="758"/>
      <c r="EM67" s="758"/>
      <c r="EN67" s="758"/>
      <c r="EO67" s="758"/>
      <c r="EP67" s="758"/>
      <c r="EQ67" s="758"/>
      <c r="ER67" s="758"/>
      <c r="ES67" s="758"/>
      <c r="ET67" s="758"/>
      <c r="EU67" s="758"/>
      <c r="EV67" s="758"/>
      <c r="EW67" s="758"/>
      <c r="EX67" s="758"/>
      <c r="EY67" s="758"/>
      <c r="EZ67" s="758"/>
      <c r="FA67" s="758"/>
      <c r="FB67" s="758"/>
      <c r="FC67" s="758"/>
      <c r="FD67" s="758"/>
      <c r="FE67" s="758"/>
      <c r="FF67" s="758"/>
      <c r="FG67" s="758"/>
      <c r="FH67" s="758"/>
      <c r="FI67" s="758"/>
      <c r="FJ67" s="758"/>
      <c r="FK67" s="758"/>
      <c r="FL67" s="758"/>
      <c r="FM67" s="758"/>
      <c r="FN67" s="758"/>
      <c r="FO67" s="758"/>
      <c r="FP67" s="758"/>
      <c r="FQ67" s="758"/>
      <c r="FR67" s="758"/>
      <c r="FS67" s="758"/>
      <c r="FT67" s="758"/>
      <c r="FU67" s="758"/>
      <c r="FV67" s="758"/>
      <c r="FW67" s="758"/>
      <c r="FX67" s="758"/>
      <c r="FY67" s="758"/>
      <c r="FZ67" s="758"/>
      <c r="GA67" s="758"/>
      <c r="GB67" s="758"/>
      <c r="GC67" s="758"/>
      <c r="GD67" s="758"/>
      <c r="GE67" s="758"/>
      <c r="GF67" s="758"/>
      <c r="GG67" s="758"/>
      <c r="GH67" s="758"/>
      <c r="GI67" s="758"/>
      <c r="GJ67" s="758"/>
      <c r="GK67" s="758"/>
      <c r="GL67" s="758"/>
      <c r="GM67" s="758"/>
      <c r="GN67" s="758"/>
      <c r="GO67" s="758"/>
      <c r="GP67" s="758"/>
      <c r="GQ67" s="758"/>
      <c r="GR67" s="758"/>
      <c r="GS67" s="758"/>
      <c r="GT67" s="758"/>
      <c r="GU67" s="758"/>
      <c r="GV67" s="758"/>
      <c r="GW67" s="758"/>
      <c r="GX67" s="758"/>
      <c r="GY67" s="758"/>
      <c r="GZ67" s="758"/>
      <c r="HA67" s="758"/>
      <c r="HB67" s="758"/>
      <c r="HC67" s="758"/>
      <c r="HD67" s="758"/>
      <c r="HE67" s="758"/>
      <c r="HF67" s="758"/>
      <c r="HG67" s="758"/>
      <c r="HH67" s="758"/>
      <c r="HI67" s="758"/>
      <c r="HJ67" s="758"/>
      <c r="HK67" s="758"/>
      <c r="HL67" s="758"/>
      <c r="HM67" s="758"/>
      <c r="HN67" s="758"/>
      <c r="HO67" s="758"/>
      <c r="HP67" s="758"/>
      <c r="HQ67" s="758"/>
      <c r="HR67" s="758"/>
      <c r="HS67" s="758"/>
      <c r="HT67" s="758"/>
      <c r="HU67" s="758"/>
      <c r="HV67" s="758"/>
      <c r="HW67" s="758"/>
      <c r="HX67" s="758"/>
      <c r="HY67" s="758"/>
      <c r="HZ67" s="758"/>
      <c r="IA67" s="758"/>
      <c r="IB67" s="758"/>
      <c r="IC67" s="758"/>
      <c r="ID67" s="758"/>
      <c r="IE67" s="758"/>
      <c r="IF67" s="758"/>
      <c r="IG67" s="758"/>
      <c r="IH67" s="758"/>
      <c r="II67" s="758"/>
      <c r="IJ67" s="758"/>
      <c r="IK67" s="758"/>
      <c r="IL67" s="758"/>
      <c r="IM67" s="758"/>
      <c r="IN67" s="758"/>
      <c r="IO67" s="758"/>
      <c r="IP67" s="758"/>
      <c r="IQ67" s="758"/>
      <c r="IR67" s="758"/>
      <c r="IS67" s="758"/>
      <c r="IT67" s="758"/>
      <c r="IU67" s="758"/>
      <c r="IV67" s="758"/>
    </row>
    <row r="68" spans="1:256" ht="15.6" x14ac:dyDescent="0.3">
      <c r="A68" s="830"/>
      <c r="B68" s="909" t="s">
        <v>779</v>
      </c>
      <c r="C68" s="891"/>
      <c r="D68" s="910">
        <f>D60*C50</f>
        <v>0.10800000000000001</v>
      </c>
      <c r="E68" s="911"/>
      <c r="F68" s="907">
        <f>D68*F55</f>
        <v>1.9440000000000002E-2</v>
      </c>
      <c r="G68" s="911"/>
      <c r="H68" s="911"/>
      <c r="I68" s="895">
        <f>SUM(C68:H68)</f>
        <v>0.12744000000000003</v>
      </c>
      <c r="J68" s="758"/>
      <c r="K68" s="758"/>
      <c r="L68" s="902"/>
      <c r="M68" s="903"/>
      <c r="N68" s="903"/>
      <c r="O68" s="903"/>
      <c r="P68" s="902"/>
      <c r="Q68" s="902"/>
      <c r="R68" s="758"/>
      <c r="S68" s="912"/>
      <c r="T68" s="857"/>
      <c r="U68" s="857"/>
      <c r="V68" s="857"/>
      <c r="W68" s="857"/>
      <c r="X68" s="758"/>
      <c r="Y68" s="758"/>
      <c r="Z68" s="758"/>
      <c r="AA68" s="758"/>
      <c r="AB68" s="758"/>
      <c r="AC68" s="758"/>
      <c r="AD68" s="758"/>
      <c r="AE68" s="758"/>
      <c r="AF68" s="758"/>
      <c r="AG68" s="758"/>
      <c r="AH68" s="758"/>
      <c r="AI68" s="758"/>
      <c r="AJ68" s="758"/>
      <c r="AK68" s="758"/>
      <c r="AL68" s="758"/>
      <c r="AM68" s="758"/>
      <c r="AN68" s="758"/>
      <c r="AO68" s="758"/>
      <c r="AP68" s="758"/>
      <c r="AQ68" s="758"/>
      <c r="AR68" s="758"/>
      <c r="AS68" s="758"/>
      <c r="AT68" s="758"/>
      <c r="AU68" s="758"/>
      <c r="AV68" s="758"/>
      <c r="AW68" s="758"/>
      <c r="AX68" s="758"/>
      <c r="AY68" s="758"/>
      <c r="AZ68" s="758"/>
      <c r="BA68" s="758"/>
      <c r="BB68" s="758"/>
      <c r="BC68" s="758"/>
      <c r="BD68" s="758"/>
      <c r="BE68" s="758"/>
      <c r="BF68" s="758"/>
      <c r="BG68" s="758"/>
      <c r="BH68" s="758"/>
      <c r="BI68" s="758"/>
      <c r="BJ68" s="758"/>
      <c r="BK68" s="758"/>
      <c r="BL68" s="758"/>
      <c r="BM68" s="758"/>
      <c r="BN68" s="758"/>
      <c r="BO68" s="758"/>
      <c r="BP68" s="758"/>
      <c r="BQ68" s="758"/>
      <c r="BR68" s="758"/>
      <c r="BS68" s="758"/>
      <c r="BT68" s="758"/>
      <c r="BU68" s="758"/>
      <c r="BV68" s="758"/>
      <c r="BW68" s="758"/>
      <c r="BX68" s="758"/>
      <c r="BY68" s="758"/>
      <c r="BZ68" s="758"/>
      <c r="CA68" s="758"/>
      <c r="CB68" s="758"/>
      <c r="CC68" s="758"/>
      <c r="CD68" s="758"/>
      <c r="CE68" s="758"/>
      <c r="CF68" s="758"/>
      <c r="CG68" s="758"/>
      <c r="CH68" s="758"/>
      <c r="CI68" s="758"/>
      <c r="CJ68" s="758"/>
      <c r="CK68" s="758"/>
      <c r="CL68" s="758"/>
      <c r="CM68" s="758"/>
      <c r="CN68" s="758"/>
      <c r="CO68" s="758"/>
      <c r="CP68" s="758"/>
      <c r="CQ68" s="758"/>
      <c r="CR68" s="758"/>
      <c r="CS68" s="758"/>
      <c r="CT68" s="758"/>
      <c r="CU68" s="758"/>
      <c r="CV68" s="758"/>
      <c r="CW68" s="758"/>
      <c r="CX68" s="758"/>
      <c r="CY68" s="758"/>
      <c r="CZ68" s="758"/>
      <c r="DA68" s="758"/>
      <c r="DB68" s="758"/>
      <c r="DC68" s="758"/>
      <c r="DD68" s="758"/>
      <c r="DE68" s="758"/>
      <c r="DF68" s="758"/>
      <c r="DG68" s="758"/>
      <c r="DH68" s="758"/>
      <c r="DI68" s="758"/>
      <c r="DJ68" s="758"/>
      <c r="DK68" s="758"/>
      <c r="DL68" s="758"/>
      <c r="DM68" s="758"/>
      <c r="DN68" s="758"/>
      <c r="DO68" s="758"/>
      <c r="DP68" s="758"/>
      <c r="DQ68" s="758"/>
      <c r="DR68" s="758"/>
      <c r="DS68" s="758"/>
      <c r="DT68" s="758"/>
      <c r="DU68" s="758"/>
      <c r="DV68" s="758"/>
      <c r="DW68" s="758"/>
      <c r="DX68" s="758"/>
      <c r="DY68" s="758"/>
      <c r="DZ68" s="758"/>
      <c r="EA68" s="758"/>
      <c r="EB68" s="758"/>
      <c r="EC68" s="758"/>
      <c r="ED68" s="758"/>
      <c r="EE68" s="758"/>
      <c r="EF68" s="758"/>
      <c r="EG68" s="758"/>
      <c r="EH68" s="758"/>
      <c r="EI68" s="758"/>
      <c r="EJ68" s="758"/>
      <c r="EK68" s="758"/>
      <c r="EL68" s="758"/>
      <c r="EM68" s="758"/>
      <c r="EN68" s="758"/>
      <c r="EO68" s="758"/>
      <c r="EP68" s="758"/>
      <c r="EQ68" s="758"/>
      <c r="ER68" s="758"/>
      <c r="ES68" s="758"/>
      <c r="ET68" s="758"/>
      <c r="EU68" s="758"/>
      <c r="EV68" s="758"/>
      <c r="EW68" s="758"/>
      <c r="EX68" s="758"/>
      <c r="EY68" s="758"/>
      <c r="EZ68" s="758"/>
      <c r="FA68" s="758"/>
      <c r="FB68" s="758"/>
      <c r="FC68" s="758"/>
      <c r="FD68" s="758"/>
      <c r="FE68" s="758"/>
      <c r="FF68" s="758"/>
      <c r="FG68" s="758"/>
      <c r="FH68" s="758"/>
      <c r="FI68" s="758"/>
      <c r="FJ68" s="758"/>
      <c r="FK68" s="758"/>
      <c r="FL68" s="758"/>
      <c r="FM68" s="758"/>
      <c r="FN68" s="758"/>
      <c r="FO68" s="758"/>
      <c r="FP68" s="758"/>
      <c r="FQ68" s="758"/>
      <c r="FR68" s="758"/>
      <c r="FS68" s="758"/>
      <c r="FT68" s="758"/>
      <c r="FU68" s="758"/>
      <c r="FV68" s="758"/>
      <c r="FW68" s="758"/>
      <c r="FX68" s="758"/>
      <c r="FY68" s="758"/>
      <c r="FZ68" s="758"/>
      <c r="GA68" s="758"/>
      <c r="GB68" s="758"/>
      <c r="GC68" s="758"/>
      <c r="GD68" s="758"/>
      <c r="GE68" s="758"/>
      <c r="GF68" s="758"/>
      <c r="GG68" s="758"/>
      <c r="GH68" s="758"/>
      <c r="GI68" s="758"/>
      <c r="GJ68" s="758"/>
      <c r="GK68" s="758"/>
      <c r="GL68" s="758"/>
      <c r="GM68" s="758"/>
      <c r="GN68" s="758"/>
      <c r="GO68" s="758"/>
      <c r="GP68" s="758"/>
      <c r="GQ68" s="758"/>
      <c r="GR68" s="758"/>
      <c r="GS68" s="758"/>
      <c r="GT68" s="758"/>
      <c r="GU68" s="758"/>
      <c r="GV68" s="758"/>
      <c r="GW68" s="758"/>
      <c r="GX68" s="758"/>
      <c r="GY68" s="758"/>
      <c r="GZ68" s="758"/>
      <c r="HA68" s="758"/>
      <c r="HB68" s="758"/>
      <c r="HC68" s="758"/>
      <c r="HD68" s="758"/>
      <c r="HE68" s="758"/>
      <c r="HF68" s="758"/>
      <c r="HG68" s="758"/>
      <c r="HH68" s="758"/>
      <c r="HI68" s="758"/>
      <c r="HJ68" s="758"/>
      <c r="HK68" s="758"/>
      <c r="HL68" s="758"/>
      <c r="HM68" s="758"/>
      <c r="HN68" s="758"/>
      <c r="HO68" s="758"/>
      <c r="HP68" s="758"/>
      <c r="HQ68" s="758"/>
      <c r="HR68" s="758"/>
      <c r="HS68" s="758"/>
      <c r="HT68" s="758"/>
      <c r="HU68" s="758"/>
      <c r="HV68" s="758"/>
      <c r="HW68" s="758"/>
      <c r="HX68" s="758"/>
      <c r="HY68" s="758"/>
      <c r="HZ68" s="758"/>
      <c r="IA68" s="758"/>
      <c r="IB68" s="758"/>
      <c r="IC68" s="758"/>
      <c r="ID68" s="758"/>
      <c r="IE68" s="758"/>
      <c r="IF68" s="758"/>
      <c r="IG68" s="758"/>
      <c r="IH68" s="758"/>
      <c r="II68" s="758"/>
      <c r="IJ68" s="758"/>
      <c r="IK68" s="758"/>
      <c r="IL68" s="758"/>
      <c r="IM68" s="758"/>
      <c r="IN68" s="758"/>
      <c r="IO68" s="758"/>
      <c r="IP68" s="758"/>
      <c r="IQ68" s="758"/>
      <c r="IR68" s="758"/>
      <c r="IS68" s="758"/>
      <c r="IT68" s="758"/>
      <c r="IU68" s="758"/>
      <c r="IV68" s="758"/>
    </row>
    <row r="69" spans="1:256" ht="15.6" x14ac:dyDescent="0.3">
      <c r="A69" s="830">
        <v>9</v>
      </c>
      <c r="B69" s="890" t="s">
        <v>591</v>
      </c>
      <c r="C69" s="855"/>
      <c r="D69" s="892"/>
      <c r="E69" s="914"/>
      <c r="F69" s="914"/>
      <c r="G69" s="914"/>
      <c r="H69" s="914"/>
      <c r="I69" s="895">
        <f t="shared" si="1"/>
        <v>0</v>
      </c>
      <c r="J69" s="758"/>
      <c r="K69" s="758"/>
      <c r="L69" s="902"/>
      <c r="M69" s="903"/>
      <c r="N69" s="903"/>
      <c r="O69" s="903"/>
      <c r="P69" s="902"/>
      <c r="Q69" s="902"/>
      <c r="R69" s="758"/>
      <c r="S69" s="915"/>
      <c r="T69" s="857"/>
      <c r="U69" s="857"/>
      <c r="V69" s="857"/>
      <c r="W69" s="857"/>
      <c r="X69" s="758"/>
      <c r="Y69" s="758"/>
      <c r="Z69" s="758"/>
      <c r="AA69" s="758"/>
      <c r="AB69" s="758"/>
      <c r="AC69" s="758"/>
      <c r="AD69" s="758"/>
      <c r="AE69" s="758"/>
      <c r="AF69" s="758"/>
      <c r="AG69" s="758"/>
      <c r="AH69" s="758"/>
      <c r="AI69" s="758"/>
      <c r="AJ69" s="758"/>
      <c r="AK69" s="758"/>
      <c r="AL69" s="758"/>
      <c r="AM69" s="758"/>
      <c r="AN69" s="758"/>
      <c r="AO69" s="758"/>
      <c r="AP69" s="758"/>
      <c r="AQ69" s="758"/>
      <c r="AR69" s="758"/>
      <c r="AS69" s="758"/>
      <c r="AT69" s="758"/>
      <c r="AU69" s="758"/>
      <c r="AV69" s="758"/>
      <c r="AW69" s="758"/>
      <c r="AX69" s="758"/>
      <c r="AY69" s="758"/>
      <c r="AZ69" s="758"/>
      <c r="BA69" s="758"/>
      <c r="BB69" s="758"/>
      <c r="BC69" s="758"/>
      <c r="BD69" s="758"/>
      <c r="BE69" s="758"/>
      <c r="BF69" s="758"/>
      <c r="BG69" s="758"/>
      <c r="BH69" s="758"/>
      <c r="BI69" s="758"/>
      <c r="BJ69" s="758"/>
      <c r="BK69" s="758"/>
      <c r="BL69" s="758"/>
      <c r="BM69" s="758"/>
      <c r="BN69" s="758"/>
      <c r="BO69" s="758"/>
      <c r="BP69" s="758"/>
      <c r="BQ69" s="758"/>
      <c r="BR69" s="758"/>
      <c r="BS69" s="758"/>
      <c r="BT69" s="758"/>
      <c r="BU69" s="758"/>
      <c r="BV69" s="758"/>
      <c r="BW69" s="758"/>
      <c r="BX69" s="758"/>
      <c r="BY69" s="758"/>
      <c r="BZ69" s="758"/>
      <c r="CA69" s="758"/>
      <c r="CB69" s="758"/>
      <c r="CC69" s="758"/>
      <c r="CD69" s="758"/>
      <c r="CE69" s="758"/>
      <c r="CF69" s="758"/>
      <c r="CG69" s="758"/>
      <c r="CH69" s="758"/>
      <c r="CI69" s="758"/>
      <c r="CJ69" s="758"/>
      <c r="CK69" s="758"/>
      <c r="CL69" s="758"/>
      <c r="CM69" s="758"/>
      <c r="CN69" s="758"/>
      <c r="CO69" s="758"/>
      <c r="CP69" s="758"/>
      <c r="CQ69" s="758"/>
      <c r="CR69" s="758"/>
      <c r="CS69" s="758"/>
      <c r="CT69" s="758"/>
      <c r="CU69" s="758"/>
      <c r="CV69" s="758"/>
      <c r="CW69" s="758"/>
      <c r="CX69" s="758"/>
      <c r="CY69" s="758"/>
      <c r="CZ69" s="758"/>
      <c r="DA69" s="758"/>
      <c r="DB69" s="758"/>
      <c r="DC69" s="758"/>
      <c r="DD69" s="758"/>
      <c r="DE69" s="758"/>
      <c r="DF69" s="758"/>
      <c r="DG69" s="758"/>
      <c r="DH69" s="758"/>
      <c r="DI69" s="758"/>
      <c r="DJ69" s="758"/>
      <c r="DK69" s="758"/>
      <c r="DL69" s="758"/>
      <c r="DM69" s="758"/>
      <c r="DN69" s="758"/>
      <c r="DO69" s="758"/>
      <c r="DP69" s="758"/>
      <c r="DQ69" s="758"/>
      <c r="DR69" s="758"/>
      <c r="DS69" s="758"/>
      <c r="DT69" s="758"/>
      <c r="DU69" s="758"/>
      <c r="DV69" s="758"/>
      <c r="DW69" s="758"/>
      <c r="DX69" s="758"/>
      <c r="DY69" s="758"/>
      <c r="DZ69" s="758"/>
      <c r="EA69" s="758"/>
      <c r="EB69" s="758"/>
      <c r="EC69" s="758"/>
      <c r="ED69" s="758"/>
      <c r="EE69" s="758"/>
      <c r="EF69" s="758"/>
      <c r="EG69" s="758"/>
      <c r="EH69" s="758"/>
      <c r="EI69" s="758"/>
      <c r="EJ69" s="758"/>
      <c r="EK69" s="758"/>
      <c r="EL69" s="758"/>
      <c r="EM69" s="758"/>
      <c r="EN69" s="758"/>
      <c r="EO69" s="758"/>
      <c r="EP69" s="758"/>
      <c r="EQ69" s="758"/>
      <c r="ER69" s="758"/>
      <c r="ES69" s="758"/>
      <c r="ET69" s="758"/>
      <c r="EU69" s="758"/>
      <c r="EV69" s="758"/>
      <c r="EW69" s="758"/>
      <c r="EX69" s="758"/>
      <c r="EY69" s="758"/>
      <c r="EZ69" s="758"/>
      <c r="FA69" s="758"/>
      <c r="FB69" s="758"/>
      <c r="FC69" s="758"/>
      <c r="FD69" s="758"/>
      <c r="FE69" s="758"/>
      <c r="FF69" s="758"/>
      <c r="FG69" s="758"/>
      <c r="FH69" s="758"/>
      <c r="FI69" s="758"/>
      <c r="FJ69" s="758"/>
      <c r="FK69" s="758"/>
      <c r="FL69" s="758"/>
      <c r="FM69" s="758"/>
      <c r="FN69" s="758"/>
      <c r="FO69" s="758"/>
      <c r="FP69" s="758"/>
      <c r="FQ69" s="758"/>
      <c r="FR69" s="758"/>
      <c r="FS69" s="758"/>
      <c r="FT69" s="758"/>
      <c r="FU69" s="758"/>
      <c r="FV69" s="758"/>
      <c r="FW69" s="758"/>
      <c r="FX69" s="758"/>
      <c r="FY69" s="758"/>
      <c r="FZ69" s="758"/>
      <c r="GA69" s="758"/>
      <c r="GB69" s="758"/>
      <c r="GC69" s="758"/>
      <c r="GD69" s="758"/>
      <c r="GE69" s="758"/>
      <c r="GF69" s="758"/>
      <c r="GG69" s="758"/>
      <c r="GH69" s="758"/>
      <c r="GI69" s="758"/>
      <c r="GJ69" s="758"/>
      <c r="GK69" s="758"/>
      <c r="GL69" s="758"/>
      <c r="GM69" s="758"/>
      <c r="GN69" s="758"/>
      <c r="GO69" s="758"/>
      <c r="GP69" s="758"/>
      <c r="GQ69" s="758"/>
      <c r="GR69" s="758"/>
      <c r="GS69" s="758"/>
      <c r="GT69" s="758"/>
      <c r="GU69" s="758"/>
      <c r="GV69" s="758"/>
      <c r="GW69" s="758"/>
      <c r="GX69" s="758"/>
      <c r="GY69" s="758"/>
      <c r="GZ69" s="758"/>
      <c r="HA69" s="758"/>
      <c r="HB69" s="758"/>
      <c r="HC69" s="758"/>
      <c r="HD69" s="758"/>
      <c r="HE69" s="758"/>
      <c r="HF69" s="758"/>
      <c r="HG69" s="758"/>
      <c r="HH69" s="758"/>
      <c r="HI69" s="758"/>
      <c r="HJ69" s="758"/>
      <c r="HK69" s="758"/>
      <c r="HL69" s="758"/>
      <c r="HM69" s="758"/>
      <c r="HN69" s="758"/>
      <c r="HO69" s="758"/>
      <c r="HP69" s="758"/>
      <c r="HQ69" s="758"/>
      <c r="HR69" s="758"/>
      <c r="HS69" s="758"/>
      <c r="HT69" s="758"/>
      <c r="HU69" s="758"/>
      <c r="HV69" s="758"/>
      <c r="HW69" s="758"/>
      <c r="HX69" s="758"/>
      <c r="HY69" s="758"/>
      <c r="HZ69" s="758"/>
      <c r="IA69" s="758"/>
      <c r="IB69" s="758"/>
      <c r="IC69" s="758"/>
      <c r="ID69" s="758"/>
      <c r="IE69" s="758"/>
      <c r="IF69" s="758"/>
      <c r="IG69" s="758"/>
      <c r="IH69" s="758"/>
      <c r="II69" s="758"/>
      <c r="IJ69" s="758"/>
      <c r="IK69" s="758"/>
      <c r="IL69" s="758"/>
      <c r="IM69" s="758"/>
      <c r="IN69" s="758"/>
      <c r="IO69" s="758"/>
      <c r="IP69" s="758"/>
      <c r="IQ69" s="758"/>
      <c r="IR69" s="758"/>
      <c r="IS69" s="758"/>
      <c r="IT69" s="758"/>
      <c r="IU69" s="758"/>
      <c r="IV69" s="758"/>
    </row>
    <row r="70" spans="1:256" ht="15.6" x14ac:dyDescent="0.3">
      <c r="A70" s="830">
        <v>10</v>
      </c>
      <c r="B70" s="890" t="s">
        <v>780</v>
      </c>
      <c r="C70" s="855"/>
      <c r="D70" s="916"/>
      <c r="E70" s="914"/>
      <c r="F70" s="914"/>
      <c r="G70" s="914"/>
      <c r="H70" s="914"/>
      <c r="I70" s="895">
        <f t="shared" si="1"/>
        <v>0</v>
      </c>
      <c r="J70" s="758"/>
      <c r="K70" s="758"/>
      <c r="L70" s="902"/>
      <c r="M70" s="903"/>
      <c r="N70" s="903"/>
      <c r="O70" s="903"/>
      <c r="P70" s="902"/>
      <c r="Q70" s="902"/>
      <c r="R70" s="758"/>
      <c r="S70" s="904"/>
      <c r="T70" s="857"/>
      <c r="U70" s="857"/>
      <c r="V70" s="857"/>
      <c r="W70" s="857"/>
      <c r="X70" s="758"/>
      <c r="Y70" s="758"/>
      <c r="Z70" s="758"/>
      <c r="AA70" s="758"/>
      <c r="AB70" s="758"/>
      <c r="AC70" s="758"/>
      <c r="AD70" s="758"/>
      <c r="AE70" s="758"/>
      <c r="AF70" s="758"/>
      <c r="AG70" s="758"/>
      <c r="AH70" s="758"/>
      <c r="AI70" s="758"/>
      <c r="AJ70" s="758"/>
      <c r="AK70" s="758"/>
      <c r="AL70" s="758"/>
      <c r="AM70" s="758"/>
      <c r="AN70" s="758"/>
      <c r="AO70" s="758"/>
      <c r="AP70" s="758"/>
      <c r="AQ70" s="758"/>
      <c r="AR70" s="758"/>
      <c r="AS70" s="758"/>
      <c r="AT70" s="758"/>
      <c r="AU70" s="758"/>
      <c r="AV70" s="758"/>
      <c r="AW70" s="758"/>
      <c r="AX70" s="758"/>
      <c r="AY70" s="758"/>
      <c r="AZ70" s="758"/>
      <c r="BA70" s="758"/>
      <c r="BB70" s="758"/>
      <c r="BC70" s="758"/>
      <c r="BD70" s="758"/>
      <c r="BE70" s="758"/>
      <c r="BF70" s="758"/>
      <c r="BG70" s="758"/>
      <c r="BH70" s="758"/>
      <c r="BI70" s="758"/>
      <c r="BJ70" s="758"/>
      <c r="BK70" s="758"/>
      <c r="BL70" s="758"/>
      <c r="BM70" s="758"/>
      <c r="BN70" s="758"/>
      <c r="BO70" s="758"/>
      <c r="BP70" s="758"/>
      <c r="BQ70" s="758"/>
      <c r="BR70" s="758"/>
      <c r="BS70" s="758"/>
      <c r="BT70" s="758"/>
      <c r="BU70" s="758"/>
      <c r="BV70" s="758"/>
      <c r="BW70" s="758"/>
      <c r="BX70" s="758"/>
      <c r="BY70" s="758"/>
      <c r="BZ70" s="758"/>
      <c r="CA70" s="758"/>
      <c r="CB70" s="758"/>
      <c r="CC70" s="758"/>
      <c r="CD70" s="758"/>
      <c r="CE70" s="758"/>
      <c r="CF70" s="758"/>
      <c r="CG70" s="758"/>
      <c r="CH70" s="758"/>
      <c r="CI70" s="758"/>
      <c r="CJ70" s="758"/>
      <c r="CK70" s="758"/>
      <c r="CL70" s="758"/>
      <c r="CM70" s="758"/>
      <c r="CN70" s="758"/>
      <c r="CO70" s="758"/>
      <c r="CP70" s="758"/>
      <c r="CQ70" s="758"/>
      <c r="CR70" s="758"/>
      <c r="CS70" s="758"/>
      <c r="CT70" s="758"/>
      <c r="CU70" s="758"/>
      <c r="CV70" s="758"/>
      <c r="CW70" s="758"/>
      <c r="CX70" s="758"/>
      <c r="CY70" s="758"/>
      <c r="CZ70" s="758"/>
      <c r="DA70" s="758"/>
      <c r="DB70" s="758"/>
      <c r="DC70" s="758"/>
      <c r="DD70" s="758"/>
      <c r="DE70" s="758"/>
      <c r="DF70" s="758"/>
      <c r="DG70" s="758"/>
      <c r="DH70" s="758"/>
      <c r="DI70" s="758"/>
      <c r="DJ70" s="758"/>
      <c r="DK70" s="758"/>
      <c r="DL70" s="758"/>
      <c r="DM70" s="758"/>
      <c r="DN70" s="758"/>
      <c r="DO70" s="758"/>
      <c r="DP70" s="758"/>
      <c r="DQ70" s="758"/>
      <c r="DR70" s="758"/>
      <c r="DS70" s="758"/>
      <c r="DT70" s="758"/>
      <c r="DU70" s="758"/>
      <c r="DV70" s="758"/>
      <c r="DW70" s="758"/>
      <c r="DX70" s="758"/>
      <c r="DY70" s="758"/>
      <c r="DZ70" s="758"/>
      <c r="EA70" s="758"/>
      <c r="EB70" s="758"/>
      <c r="EC70" s="758"/>
      <c r="ED70" s="758"/>
      <c r="EE70" s="758"/>
      <c r="EF70" s="758"/>
      <c r="EG70" s="758"/>
      <c r="EH70" s="758"/>
      <c r="EI70" s="758"/>
      <c r="EJ70" s="758"/>
      <c r="EK70" s="758"/>
      <c r="EL70" s="758"/>
      <c r="EM70" s="758"/>
      <c r="EN70" s="758"/>
      <c r="EO70" s="758"/>
      <c r="EP70" s="758"/>
      <c r="EQ70" s="758"/>
      <c r="ER70" s="758"/>
      <c r="ES70" s="758"/>
      <c r="ET70" s="758"/>
      <c r="EU70" s="758"/>
      <c r="EV70" s="758"/>
      <c r="EW70" s="758"/>
      <c r="EX70" s="758"/>
      <c r="EY70" s="758"/>
      <c r="EZ70" s="758"/>
      <c r="FA70" s="758"/>
      <c r="FB70" s="758"/>
      <c r="FC70" s="758"/>
      <c r="FD70" s="758"/>
      <c r="FE70" s="758"/>
      <c r="FF70" s="758"/>
      <c r="FG70" s="758"/>
      <c r="FH70" s="758"/>
      <c r="FI70" s="758"/>
      <c r="FJ70" s="758"/>
      <c r="FK70" s="758"/>
      <c r="FL70" s="758"/>
      <c r="FM70" s="758"/>
      <c r="FN70" s="758"/>
      <c r="FO70" s="758"/>
      <c r="FP70" s="758"/>
      <c r="FQ70" s="758"/>
      <c r="FR70" s="758"/>
      <c r="FS70" s="758"/>
      <c r="FT70" s="758"/>
      <c r="FU70" s="758"/>
      <c r="FV70" s="758"/>
      <c r="FW70" s="758"/>
      <c r="FX70" s="758"/>
      <c r="FY70" s="758"/>
      <c r="FZ70" s="758"/>
      <c r="GA70" s="758"/>
      <c r="GB70" s="758"/>
      <c r="GC70" s="758"/>
      <c r="GD70" s="758"/>
      <c r="GE70" s="758"/>
      <c r="GF70" s="758"/>
      <c r="GG70" s="758"/>
      <c r="GH70" s="758"/>
      <c r="GI70" s="758"/>
      <c r="GJ70" s="758"/>
      <c r="GK70" s="758"/>
      <c r="GL70" s="758"/>
      <c r="GM70" s="758"/>
      <c r="GN70" s="758"/>
      <c r="GO70" s="758"/>
      <c r="GP70" s="758"/>
      <c r="GQ70" s="758"/>
      <c r="GR70" s="758"/>
      <c r="GS70" s="758"/>
      <c r="GT70" s="758"/>
      <c r="GU70" s="758"/>
      <c r="GV70" s="758"/>
      <c r="GW70" s="758"/>
      <c r="GX70" s="758"/>
      <c r="GY70" s="758"/>
      <c r="GZ70" s="758"/>
      <c r="HA70" s="758"/>
      <c r="HB70" s="758"/>
      <c r="HC70" s="758"/>
      <c r="HD70" s="758"/>
      <c r="HE70" s="758"/>
      <c r="HF70" s="758"/>
      <c r="HG70" s="758"/>
      <c r="HH70" s="758"/>
      <c r="HI70" s="758"/>
      <c r="HJ70" s="758"/>
      <c r="HK70" s="758"/>
      <c r="HL70" s="758"/>
      <c r="HM70" s="758"/>
      <c r="HN70" s="758"/>
      <c r="HO70" s="758"/>
      <c r="HP70" s="758"/>
      <c r="HQ70" s="758"/>
      <c r="HR70" s="758"/>
      <c r="HS70" s="758"/>
      <c r="HT70" s="758"/>
      <c r="HU70" s="758"/>
      <c r="HV70" s="758"/>
      <c r="HW70" s="758"/>
      <c r="HX70" s="758"/>
      <c r="HY70" s="758"/>
      <c r="HZ70" s="758"/>
      <c r="IA70" s="758"/>
      <c r="IB70" s="758"/>
      <c r="IC70" s="758"/>
      <c r="ID70" s="758"/>
      <c r="IE70" s="758"/>
      <c r="IF70" s="758"/>
      <c r="IG70" s="758"/>
      <c r="IH70" s="758"/>
      <c r="II70" s="758"/>
      <c r="IJ70" s="758"/>
      <c r="IK70" s="758"/>
      <c r="IL70" s="758"/>
      <c r="IM70" s="758"/>
      <c r="IN70" s="758"/>
      <c r="IO70" s="758"/>
      <c r="IP70" s="758"/>
      <c r="IQ70" s="758"/>
      <c r="IR70" s="758"/>
      <c r="IS70" s="758"/>
      <c r="IT70" s="758"/>
      <c r="IU70" s="758"/>
      <c r="IV70" s="758"/>
    </row>
    <row r="71" spans="1:256" ht="15.6" x14ac:dyDescent="0.3">
      <c r="A71" s="896">
        <v>11</v>
      </c>
      <c r="B71" s="917" t="s">
        <v>781</v>
      </c>
      <c r="C71" s="891">
        <f>+(C57+C59+C61+C73)*0.07</f>
        <v>0</v>
      </c>
      <c r="D71" s="918"/>
      <c r="E71" s="919"/>
      <c r="F71" s="919"/>
      <c r="G71" s="920"/>
      <c r="H71" s="919"/>
      <c r="I71" s="895">
        <f t="shared" si="1"/>
        <v>0</v>
      </c>
      <c r="L71" s="668"/>
      <c r="M71" s="685"/>
      <c r="N71" s="685"/>
      <c r="O71" s="685"/>
      <c r="P71" s="668"/>
      <c r="Q71" s="668"/>
      <c r="S71" s="904"/>
      <c r="T71" s="857"/>
      <c r="U71" s="759"/>
      <c r="V71" s="857"/>
      <c r="W71" s="857"/>
    </row>
    <row r="72" spans="1:256" ht="15.6" x14ac:dyDescent="0.3">
      <c r="A72" s="830"/>
      <c r="B72" s="921" t="s">
        <v>782</v>
      </c>
      <c r="C72" s="894"/>
      <c r="D72" s="922"/>
      <c r="E72" s="923"/>
      <c r="F72" s="924">
        <f>((C57+C58)*1.07*0.03+(C59+C61)*1.07*0.1)*($G$55)</f>
        <v>0</v>
      </c>
      <c r="G72" s="925">
        <f>((C57+C58)*1.07*0.03+(C59+C61)*1.07*0.1)</f>
        <v>0</v>
      </c>
      <c r="H72" s="907">
        <f>((C57*1.07)*0.03+(C59+C61)*1.07*0.1)*(1+C52)*0</f>
        <v>0</v>
      </c>
      <c r="I72" s="895">
        <f t="shared" si="1"/>
        <v>0</v>
      </c>
      <c r="J72" s="758"/>
      <c r="K72" s="758"/>
      <c r="L72" s="902"/>
      <c r="M72" s="903"/>
      <c r="N72" s="903"/>
      <c r="O72" s="903"/>
      <c r="P72" s="902"/>
      <c r="Q72" s="902"/>
      <c r="R72" s="758"/>
      <c r="S72" s="904"/>
      <c r="T72" s="857"/>
      <c r="U72" s="857"/>
      <c r="V72" s="857"/>
      <c r="W72" s="857"/>
      <c r="X72" s="758"/>
      <c r="Y72" s="758"/>
      <c r="Z72" s="758"/>
      <c r="AA72" s="758"/>
      <c r="AB72" s="758"/>
      <c r="AC72" s="758"/>
      <c r="AD72" s="758"/>
      <c r="AE72" s="758"/>
      <c r="AF72" s="758"/>
      <c r="AG72" s="758"/>
      <c r="AH72" s="758"/>
      <c r="AI72" s="758"/>
      <c r="AJ72" s="758"/>
      <c r="AK72" s="758"/>
      <c r="AL72" s="758"/>
      <c r="AM72" s="758"/>
      <c r="AN72" s="758"/>
      <c r="AO72" s="758"/>
      <c r="AP72" s="758"/>
      <c r="AQ72" s="758"/>
      <c r="AR72" s="758"/>
      <c r="AS72" s="758"/>
      <c r="AT72" s="758"/>
      <c r="AU72" s="758"/>
      <c r="AV72" s="758"/>
      <c r="AW72" s="758"/>
      <c r="AX72" s="758"/>
      <c r="AY72" s="758"/>
      <c r="AZ72" s="758"/>
      <c r="BA72" s="758"/>
      <c r="BB72" s="758"/>
      <c r="BC72" s="758"/>
      <c r="BD72" s="758"/>
      <c r="BE72" s="758"/>
      <c r="BF72" s="758"/>
      <c r="BG72" s="758"/>
      <c r="BH72" s="758"/>
      <c r="BI72" s="758"/>
      <c r="BJ72" s="758"/>
      <c r="BK72" s="758"/>
      <c r="BL72" s="758"/>
      <c r="BM72" s="758"/>
      <c r="BN72" s="758"/>
      <c r="BO72" s="758"/>
      <c r="BP72" s="758"/>
      <c r="BQ72" s="758"/>
      <c r="BR72" s="758"/>
      <c r="BS72" s="758"/>
      <c r="BT72" s="758"/>
      <c r="BU72" s="758"/>
      <c r="BV72" s="758"/>
      <c r="BW72" s="758"/>
      <c r="BX72" s="758"/>
      <c r="BY72" s="758"/>
      <c r="BZ72" s="758"/>
      <c r="CA72" s="758"/>
      <c r="CB72" s="758"/>
      <c r="CC72" s="758"/>
      <c r="CD72" s="758"/>
      <c r="CE72" s="758"/>
      <c r="CF72" s="758"/>
      <c r="CG72" s="758"/>
      <c r="CH72" s="758"/>
      <c r="CI72" s="758"/>
      <c r="CJ72" s="758"/>
      <c r="CK72" s="758"/>
      <c r="CL72" s="758"/>
      <c r="CM72" s="758"/>
      <c r="CN72" s="758"/>
      <c r="CO72" s="758"/>
      <c r="CP72" s="758"/>
      <c r="CQ72" s="758"/>
      <c r="CR72" s="758"/>
      <c r="CS72" s="758"/>
      <c r="CT72" s="758"/>
      <c r="CU72" s="758"/>
      <c r="CV72" s="758"/>
      <c r="CW72" s="758"/>
      <c r="CX72" s="758"/>
      <c r="CY72" s="758"/>
      <c r="CZ72" s="758"/>
      <c r="DA72" s="758"/>
      <c r="DB72" s="758"/>
      <c r="DC72" s="758"/>
      <c r="DD72" s="758"/>
      <c r="DE72" s="758"/>
      <c r="DF72" s="758"/>
      <c r="DG72" s="758"/>
      <c r="DH72" s="758"/>
      <c r="DI72" s="758"/>
      <c r="DJ72" s="758"/>
      <c r="DK72" s="758"/>
      <c r="DL72" s="758"/>
      <c r="DM72" s="758"/>
      <c r="DN72" s="758"/>
      <c r="DO72" s="758"/>
      <c r="DP72" s="758"/>
      <c r="DQ72" s="758"/>
      <c r="DR72" s="758"/>
      <c r="DS72" s="758"/>
      <c r="DT72" s="758"/>
      <c r="DU72" s="758"/>
      <c r="DV72" s="758"/>
      <c r="DW72" s="758"/>
      <c r="DX72" s="758"/>
      <c r="DY72" s="758"/>
      <c r="DZ72" s="758"/>
      <c r="EA72" s="758"/>
      <c r="EB72" s="758"/>
      <c r="EC72" s="758"/>
      <c r="ED72" s="758"/>
      <c r="EE72" s="758"/>
      <c r="EF72" s="758"/>
      <c r="EG72" s="758"/>
      <c r="EH72" s="758"/>
      <c r="EI72" s="758"/>
      <c r="EJ72" s="758"/>
      <c r="EK72" s="758"/>
      <c r="EL72" s="758"/>
      <c r="EM72" s="758"/>
      <c r="EN72" s="758"/>
      <c r="EO72" s="758"/>
      <c r="EP72" s="758"/>
      <c r="EQ72" s="758"/>
      <c r="ER72" s="758"/>
      <c r="ES72" s="758"/>
      <c r="ET72" s="758"/>
      <c r="EU72" s="758"/>
      <c r="EV72" s="758"/>
      <c r="EW72" s="758"/>
      <c r="EX72" s="758"/>
      <c r="EY72" s="758"/>
      <c r="EZ72" s="758"/>
      <c r="FA72" s="758"/>
      <c r="FB72" s="758"/>
      <c r="FC72" s="758"/>
      <c r="FD72" s="758"/>
      <c r="FE72" s="758"/>
      <c r="FF72" s="758"/>
      <c r="FG72" s="758"/>
      <c r="FH72" s="758"/>
      <c r="FI72" s="758"/>
      <c r="FJ72" s="758"/>
      <c r="FK72" s="758"/>
      <c r="FL72" s="758"/>
      <c r="FM72" s="758"/>
      <c r="FN72" s="758"/>
      <c r="FO72" s="758"/>
      <c r="FP72" s="758"/>
      <c r="FQ72" s="758"/>
      <c r="FR72" s="758"/>
      <c r="FS72" s="758"/>
      <c r="FT72" s="758"/>
      <c r="FU72" s="758"/>
      <c r="FV72" s="758"/>
      <c r="FW72" s="758"/>
      <c r="FX72" s="758"/>
      <c r="FY72" s="758"/>
      <c r="FZ72" s="758"/>
      <c r="GA72" s="758"/>
      <c r="GB72" s="758"/>
      <c r="GC72" s="758"/>
      <c r="GD72" s="758"/>
      <c r="GE72" s="758"/>
      <c r="GF72" s="758"/>
      <c r="GG72" s="758"/>
      <c r="GH72" s="758"/>
      <c r="GI72" s="758"/>
      <c r="GJ72" s="758"/>
      <c r="GK72" s="758"/>
      <c r="GL72" s="758"/>
      <c r="GM72" s="758"/>
      <c r="GN72" s="758"/>
      <c r="GO72" s="758"/>
      <c r="GP72" s="758"/>
      <c r="GQ72" s="758"/>
      <c r="GR72" s="758"/>
      <c r="GS72" s="758"/>
      <c r="GT72" s="758"/>
      <c r="GU72" s="758"/>
      <c r="GV72" s="758"/>
      <c r="GW72" s="758"/>
      <c r="GX72" s="758"/>
      <c r="GY72" s="758"/>
      <c r="GZ72" s="758"/>
      <c r="HA72" s="758"/>
      <c r="HB72" s="758"/>
      <c r="HC72" s="758"/>
      <c r="HD72" s="758"/>
      <c r="HE72" s="758"/>
      <c r="HF72" s="758"/>
      <c r="HG72" s="758"/>
      <c r="HH72" s="758"/>
      <c r="HI72" s="758"/>
      <c r="HJ72" s="758"/>
      <c r="HK72" s="758"/>
      <c r="HL72" s="758"/>
      <c r="HM72" s="758"/>
      <c r="HN72" s="758"/>
      <c r="HO72" s="758"/>
      <c r="HP72" s="758"/>
      <c r="HQ72" s="758"/>
      <c r="HR72" s="758"/>
      <c r="HS72" s="758"/>
      <c r="HT72" s="758"/>
      <c r="HU72" s="758"/>
      <c r="HV72" s="758"/>
      <c r="HW72" s="758"/>
      <c r="HX72" s="758"/>
      <c r="HY72" s="758"/>
      <c r="HZ72" s="758"/>
      <c r="IA72" s="758"/>
      <c r="IB72" s="758"/>
      <c r="IC72" s="758"/>
      <c r="ID72" s="758"/>
      <c r="IE72" s="758"/>
      <c r="IF72" s="758"/>
      <c r="IG72" s="758"/>
      <c r="IH72" s="758"/>
      <c r="II72" s="758"/>
      <c r="IJ72" s="758"/>
      <c r="IK72" s="758"/>
      <c r="IL72" s="758"/>
      <c r="IM72" s="758"/>
      <c r="IN72" s="758"/>
      <c r="IO72" s="758"/>
      <c r="IP72" s="758"/>
      <c r="IQ72" s="758"/>
      <c r="IR72" s="758"/>
      <c r="IS72" s="758"/>
      <c r="IT72" s="758"/>
      <c r="IU72" s="758"/>
      <c r="IV72" s="758"/>
    </row>
    <row r="73" spans="1:256" ht="15" x14ac:dyDescent="0.3">
      <c r="A73" s="830">
        <v>12</v>
      </c>
      <c r="B73" s="926" t="s">
        <v>783</v>
      </c>
      <c r="C73" s="855"/>
      <c r="D73" s="916"/>
      <c r="E73" s="894">
        <f>D73*$E$55</f>
        <v>0</v>
      </c>
      <c r="F73" s="907">
        <f>(D73*0.02)*($F$55)</f>
        <v>0</v>
      </c>
      <c r="G73" s="907">
        <f>(D73*0.02)</f>
        <v>0</v>
      </c>
      <c r="H73" s="927"/>
      <c r="I73" s="895">
        <f t="shared" si="1"/>
        <v>0</v>
      </c>
      <c r="J73" s="758"/>
      <c r="K73" s="758"/>
      <c r="L73" s="902"/>
      <c r="M73" s="903"/>
      <c r="N73" s="903"/>
      <c r="O73" s="903"/>
      <c r="P73" s="902"/>
      <c r="Q73" s="902"/>
      <c r="R73" s="758"/>
      <c r="S73" s="904"/>
      <c r="T73" s="857"/>
      <c r="U73" s="857"/>
      <c r="V73" s="857"/>
      <c r="W73" s="857"/>
      <c r="X73" s="758"/>
      <c r="Y73" s="758"/>
      <c r="Z73" s="758"/>
      <c r="AA73" s="758"/>
      <c r="AB73" s="758"/>
      <c r="AC73" s="758"/>
      <c r="AD73" s="758"/>
      <c r="AE73" s="758"/>
      <c r="AF73" s="758"/>
      <c r="AG73" s="758"/>
      <c r="AH73" s="758"/>
      <c r="AI73" s="758"/>
      <c r="AJ73" s="758"/>
      <c r="AK73" s="758"/>
      <c r="AL73" s="758"/>
      <c r="AM73" s="758"/>
      <c r="AN73" s="758"/>
      <c r="AO73" s="758"/>
      <c r="AP73" s="758"/>
      <c r="AQ73" s="758"/>
      <c r="AR73" s="758"/>
      <c r="AS73" s="758"/>
      <c r="AT73" s="758"/>
      <c r="AU73" s="758"/>
      <c r="AV73" s="758"/>
      <c r="AW73" s="758"/>
      <c r="AX73" s="758"/>
      <c r="AY73" s="758"/>
      <c r="AZ73" s="758"/>
      <c r="BA73" s="758"/>
      <c r="BB73" s="758"/>
      <c r="BC73" s="758"/>
      <c r="BD73" s="758"/>
      <c r="BE73" s="758"/>
      <c r="BF73" s="758"/>
      <c r="BG73" s="758"/>
      <c r="BH73" s="758"/>
      <c r="BI73" s="758"/>
      <c r="BJ73" s="758"/>
      <c r="BK73" s="758"/>
      <c r="BL73" s="758"/>
      <c r="BM73" s="758"/>
      <c r="BN73" s="758"/>
      <c r="BO73" s="758"/>
      <c r="BP73" s="758"/>
      <c r="BQ73" s="758"/>
      <c r="BR73" s="758"/>
      <c r="BS73" s="758"/>
      <c r="BT73" s="758"/>
      <c r="BU73" s="758"/>
      <c r="BV73" s="758"/>
      <c r="BW73" s="758"/>
      <c r="BX73" s="758"/>
      <c r="BY73" s="758"/>
      <c r="BZ73" s="758"/>
      <c r="CA73" s="758"/>
      <c r="CB73" s="758"/>
      <c r="CC73" s="758"/>
      <c r="CD73" s="758"/>
      <c r="CE73" s="758"/>
      <c r="CF73" s="758"/>
      <c r="CG73" s="758"/>
      <c r="CH73" s="758"/>
      <c r="CI73" s="758"/>
      <c r="CJ73" s="758"/>
      <c r="CK73" s="758"/>
      <c r="CL73" s="758"/>
      <c r="CM73" s="758"/>
      <c r="CN73" s="758"/>
      <c r="CO73" s="758"/>
      <c r="CP73" s="758"/>
      <c r="CQ73" s="758"/>
      <c r="CR73" s="758"/>
      <c r="CS73" s="758"/>
      <c r="CT73" s="758"/>
      <c r="CU73" s="758"/>
      <c r="CV73" s="758"/>
      <c r="CW73" s="758"/>
      <c r="CX73" s="758"/>
      <c r="CY73" s="758"/>
      <c r="CZ73" s="758"/>
      <c r="DA73" s="758"/>
      <c r="DB73" s="758"/>
      <c r="DC73" s="758"/>
      <c r="DD73" s="758"/>
      <c r="DE73" s="758"/>
      <c r="DF73" s="758"/>
      <c r="DG73" s="758"/>
      <c r="DH73" s="758"/>
      <c r="DI73" s="758"/>
      <c r="DJ73" s="758"/>
      <c r="DK73" s="758"/>
      <c r="DL73" s="758"/>
      <c r="DM73" s="758"/>
      <c r="DN73" s="758"/>
      <c r="DO73" s="758"/>
      <c r="DP73" s="758"/>
      <c r="DQ73" s="758"/>
      <c r="DR73" s="758"/>
      <c r="DS73" s="758"/>
      <c r="DT73" s="758"/>
      <c r="DU73" s="758"/>
      <c r="DV73" s="758"/>
      <c r="DW73" s="758"/>
      <c r="DX73" s="758"/>
      <c r="DY73" s="758"/>
      <c r="DZ73" s="758"/>
      <c r="EA73" s="758"/>
      <c r="EB73" s="758"/>
      <c r="EC73" s="758"/>
      <c r="ED73" s="758"/>
      <c r="EE73" s="758"/>
      <c r="EF73" s="758"/>
      <c r="EG73" s="758"/>
      <c r="EH73" s="758"/>
      <c r="EI73" s="758"/>
      <c r="EJ73" s="758"/>
      <c r="EK73" s="758"/>
      <c r="EL73" s="758"/>
      <c r="EM73" s="758"/>
      <c r="EN73" s="758"/>
      <c r="EO73" s="758"/>
      <c r="EP73" s="758"/>
      <c r="EQ73" s="758"/>
      <c r="ER73" s="758"/>
      <c r="ES73" s="758"/>
      <c r="ET73" s="758"/>
      <c r="EU73" s="758"/>
      <c r="EV73" s="758"/>
      <c r="EW73" s="758"/>
      <c r="EX73" s="758"/>
      <c r="EY73" s="758"/>
      <c r="EZ73" s="758"/>
      <c r="FA73" s="758"/>
      <c r="FB73" s="758"/>
      <c r="FC73" s="758"/>
      <c r="FD73" s="758"/>
      <c r="FE73" s="758"/>
      <c r="FF73" s="758"/>
      <c r="FG73" s="758"/>
      <c r="FH73" s="758"/>
      <c r="FI73" s="758"/>
      <c r="FJ73" s="758"/>
      <c r="FK73" s="758"/>
      <c r="FL73" s="758"/>
      <c r="FM73" s="758"/>
      <c r="FN73" s="758"/>
      <c r="FO73" s="758"/>
      <c r="FP73" s="758"/>
      <c r="FQ73" s="758"/>
      <c r="FR73" s="758"/>
      <c r="FS73" s="758"/>
      <c r="FT73" s="758"/>
      <c r="FU73" s="758"/>
      <c r="FV73" s="758"/>
      <c r="FW73" s="758"/>
      <c r="FX73" s="758"/>
      <c r="FY73" s="758"/>
      <c r="FZ73" s="758"/>
      <c r="GA73" s="758"/>
      <c r="GB73" s="758"/>
      <c r="GC73" s="758"/>
      <c r="GD73" s="758"/>
      <c r="GE73" s="758"/>
      <c r="GF73" s="758"/>
      <c r="GG73" s="758"/>
      <c r="GH73" s="758"/>
      <c r="GI73" s="758"/>
      <c r="GJ73" s="758"/>
      <c r="GK73" s="758"/>
      <c r="GL73" s="758"/>
      <c r="GM73" s="758"/>
      <c r="GN73" s="758"/>
      <c r="GO73" s="758"/>
      <c r="GP73" s="758"/>
      <c r="GQ73" s="758"/>
      <c r="GR73" s="758"/>
      <c r="GS73" s="758"/>
      <c r="GT73" s="758"/>
      <c r="GU73" s="758"/>
      <c r="GV73" s="758"/>
      <c r="GW73" s="758"/>
      <c r="GX73" s="758"/>
      <c r="GY73" s="758"/>
      <c r="GZ73" s="758"/>
      <c r="HA73" s="758"/>
      <c r="HB73" s="758"/>
      <c r="HC73" s="758"/>
      <c r="HD73" s="758"/>
      <c r="HE73" s="758"/>
      <c r="HF73" s="758"/>
      <c r="HG73" s="758"/>
      <c r="HH73" s="758"/>
      <c r="HI73" s="758"/>
      <c r="HJ73" s="758"/>
      <c r="HK73" s="758"/>
      <c r="HL73" s="758"/>
      <c r="HM73" s="758"/>
      <c r="HN73" s="758"/>
      <c r="HO73" s="758"/>
      <c r="HP73" s="758"/>
      <c r="HQ73" s="758"/>
      <c r="HR73" s="758"/>
      <c r="HS73" s="758"/>
      <c r="HT73" s="758"/>
      <c r="HU73" s="758"/>
      <c r="HV73" s="758"/>
      <c r="HW73" s="758"/>
      <c r="HX73" s="758"/>
      <c r="HY73" s="758"/>
      <c r="HZ73" s="758"/>
      <c r="IA73" s="758"/>
      <c r="IB73" s="758"/>
      <c r="IC73" s="758"/>
      <c r="ID73" s="758"/>
      <c r="IE73" s="758"/>
      <c r="IF73" s="758"/>
      <c r="IG73" s="758"/>
      <c r="IH73" s="758"/>
      <c r="II73" s="758"/>
      <c r="IJ73" s="758"/>
      <c r="IK73" s="758"/>
      <c r="IL73" s="758"/>
      <c r="IM73" s="758"/>
      <c r="IN73" s="758"/>
      <c r="IO73" s="758"/>
      <c r="IP73" s="758"/>
      <c r="IQ73" s="758"/>
      <c r="IR73" s="758"/>
      <c r="IS73" s="758"/>
      <c r="IT73" s="758"/>
      <c r="IU73" s="758"/>
      <c r="IV73" s="758"/>
    </row>
    <row r="74" spans="1:256" ht="15.6" x14ac:dyDescent="0.3">
      <c r="A74" s="830">
        <v>13</v>
      </c>
      <c r="B74" s="926" t="s">
        <v>768</v>
      </c>
      <c r="C74" s="894"/>
      <c r="D74" s="922"/>
      <c r="E74" s="923"/>
      <c r="F74" s="923"/>
      <c r="G74" s="907"/>
      <c r="H74" s="928">
        <f>E35</f>
        <v>0</v>
      </c>
      <c r="I74" s="895">
        <f t="shared" si="1"/>
        <v>0</v>
      </c>
      <c r="J74" s="758"/>
      <c r="K74" s="758"/>
      <c r="L74" s="902"/>
      <c r="M74" s="903"/>
      <c r="N74" s="903"/>
      <c r="O74" s="903"/>
      <c r="P74" s="902"/>
      <c r="Q74" s="902"/>
      <c r="R74" s="758"/>
      <c r="S74" s="904"/>
      <c r="T74" s="857"/>
      <c r="U74" s="857"/>
      <c r="V74" s="857"/>
      <c r="W74" s="857"/>
      <c r="X74" s="758"/>
      <c r="Y74" s="758"/>
      <c r="Z74" s="758"/>
      <c r="AA74" s="758"/>
      <c r="AB74" s="758"/>
      <c r="AC74" s="758"/>
      <c r="AD74" s="758"/>
      <c r="AE74" s="758"/>
      <c r="AF74" s="758"/>
      <c r="AG74" s="758"/>
      <c r="AH74" s="758"/>
      <c r="AI74" s="758"/>
      <c r="AJ74" s="758"/>
      <c r="AK74" s="758"/>
      <c r="AL74" s="758"/>
      <c r="AM74" s="758"/>
      <c r="AN74" s="758"/>
      <c r="AO74" s="758"/>
      <c r="AP74" s="758"/>
      <c r="AQ74" s="758"/>
      <c r="AR74" s="758"/>
      <c r="AS74" s="758"/>
      <c r="AT74" s="758"/>
      <c r="AU74" s="758"/>
      <c r="AV74" s="758"/>
      <c r="AW74" s="758"/>
      <c r="AX74" s="758"/>
      <c r="AY74" s="758"/>
      <c r="AZ74" s="758"/>
      <c r="BA74" s="758"/>
      <c r="BB74" s="758"/>
      <c r="BC74" s="758"/>
      <c r="BD74" s="758"/>
      <c r="BE74" s="758"/>
      <c r="BF74" s="758"/>
      <c r="BG74" s="758"/>
      <c r="BH74" s="758"/>
      <c r="BI74" s="758"/>
      <c r="BJ74" s="758"/>
      <c r="BK74" s="758"/>
      <c r="BL74" s="758"/>
      <c r="BM74" s="758"/>
      <c r="BN74" s="758"/>
      <c r="BO74" s="758"/>
      <c r="BP74" s="758"/>
      <c r="BQ74" s="758"/>
      <c r="BR74" s="758"/>
      <c r="BS74" s="758"/>
      <c r="BT74" s="758"/>
      <c r="BU74" s="758"/>
      <c r="BV74" s="758"/>
      <c r="BW74" s="758"/>
      <c r="BX74" s="758"/>
      <c r="BY74" s="758"/>
      <c r="BZ74" s="758"/>
      <c r="CA74" s="758"/>
      <c r="CB74" s="758"/>
      <c r="CC74" s="758"/>
      <c r="CD74" s="758"/>
      <c r="CE74" s="758"/>
      <c r="CF74" s="758"/>
      <c r="CG74" s="758"/>
      <c r="CH74" s="758"/>
      <c r="CI74" s="758"/>
      <c r="CJ74" s="758"/>
      <c r="CK74" s="758"/>
      <c r="CL74" s="758"/>
      <c r="CM74" s="758"/>
      <c r="CN74" s="758"/>
      <c r="CO74" s="758"/>
      <c r="CP74" s="758"/>
      <c r="CQ74" s="758"/>
      <c r="CR74" s="758"/>
      <c r="CS74" s="758"/>
      <c r="CT74" s="758"/>
      <c r="CU74" s="758"/>
      <c r="CV74" s="758"/>
      <c r="CW74" s="758"/>
      <c r="CX74" s="758"/>
      <c r="CY74" s="758"/>
      <c r="CZ74" s="758"/>
      <c r="DA74" s="758"/>
      <c r="DB74" s="758"/>
      <c r="DC74" s="758"/>
      <c r="DD74" s="758"/>
      <c r="DE74" s="758"/>
      <c r="DF74" s="758"/>
      <c r="DG74" s="758"/>
      <c r="DH74" s="758"/>
      <c r="DI74" s="758"/>
      <c r="DJ74" s="758"/>
      <c r="DK74" s="758"/>
      <c r="DL74" s="758"/>
      <c r="DM74" s="758"/>
      <c r="DN74" s="758"/>
      <c r="DO74" s="758"/>
      <c r="DP74" s="758"/>
      <c r="DQ74" s="758"/>
      <c r="DR74" s="758"/>
      <c r="DS74" s="758"/>
      <c r="DT74" s="758"/>
      <c r="DU74" s="758"/>
      <c r="DV74" s="758"/>
      <c r="DW74" s="758"/>
      <c r="DX74" s="758"/>
      <c r="DY74" s="758"/>
      <c r="DZ74" s="758"/>
      <c r="EA74" s="758"/>
      <c r="EB74" s="758"/>
      <c r="EC74" s="758"/>
      <c r="ED74" s="758"/>
      <c r="EE74" s="758"/>
      <c r="EF74" s="758"/>
      <c r="EG74" s="758"/>
      <c r="EH74" s="758"/>
      <c r="EI74" s="758"/>
      <c r="EJ74" s="758"/>
      <c r="EK74" s="758"/>
      <c r="EL74" s="758"/>
      <c r="EM74" s="758"/>
      <c r="EN74" s="758"/>
      <c r="EO74" s="758"/>
      <c r="EP74" s="758"/>
      <c r="EQ74" s="758"/>
      <c r="ER74" s="758"/>
      <c r="ES74" s="758"/>
      <c r="ET74" s="758"/>
      <c r="EU74" s="758"/>
      <c r="EV74" s="758"/>
      <c r="EW74" s="758"/>
      <c r="EX74" s="758"/>
      <c r="EY74" s="758"/>
      <c r="EZ74" s="758"/>
      <c r="FA74" s="758"/>
      <c r="FB74" s="758"/>
      <c r="FC74" s="758"/>
      <c r="FD74" s="758"/>
      <c r="FE74" s="758"/>
      <c r="FF74" s="758"/>
      <c r="FG74" s="758"/>
      <c r="FH74" s="758"/>
      <c r="FI74" s="758"/>
      <c r="FJ74" s="758"/>
      <c r="FK74" s="758"/>
      <c r="FL74" s="758"/>
      <c r="FM74" s="758"/>
      <c r="FN74" s="758"/>
      <c r="FO74" s="758"/>
      <c r="FP74" s="758"/>
      <c r="FQ74" s="758"/>
      <c r="FR74" s="758"/>
      <c r="FS74" s="758"/>
      <c r="FT74" s="758"/>
      <c r="FU74" s="758"/>
      <c r="FV74" s="758"/>
      <c r="FW74" s="758"/>
      <c r="FX74" s="758"/>
      <c r="FY74" s="758"/>
      <c r="FZ74" s="758"/>
      <c r="GA74" s="758"/>
      <c r="GB74" s="758"/>
      <c r="GC74" s="758"/>
      <c r="GD74" s="758"/>
      <c r="GE74" s="758"/>
      <c r="GF74" s="758"/>
      <c r="GG74" s="758"/>
      <c r="GH74" s="758"/>
      <c r="GI74" s="758"/>
      <c r="GJ74" s="758"/>
      <c r="GK74" s="758"/>
      <c r="GL74" s="758"/>
      <c r="GM74" s="758"/>
      <c r="GN74" s="758"/>
      <c r="GO74" s="758"/>
      <c r="GP74" s="758"/>
      <c r="GQ74" s="758"/>
      <c r="GR74" s="758"/>
      <c r="GS74" s="758"/>
      <c r="GT74" s="758"/>
      <c r="GU74" s="758"/>
      <c r="GV74" s="758"/>
      <c r="GW74" s="758"/>
      <c r="GX74" s="758"/>
      <c r="GY74" s="758"/>
      <c r="GZ74" s="758"/>
      <c r="HA74" s="758"/>
      <c r="HB74" s="758"/>
      <c r="HC74" s="758"/>
      <c r="HD74" s="758"/>
      <c r="HE74" s="758"/>
      <c r="HF74" s="758"/>
      <c r="HG74" s="758"/>
      <c r="HH74" s="758"/>
      <c r="HI74" s="758"/>
      <c r="HJ74" s="758"/>
      <c r="HK74" s="758"/>
      <c r="HL74" s="758"/>
      <c r="HM74" s="758"/>
      <c r="HN74" s="758"/>
      <c r="HO74" s="758"/>
      <c r="HP74" s="758"/>
      <c r="HQ74" s="758"/>
      <c r="HR74" s="758"/>
      <c r="HS74" s="758"/>
      <c r="HT74" s="758"/>
      <c r="HU74" s="758"/>
      <c r="HV74" s="758"/>
      <c r="HW74" s="758"/>
      <c r="HX74" s="758"/>
      <c r="HY74" s="758"/>
      <c r="HZ74" s="758"/>
      <c r="IA74" s="758"/>
      <c r="IB74" s="758"/>
      <c r="IC74" s="758"/>
      <c r="ID74" s="758"/>
      <c r="IE74" s="758"/>
      <c r="IF74" s="758"/>
      <c r="IG74" s="758"/>
      <c r="IH74" s="758"/>
      <c r="II74" s="758"/>
      <c r="IJ74" s="758"/>
      <c r="IK74" s="758"/>
      <c r="IL74" s="758"/>
      <c r="IM74" s="758"/>
      <c r="IN74" s="758"/>
      <c r="IO74" s="758"/>
      <c r="IP74" s="758"/>
      <c r="IQ74" s="758"/>
      <c r="IR74" s="758"/>
      <c r="IS74" s="758"/>
      <c r="IT74" s="758"/>
      <c r="IU74" s="758"/>
      <c r="IV74" s="758"/>
    </row>
    <row r="75" spans="1:256" ht="15.6" x14ac:dyDescent="0.3">
      <c r="A75" s="896"/>
      <c r="B75" s="929" t="s">
        <v>1</v>
      </c>
      <c r="C75" s="930" t="e">
        <f t="shared" ref="C75:I75" si="2">SUM(C56:C74)</f>
        <v>#REF!</v>
      </c>
      <c r="D75" s="930" t="e">
        <f t="shared" si="2"/>
        <v>#REF!</v>
      </c>
      <c r="E75" s="930" t="e">
        <f t="shared" si="2"/>
        <v>#REF!</v>
      </c>
      <c r="F75" s="930" t="e">
        <f t="shared" si="2"/>
        <v>#REF!</v>
      </c>
      <c r="G75" s="930" t="e">
        <f t="shared" si="2"/>
        <v>#REF!</v>
      </c>
      <c r="H75" s="930">
        <f t="shared" si="2"/>
        <v>0</v>
      </c>
      <c r="I75" s="930" t="e">
        <f t="shared" si="2"/>
        <v>#REF!</v>
      </c>
      <c r="K75" s="931"/>
      <c r="L75" s="668"/>
      <c r="M75" s="685"/>
      <c r="N75" s="685"/>
      <c r="O75" s="685"/>
      <c r="P75" s="668"/>
      <c r="Q75" s="668"/>
      <c r="S75" s="904"/>
      <c r="T75" s="857"/>
      <c r="U75" s="759"/>
      <c r="V75" s="857"/>
      <c r="W75" s="857"/>
    </row>
    <row r="76" spans="1:256" ht="15.6" x14ac:dyDescent="0.3">
      <c r="A76" s="896"/>
      <c r="B76" s="873" t="s">
        <v>784</v>
      </c>
      <c r="C76" s="898"/>
      <c r="D76" s="932"/>
      <c r="E76" s="898" t="e">
        <f>E57+E58+E59+E61+E73</f>
        <v>#REF!</v>
      </c>
      <c r="F76" s="898" t="e">
        <f>F56+F57+F58+F59+F60+F61+F62+F64+F65+F66+F72+F73</f>
        <v>#REF!</v>
      </c>
      <c r="G76" s="898"/>
      <c r="H76" s="898" t="e">
        <f>D32+D34</f>
        <v>#REF!</v>
      </c>
      <c r="I76" s="900" t="e">
        <f>SUM(C76:H76)</f>
        <v>#REF!</v>
      </c>
      <c r="K76" s="931"/>
      <c r="L76" s="668"/>
      <c r="M76" s="685"/>
      <c r="N76" s="685"/>
      <c r="O76" s="685"/>
      <c r="P76" s="668"/>
      <c r="Q76" s="668"/>
      <c r="S76" s="904"/>
      <c r="T76" s="857"/>
      <c r="U76" s="759"/>
      <c r="V76" s="857"/>
      <c r="W76" s="857"/>
    </row>
    <row r="77" spans="1:256" ht="15.6" x14ac:dyDescent="0.3">
      <c r="A77" s="933"/>
      <c r="B77" s="742"/>
      <c r="C77" s="742"/>
      <c r="D77" s="742"/>
      <c r="E77" s="742"/>
      <c r="F77" s="742"/>
      <c r="G77" s="742"/>
      <c r="H77" s="742"/>
      <c r="I77" s="742" t="e">
        <f>I75-I76</f>
        <v>#REF!</v>
      </c>
      <c r="J77" s="742"/>
      <c r="K77" s="931"/>
      <c r="L77" s="668"/>
      <c r="M77" s="685"/>
      <c r="N77" s="685"/>
      <c r="O77" s="685"/>
      <c r="P77" s="668"/>
      <c r="Q77" s="668"/>
      <c r="S77" s="904"/>
      <c r="T77" s="857"/>
      <c r="U77" s="759"/>
      <c r="V77" s="857"/>
      <c r="W77" s="857"/>
    </row>
    <row r="78" spans="1:256" x14ac:dyDescent="0.3">
      <c r="A78" s="934"/>
      <c r="B78" s="678"/>
      <c r="C78" s="678"/>
      <c r="D78" s="678"/>
      <c r="E78" s="678"/>
      <c r="F78" s="678"/>
      <c r="G78" s="678"/>
      <c r="P78" s="742"/>
      <c r="Q78" s="935"/>
      <c r="R78" s="742"/>
      <c r="X78" s="742"/>
      <c r="Y78" s="742"/>
    </row>
    <row r="79" spans="1:256" ht="15.6" x14ac:dyDescent="0.3">
      <c r="A79" s="695"/>
      <c r="B79" s="936"/>
      <c r="C79" s="937"/>
      <c r="D79" s="938"/>
      <c r="E79" s="937"/>
      <c r="F79" s="939"/>
      <c r="G79" s="698"/>
      <c r="H79" s="699"/>
      <c r="I79" s="699"/>
      <c r="J79" s="699"/>
      <c r="K79" s="699"/>
      <c r="P79" s="742"/>
      <c r="Q79" s="935"/>
      <c r="R79" s="742"/>
      <c r="X79" s="742"/>
      <c r="Y79" s="742"/>
    </row>
    <row r="80" spans="1:256" ht="15.6" x14ac:dyDescent="0.3">
      <c r="A80" s="940"/>
      <c r="B80" s="937"/>
      <c r="C80" s="939"/>
      <c r="D80" s="939"/>
      <c r="E80" s="939"/>
      <c r="F80" s="941"/>
      <c r="G80" s="698"/>
      <c r="H80" s="699"/>
      <c r="I80" s="699"/>
      <c r="J80" s="699"/>
      <c r="K80" s="699"/>
      <c r="P80" s="942"/>
      <c r="Q80" s="742"/>
      <c r="R80" s="742"/>
      <c r="X80" s="742"/>
      <c r="Y80" s="742"/>
    </row>
    <row r="81" spans="1:25" ht="15.6" x14ac:dyDescent="0.3">
      <c r="A81" s="943"/>
      <c r="B81" s="937"/>
      <c r="C81" s="939"/>
      <c r="D81" s="939"/>
      <c r="E81" s="939"/>
      <c r="F81" s="944"/>
      <c r="G81" s="727"/>
      <c r="H81" s="749"/>
      <c r="I81" s="742"/>
      <c r="J81" s="742"/>
      <c r="K81" s="699"/>
      <c r="P81" s="742"/>
      <c r="Q81" s="742"/>
      <c r="R81" s="742"/>
      <c r="X81" s="742"/>
      <c r="Y81" s="742"/>
    </row>
    <row r="82" spans="1:25" x14ac:dyDescent="0.3">
      <c r="A82" s="755"/>
      <c r="B82" s="755"/>
      <c r="C82" s="754"/>
      <c r="D82" s="754"/>
      <c r="E82" s="754"/>
      <c r="F82" s="754"/>
      <c r="G82" s="754"/>
      <c r="H82" s="945"/>
      <c r="J82" s="742"/>
      <c r="K82" s="749"/>
      <c r="P82" s="699"/>
      <c r="Q82" s="742"/>
      <c r="R82" s="742"/>
      <c r="X82" s="742"/>
      <c r="Y82" s="742"/>
    </row>
    <row r="83" spans="1:25" x14ac:dyDescent="0.3">
      <c r="A83" s="696"/>
      <c r="B83" s="696"/>
      <c r="C83" s="696"/>
      <c r="D83" s="696"/>
      <c r="E83" s="754"/>
      <c r="F83" s="754"/>
      <c r="G83" s="754"/>
      <c r="H83" s="946"/>
      <c r="J83" s="749"/>
      <c r="K83" s="749"/>
      <c r="P83" s="699"/>
      <c r="Q83" s="742"/>
      <c r="R83" s="742"/>
      <c r="X83" s="742"/>
      <c r="Y83" s="742"/>
    </row>
    <row r="84" spans="1:25" x14ac:dyDescent="0.3">
      <c r="A84" s="947"/>
      <c r="B84" s="948"/>
      <c r="C84" s="949"/>
      <c r="D84" s="776"/>
      <c r="E84" s="950"/>
      <c r="F84" s="754"/>
      <c r="G84" s="776"/>
      <c r="H84" s="742"/>
      <c r="J84" s="742"/>
      <c r="K84" s="742"/>
      <c r="P84" s="742"/>
      <c r="Q84" s="935"/>
      <c r="R84" s="742"/>
      <c r="X84" s="742"/>
      <c r="Y84" s="742"/>
    </row>
    <row r="85" spans="1:25" x14ac:dyDescent="0.3">
      <c r="A85" s="782"/>
      <c r="B85" s="951"/>
      <c r="C85" s="817"/>
      <c r="D85" s="833"/>
      <c r="E85" s="785"/>
      <c r="F85" s="952"/>
      <c r="G85" s="953"/>
      <c r="H85" s="742"/>
      <c r="J85" s="935"/>
      <c r="K85" s="742"/>
      <c r="P85" s="942"/>
      <c r="Q85" s="742"/>
      <c r="R85" s="742"/>
      <c r="X85" s="742"/>
      <c r="Y85" s="742"/>
    </row>
    <row r="86" spans="1:25" x14ac:dyDescent="0.3">
      <c r="A86" s="782"/>
      <c r="B86" s="951"/>
      <c r="C86" s="817"/>
      <c r="D86" s="833"/>
      <c r="E86" s="785"/>
      <c r="F86" s="952"/>
      <c r="G86" s="954"/>
      <c r="H86" s="742"/>
      <c r="J86" s="935"/>
      <c r="K86" s="742"/>
      <c r="P86" s="942"/>
      <c r="Q86" s="742"/>
      <c r="R86" s="742"/>
      <c r="X86" s="742"/>
      <c r="Y86" s="742"/>
    </row>
    <row r="87" spans="1:25" x14ac:dyDescent="0.3">
      <c r="A87" s="782"/>
      <c r="B87" s="951"/>
      <c r="C87" s="817"/>
      <c r="D87" s="833"/>
      <c r="E87" s="785"/>
      <c r="F87" s="952"/>
      <c r="G87" s="954"/>
      <c r="H87" s="742"/>
      <c r="J87" s="935"/>
      <c r="K87" s="742"/>
      <c r="P87" s="942"/>
      <c r="Q87" s="742"/>
      <c r="R87" s="742"/>
      <c r="X87" s="742"/>
      <c r="Y87" s="742"/>
    </row>
    <row r="88" spans="1:25" x14ac:dyDescent="0.3">
      <c r="A88" s="782"/>
      <c r="B88" s="951"/>
      <c r="C88" s="817"/>
      <c r="D88" s="833"/>
      <c r="E88" s="785"/>
      <c r="F88" s="952"/>
      <c r="G88" s="827"/>
      <c r="H88" s="742"/>
      <c r="J88" s="935"/>
      <c r="K88" s="742"/>
      <c r="P88" s="942"/>
      <c r="Q88" s="742"/>
      <c r="R88" s="742"/>
      <c r="X88" s="742"/>
      <c r="Y88" s="742"/>
    </row>
    <row r="89" spans="1:25" x14ac:dyDescent="0.3">
      <c r="A89" s="809"/>
      <c r="B89" s="955"/>
      <c r="C89" s="754"/>
      <c r="D89" s="811"/>
      <c r="E89" s="812"/>
      <c r="F89" s="812"/>
      <c r="G89" s="812"/>
      <c r="H89" s="812">
        <f>SUM(H85:H87)</f>
        <v>0</v>
      </c>
      <c r="J89" s="935"/>
      <c r="K89" s="742"/>
      <c r="P89" s="942"/>
      <c r="Q89" s="742"/>
      <c r="R89" s="742"/>
      <c r="X89" s="742"/>
      <c r="Y89" s="742"/>
    </row>
    <row r="90" spans="1:25" x14ac:dyDescent="0.3">
      <c r="A90" s="728"/>
      <c r="B90" s="816"/>
      <c r="C90" s="817"/>
      <c r="D90" s="785"/>
      <c r="E90" s="785"/>
      <c r="F90" s="728"/>
      <c r="G90" s="728"/>
      <c r="H90" s="742"/>
      <c r="J90" s="742"/>
      <c r="K90" s="699"/>
      <c r="P90" s="742"/>
      <c r="Q90" s="742"/>
      <c r="R90" s="742"/>
      <c r="X90" s="742"/>
      <c r="Y90" s="742"/>
    </row>
    <row r="91" spans="1:25" x14ac:dyDescent="0.3">
      <c r="A91" s="776"/>
      <c r="B91" s="818"/>
      <c r="C91" s="817"/>
      <c r="D91" s="785"/>
      <c r="E91" s="785"/>
      <c r="F91" s="728"/>
      <c r="G91" s="956"/>
      <c r="H91" s="742"/>
      <c r="J91" s="742"/>
      <c r="K91" s="699"/>
      <c r="P91" s="742"/>
      <c r="Q91" s="742"/>
      <c r="R91" s="742"/>
      <c r="X91" s="742"/>
      <c r="Y91" s="742"/>
    </row>
    <row r="92" spans="1:25" x14ac:dyDescent="0.3">
      <c r="A92" s="776"/>
      <c r="B92" s="818"/>
      <c r="C92" s="817"/>
      <c r="D92" s="785"/>
      <c r="E92" s="785"/>
      <c r="F92" s="728"/>
      <c r="G92" s="956"/>
      <c r="H92" s="742"/>
      <c r="J92" s="742"/>
      <c r="K92" s="699"/>
      <c r="P92" s="742"/>
      <c r="Q92" s="742"/>
      <c r="R92" s="742"/>
      <c r="X92" s="742"/>
      <c r="Y92" s="742"/>
    </row>
    <row r="93" spans="1:25" x14ac:dyDescent="0.3">
      <c r="A93" s="728"/>
      <c r="B93" s="754"/>
      <c r="C93" s="754"/>
      <c r="D93" s="820"/>
      <c r="E93" s="820"/>
      <c r="F93" s="821"/>
      <c r="G93" s="728"/>
      <c r="H93" s="742"/>
      <c r="J93" s="742"/>
      <c r="K93" s="699"/>
      <c r="P93" s="742"/>
      <c r="Q93" s="742"/>
      <c r="R93" s="742"/>
      <c r="X93" s="742"/>
      <c r="Y93" s="742"/>
    </row>
    <row r="94" spans="1:25" x14ac:dyDescent="0.3">
      <c r="A94" s="728"/>
      <c r="B94" s="820"/>
      <c r="C94" s="817"/>
      <c r="D94" s="785"/>
      <c r="E94" s="785"/>
      <c r="F94" s="821"/>
      <c r="G94" s="728"/>
      <c r="H94" s="957">
        <f>H93+H89</f>
        <v>0</v>
      </c>
      <c r="J94" s="742"/>
      <c r="K94" s="699"/>
      <c r="P94" s="742"/>
      <c r="Q94" s="742"/>
      <c r="R94" s="742"/>
      <c r="X94" s="742"/>
      <c r="Y94" s="742"/>
    </row>
    <row r="95" spans="1:25" x14ac:dyDescent="0.3">
      <c r="A95" s="958"/>
      <c r="B95" s="959"/>
      <c r="C95" s="960"/>
      <c r="D95" s="961"/>
      <c r="E95" s="962"/>
      <c r="F95" s="963"/>
      <c r="G95" s="776"/>
      <c r="H95" s="964"/>
      <c r="I95" s="958"/>
      <c r="J95" s="959"/>
      <c r="K95" s="960"/>
      <c r="L95" s="961"/>
      <c r="M95" s="961"/>
      <c r="N95" s="961"/>
      <c r="O95" s="961"/>
      <c r="P95" s="963"/>
      <c r="Q95" s="759"/>
      <c r="R95" s="857"/>
      <c r="X95" s="965"/>
      <c r="Y95" s="937"/>
    </row>
    <row r="96" spans="1:25" x14ac:dyDescent="0.3">
      <c r="A96" s="966"/>
      <c r="B96" s="967"/>
      <c r="C96" s="968"/>
      <c r="D96" s="969"/>
      <c r="E96" s="970"/>
      <c r="F96" s="970"/>
      <c r="G96" s="812"/>
      <c r="I96" s="971"/>
      <c r="J96" s="972"/>
      <c r="K96" s="960"/>
      <c r="L96" s="961"/>
      <c r="M96" s="961"/>
      <c r="N96" s="961"/>
      <c r="O96" s="961"/>
      <c r="P96" s="963"/>
      <c r="Q96" s="759"/>
      <c r="R96" s="759"/>
      <c r="X96" s="970"/>
      <c r="Y96" s="937"/>
    </row>
    <row r="97" spans="1:25" x14ac:dyDescent="0.3">
      <c r="A97" s="973"/>
      <c r="B97" s="974"/>
      <c r="C97" s="756"/>
      <c r="D97" s="975"/>
      <c r="E97" s="975"/>
      <c r="F97" s="973"/>
      <c r="G97" s="749"/>
      <c r="I97" s="966"/>
      <c r="J97" s="967"/>
      <c r="K97" s="968"/>
      <c r="L97" s="969"/>
      <c r="M97" s="969"/>
      <c r="N97" s="969"/>
      <c r="O97" s="969"/>
      <c r="P97" s="970"/>
      <c r="Q97" s="759"/>
      <c r="R97" s="759"/>
      <c r="X97" s="937"/>
      <c r="Y97" s="939"/>
    </row>
    <row r="98" spans="1:25" x14ac:dyDescent="0.3">
      <c r="A98" s="976"/>
      <c r="B98" s="977"/>
      <c r="C98" s="756"/>
      <c r="D98" s="975"/>
      <c r="E98" s="975"/>
      <c r="F98" s="973"/>
      <c r="G98" s="749"/>
      <c r="I98" s="973"/>
      <c r="J98" s="974"/>
      <c r="K98" s="756"/>
      <c r="L98" s="975"/>
      <c r="M98" s="975"/>
      <c r="N98" s="975"/>
      <c r="O98" s="975"/>
      <c r="P98" s="973"/>
      <c r="Q98" s="759"/>
      <c r="R98" s="759"/>
      <c r="X98" s="937"/>
      <c r="Y98" s="939"/>
    </row>
    <row r="99" spans="1:25" x14ac:dyDescent="0.3">
      <c r="A99" s="976"/>
      <c r="B99" s="977"/>
      <c r="C99" s="756"/>
      <c r="D99" s="975"/>
      <c r="E99" s="975"/>
      <c r="F99" s="973"/>
      <c r="G99" s="749"/>
      <c r="I99" s="976"/>
      <c r="J99" s="977"/>
      <c r="K99" s="756"/>
      <c r="L99" s="975"/>
      <c r="M99" s="975"/>
      <c r="N99" s="975"/>
      <c r="O99" s="975"/>
      <c r="P99" s="973"/>
      <c r="Q99" s="759"/>
      <c r="R99" s="759"/>
      <c r="X99" s="937"/>
      <c r="Y99" s="939"/>
    </row>
    <row r="100" spans="1:25" x14ac:dyDescent="0.3">
      <c r="A100" s="973"/>
      <c r="B100" s="974"/>
      <c r="C100" s="968"/>
      <c r="D100" s="978"/>
      <c r="E100" s="978"/>
      <c r="F100" s="979"/>
      <c r="G100" s="749"/>
      <c r="I100" s="976"/>
      <c r="J100" s="977"/>
      <c r="K100" s="756"/>
      <c r="L100" s="975"/>
      <c r="M100" s="975"/>
      <c r="N100" s="975"/>
      <c r="O100" s="975"/>
      <c r="P100" s="973"/>
      <c r="Q100" s="759"/>
      <c r="R100" s="759"/>
      <c r="X100" s="937"/>
      <c r="Y100" s="939"/>
    </row>
    <row r="101" spans="1:25" x14ac:dyDescent="0.3">
      <c r="A101" s="973"/>
      <c r="B101" s="978"/>
      <c r="C101" s="756"/>
      <c r="D101" s="975"/>
      <c r="E101" s="975"/>
      <c r="F101" s="979"/>
      <c r="G101" s="749"/>
      <c r="I101" s="973"/>
      <c r="J101" s="974"/>
      <c r="K101" s="968"/>
      <c r="L101" s="978"/>
      <c r="M101" s="978"/>
      <c r="N101" s="978"/>
      <c r="O101" s="978"/>
      <c r="P101" s="979"/>
      <c r="Q101" s="759"/>
      <c r="R101" s="759"/>
      <c r="X101" s="979"/>
      <c r="Y101" s="939"/>
    </row>
    <row r="102" spans="1:25" x14ac:dyDescent="0.3">
      <c r="A102" s="970"/>
      <c r="B102" s="980"/>
      <c r="C102" s="756"/>
      <c r="D102" s="756"/>
      <c r="E102" s="756"/>
      <c r="F102" s="975"/>
      <c r="G102" s="812"/>
      <c r="I102" s="973"/>
      <c r="J102" s="978"/>
      <c r="K102" s="756"/>
      <c r="L102" s="975"/>
      <c r="M102" s="975"/>
      <c r="N102" s="975"/>
      <c r="O102" s="975"/>
      <c r="P102" s="979"/>
      <c r="Q102" s="759"/>
      <c r="R102" s="759"/>
      <c r="X102" s="937"/>
      <c r="Y102" s="939"/>
    </row>
    <row r="103" spans="1:25" x14ac:dyDescent="0.3">
      <c r="A103" s="970"/>
      <c r="B103" s="981"/>
      <c r="C103" s="982"/>
      <c r="D103" s="982"/>
      <c r="E103" s="982"/>
      <c r="F103" s="963"/>
      <c r="G103" s="812"/>
      <c r="I103" s="970"/>
      <c r="J103" s="980"/>
      <c r="K103" s="756"/>
      <c r="L103" s="756"/>
      <c r="M103" s="756"/>
      <c r="N103" s="756"/>
      <c r="O103" s="756"/>
      <c r="P103" s="975"/>
      <c r="Q103" s="937"/>
      <c r="R103" s="937"/>
      <c r="X103" s="937"/>
      <c r="Y103" s="937"/>
    </row>
    <row r="104" spans="1:25" x14ac:dyDescent="0.3">
      <c r="A104" s="970"/>
      <c r="B104" s="983"/>
      <c r="C104" s="984"/>
      <c r="D104" s="985"/>
      <c r="E104" s="986"/>
      <c r="F104" s="986"/>
      <c r="G104" s="812"/>
      <c r="I104" s="970"/>
      <c r="J104" s="981"/>
      <c r="K104" s="982"/>
      <c r="L104" s="987"/>
      <c r="M104" s="987"/>
      <c r="N104" s="987"/>
      <c r="O104" s="987"/>
      <c r="P104" s="963"/>
      <c r="Q104" s="937"/>
      <c r="R104" s="937"/>
      <c r="X104" s="937"/>
      <c r="Y104" s="937"/>
    </row>
    <row r="105" spans="1:25" x14ac:dyDescent="0.3">
      <c r="A105" s="812"/>
      <c r="B105" s="827"/>
      <c r="C105" s="817"/>
      <c r="D105" s="833"/>
      <c r="E105" s="785"/>
      <c r="F105" s="952"/>
      <c r="G105" s="812"/>
      <c r="H105" s="696"/>
      <c r="I105" s="970"/>
      <c r="J105" s="981"/>
      <c r="K105" s="984"/>
      <c r="L105" s="988"/>
      <c r="M105" s="988"/>
      <c r="N105" s="988"/>
      <c r="O105" s="988"/>
      <c r="P105" s="963"/>
      <c r="Q105" s="937"/>
      <c r="R105" s="937"/>
      <c r="X105" s="937"/>
      <c r="Y105" s="937"/>
    </row>
    <row r="106" spans="1:25" x14ac:dyDescent="0.3">
      <c r="A106" s="812"/>
      <c r="B106" s="827"/>
      <c r="C106" s="817"/>
      <c r="D106" s="785"/>
      <c r="E106" s="785"/>
      <c r="F106" s="952"/>
      <c r="G106" s="812"/>
      <c r="H106" s="696"/>
      <c r="I106" s="759"/>
      <c r="J106" s="989"/>
      <c r="K106" s="990"/>
      <c r="L106" s="991"/>
      <c r="M106" s="991"/>
      <c r="N106" s="991"/>
      <c r="O106" s="991"/>
      <c r="P106" s="984"/>
      <c r="Q106" s="992"/>
      <c r="R106" s="937"/>
      <c r="X106" s="937"/>
      <c r="Y106" s="937"/>
    </row>
    <row r="107" spans="1:25" x14ac:dyDescent="0.3">
      <c r="A107" s="812"/>
      <c r="B107" s="812"/>
      <c r="C107" s="754"/>
      <c r="D107" s="754"/>
      <c r="E107" s="754"/>
      <c r="F107" s="754"/>
      <c r="G107" s="812"/>
      <c r="H107" s="696"/>
      <c r="I107" s="678"/>
      <c r="J107" s="742"/>
      <c r="K107" s="699"/>
      <c r="P107" s="742"/>
      <c r="Q107" s="742"/>
      <c r="R107" s="742"/>
      <c r="X107" s="742"/>
      <c r="Y107" s="742"/>
    </row>
    <row r="108" spans="1:25" x14ac:dyDescent="0.3">
      <c r="A108" s="812"/>
      <c r="B108" s="812"/>
      <c r="C108" s="754"/>
      <c r="D108" s="754"/>
      <c r="E108" s="754"/>
      <c r="F108" s="754"/>
      <c r="G108" s="812"/>
      <c r="H108" s="696"/>
      <c r="I108" s="678"/>
      <c r="J108" s="742"/>
      <c r="K108" s="699"/>
      <c r="P108" s="742"/>
      <c r="Q108" s="742"/>
      <c r="R108" s="742"/>
      <c r="X108" s="742"/>
      <c r="Y108" s="742"/>
    </row>
    <row r="109" spans="1:25" x14ac:dyDescent="0.3">
      <c r="A109" s="812"/>
      <c r="B109" s="812"/>
      <c r="C109" s="754"/>
      <c r="D109" s="754"/>
      <c r="E109" s="754"/>
      <c r="F109" s="754"/>
      <c r="G109" s="812"/>
      <c r="H109" s="696"/>
      <c r="I109" s="678"/>
      <c r="J109" s="742"/>
      <c r="K109" s="699"/>
      <c r="P109" s="742"/>
      <c r="Q109" s="742"/>
      <c r="R109" s="742"/>
      <c r="X109" s="742"/>
      <c r="Y109" s="742"/>
    </row>
    <row r="110" spans="1:25" x14ac:dyDescent="0.3">
      <c r="A110" s="812"/>
      <c r="B110" s="812"/>
      <c r="C110" s="754"/>
      <c r="D110" s="754"/>
      <c r="E110" s="754"/>
      <c r="F110" s="754"/>
      <c r="G110" s="812"/>
      <c r="H110" s="696"/>
      <c r="I110" s="678"/>
      <c r="J110" s="742"/>
      <c r="K110" s="699"/>
      <c r="P110" s="742"/>
      <c r="Q110" s="742"/>
      <c r="R110" s="742"/>
      <c r="X110" s="742"/>
      <c r="Y110" s="742"/>
    </row>
    <row r="111" spans="1:25" x14ac:dyDescent="0.3">
      <c r="A111" s="812"/>
      <c r="B111" s="812"/>
      <c r="C111" s="754"/>
      <c r="D111" s="754"/>
      <c r="E111" s="754"/>
      <c r="F111" s="754"/>
      <c r="G111" s="812"/>
      <c r="H111" s="696"/>
      <c r="I111" s="678"/>
      <c r="J111" s="742"/>
      <c r="K111" s="699"/>
      <c r="L111" s="742"/>
      <c r="M111" s="993"/>
      <c r="N111" s="993"/>
      <c r="O111" s="993"/>
      <c r="P111" s="742"/>
      <c r="Q111" s="742"/>
      <c r="R111" s="742"/>
      <c r="X111" s="742"/>
      <c r="Y111" s="742"/>
    </row>
    <row r="112" spans="1:25" x14ac:dyDescent="0.3">
      <c r="A112" s="812"/>
      <c r="B112" s="812"/>
      <c r="C112" s="754"/>
      <c r="D112" s="754"/>
      <c r="E112" s="754"/>
      <c r="F112" s="754"/>
      <c r="G112" s="812"/>
      <c r="H112" s="696"/>
      <c r="I112" s="678"/>
      <c r="J112" s="742"/>
      <c r="K112" s="699"/>
      <c r="L112" s="742"/>
      <c r="M112" s="993"/>
      <c r="N112" s="993"/>
      <c r="O112" s="993"/>
      <c r="P112" s="742"/>
      <c r="Q112" s="742"/>
      <c r="R112" s="742"/>
      <c r="X112" s="742"/>
      <c r="Y112" s="742"/>
    </row>
    <row r="113" spans="1:25" x14ac:dyDescent="0.3">
      <c r="A113" s="728"/>
      <c r="B113" s="728"/>
      <c r="C113" s="950"/>
      <c r="D113" s="741"/>
      <c r="E113" s="728"/>
      <c r="F113" s="754"/>
      <c r="G113" s="812"/>
      <c r="H113" s="696"/>
      <c r="I113" s="678"/>
      <c r="J113" s="742"/>
      <c r="K113" s="699"/>
      <c r="L113" s="742"/>
      <c r="M113" s="993"/>
      <c r="N113" s="993"/>
      <c r="O113" s="993"/>
      <c r="P113" s="742"/>
      <c r="Q113" s="742"/>
      <c r="R113" s="742"/>
      <c r="X113" s="742"/>
      <c r="Y113" s="742"/>
    </row>
    <row r="114" spans="1:25" x14ac:dyDescent="0.3">
      <c r="A114" s="809"/>
      <c r="B114" s="728"/>
      <c r="F114" s="812"/>
      <c r="G114" s="827"/>
      <c r="H114" s="696"/>
      <c r="I114" s="678"/>
      <c r="J114" s="742"/>
      <c r="K114" s="699"/>
      <c r="L114" s="742"/>
      <c r="M114" s="993"/>
      <c r="N114" s="993"/>
      <c r="O114" s="993"/>
      <c r="P114" s="742"/>
      <c r="Q114" s="742"/>
      <c r="R114" s="742"/>
      <c r="X114" s="742"/>
      <c r="Y114" s="742"/>
    </row>
    <row r="115" spans="1:25" x14ac:dyDescent="0.3">
      <c r="A115" s="947"/>
      <c r="B115" s="951"/>
      <c r="C115" s="994"/>
      <c r="D115" s="827"/>
      <c r="E115" s="827"/>
      <c r="F115" s="728"/>
      <c r="G115" s="995"/>
      <c r="H115" s="696"/>
      <c r="I115" s="678"/>
      <c r="J115" s="742"/>
      <c r="K115" s="742"/>
      <c r="L115" s="742"/>
      <c r="M115" s="993"/>
      <c r="N115" s="993"/>
      <c r="O115" s="993"/>
      <c r="P115" s="742"/>
      <c r="Q115" s="742"/>
      <c r="R115" s="742"/>
      <c r="X115" s="742"/>
      <c r="Y115" s="742"/>
    </row>
    <row r="116" spans="1:25" x14ac:dyDescent="0.3">
      <c r="A116" s="996"/>
      <c r="B116" s="951"/>
      <c r="C116" s="817"/>
      <c r="D116" s="827"/>
      <c r="E116" s="827"/>
      <c r="F116" s="785"/>
      <c r="G116" s="995"/>
      <c r="H116" s="678"/>
      <c r="I116" s="678"/>
      <c r="L116" s="742"/>
      <c r="M116" s="993"/>
      <c r="N116" s="993"/>
      <c r="O116" s="993"/>
      <c r="P116" s="742"/>
      <c r="Q116" s="742"/>
      <c r="R116" s="742"/>
      <c r="X116" s="742"/>
      <c r="Y116" s="742"/>
    </row>
    <row r="117" spans="1:25" x14ac:dyDescent="0.3">
      <c r="A117" s="728"/>
      <c r="B117" s="997"/>
      <c r="C117" s="817"/>
      <c r="D117" s="785"/>
      <c r="E117" s="785"/>
      <c r="F117" s="812"/>
      <c r="G117" s="818"/>
      <c r="H117" s="678"/>
      <c r="I117" s="678"/>
    </row>
    <row r="118" spans="1:25" x14ac:dyDescent="0.3">
      <c r="A118" s="996"/>
      <c r="B118" s="951"/>
      <c r="C118" s="817"/>
      <c r="D118" s="833"/>
      <c r="E118" s="833"/>
      <c r="F118" s="785"/>
      <c r="G118" s="818"/>
      <c r="H118" s="678"/>
      <c r="I118" s="678"/>
    </row>
    <row r="119" spans="1:25" x14ac:dyDescent="0.3">
      <c r="A119" s="728"/>
      <c r="B119" s="951"/>
      <c r="C119" s="817"/>
      <c r="D119" s="833"/>
      <c r="E119" s="833"/>
      <c r="F119" s="785"/>
      <c r="G119" s="818"/>
      <c r="H119" s="998"/>
      <c r="I119" s="678"/>
    </row>
    <row r="120" spans="1:25" x14ac:dyDescent="0.3">
      <c r="A120" s="728"/>
      <c r="B120" s="951"/>
      <c r="C120" s="817"/>
      <c r="D120" s="833"/>
      <c r="E120" s="833"/>
      <c r="F120" s="785"/>
      <c r="G120" s="818"/>
      <c r="H120" s="728"/>
      <c r="I120" s="728"/>
    </row>
    <row r="121" spans="1:25" x14ac:dyDescent="0.3">
      <c r="A121" s="728"/>
      <c r="B121" s="999"/>
      <c r="C121" s="995"/>
      <c r="D121" s="1000"/>
      <c r="E121" s="1000"/>
      <c r="F121" s="1001"/>
      <c r="G121" s="818"/>
      <c r="H121" s="728"/>
      <c r="I121" s="728"/>
    </row>
    <row r="122" spans="1:25" x14ac:dyDescent="0.3">
      <c r="A122" s="996"/>
      <c r="B122" s="951"/>
      <c r="C122" s="817"/>
      <c r="D122" s="833"/>
      <c r="E122" s="833"/>
      <c r="F122" s="785"/>
      <c r="G122" s="818"/>
      <c r="H122" s="728"/>
      <c r="I122" s="728"/>
    </row>
    <row r="123" spans="1:25" x14ac:dyDescent="0.3">
      <c r="A123" s="996"/>
      <c r="B123" s="951"/>
      <c r="D123" s="1002"/>
      <c r="E123" s="833"/>
      <c r="F123" s="785"/>
      <c r="G123" s="818"/>
      <c r="H123" s="728"/>
      <c r="I123" s="728"/>
    </row>
    <row r="124" spans="1:25" x14ac:dyDescent="0.3">
      <c r="A124" s="996"/>
      <c r="B124" s="951"/>
      <c r="C124" s="817"/>
      <c r="D124" s="833"/>
      <c r="E124" s="833"/>
      <c r="F124" s="785"/>
      <c r="G124" s="818"/>
      <c r="H124" s="728"/>
      <c r="I124" s="728"/>
    </row>
    <row r="125" spans="1:25" x14ac:dyDescent="0.3">
      <c r="A125" s="996"/>
      <c r="B125" s="727"/>
      <c r="C125" s="740"/>
      <c r="D125" s="740"/>
      <c r="E125" s="696"/>
      <c r="F125" s="785"/>
      <c r="G125" s="818"/>
      <c r="H125" s="728"/>
      <c r="I125" s="728"/>
    </row>
    <row r="126" spans="1:25" x14ac:dyDescent="0.3">
      <c r="A126" s="996"/>
      <c r="B126" s="728"/>
      <c r="C126" s="950"/>
      <c r="D126" s="950"/>
      <c r="E126" s="696"/>
      <c r="F126" s="785"/>
      <c r="G126" s="818"/>
      <c r="H126" s="728"/>
      <c r="I126" s="728"/>
      <c r="J126" s="749"/>
      <c r="K126" s="742"/>
    </row>
    <row r="127" spans="1:25" x14ac:dyDescent="0.3">
      <c r="A127" s="678"/>
      <c r="B127" s="728"/>
      <c r="C127" s="950"/>
      <c r="D127" s="950"/>
      <c r="E127" s="696"/>
      <c r="F127" s="678"/>
      <c r="G127" s="728"/>
      <c r="H127" s="1003"/>
      <c r="I127" s="728"/>
      <c r="J127" s="749"/>
      <c r="K127" s="742"/>
    </row>
    <row r="128" spans="1:25" x14ac:dyDescent="0.3">
      <c r="A128" s="728"/>
      <c r="B128" s="728"/>
      <c r="C128" s="696"/>
      <c r="D128" s="696"/>
      <c r="E128" s="696"/>
      <c r="F128" s="728"/>
      <c r="G128" s="728"/>
      <c r="H128" s="728"/>
      <c r="I128" s="728"/>
      <c r="J128" s="749"/>
      <c r="K128" s="742"/>
    </row>
    <row r="129" spans="1:15" x14ac:dyDescent="0.3">
      <c r="A129" s="678"/>
      <c r="B129" s="728"/>
      <c r="C129" s="696"/>
      <c r="D129" s="696"/>
      <c r="E129" s="696"/>
      <c r="F129" s="678"/>
      <c r="G129" s="1003"/>
      <c r="H129" s="728"/>
      <c r="I129" s="728"/>
      <c r="J129" s="749"/>
      <c r="K129" s="742"/>
    </row>
    <row r="130" spans="1:15" x14ac:dyDescent="0.3">
      <c r="A130" s="678"/>
      <c r="B130" s="728"/>
      <c r="C130" s="696"/>
      <c r="D130" s="696"/>
      <c r="E130" s="696"/>
      <c r="F130" s="678"/>
      <c r="G130" s="1003"/>
      <c r="H130" s="728"/>
      <c r="I130" s="728"/>
      <c r="J130" s="749"/>
      <c r="K130" s="742"/>
    </row>
    <row r="131" spans="1:15" x14ac:dyDescent="0.3">
      <c r="A131" s="678"/>
      <c r="B131" s="728"/>
      <c r="C131" s="696"/>
      <c r="D131" s="696"/>
      <c r="E131" s="696"/>
      <c r="F131" s="678"/>
      <c r="G131" s="728"/>
      <c r="H131" s="728"/>
      <c r="I131" s="728"/>
      <c r="J131" s="749"/>
      <c r="K131" s="742"/>
    </row>
    <row r="132" spans="1:15" x14ac:dyDescent="0.3">
      <c r="A132" s="678"/>
      <c r="B132" s="728"/>
      <c r="C132" s="696"/>
      <c r="D132" s="696"/>
      <c r="E132" s="696"/>
      <c r="F132" s="678"/>
      <c r="G132" s="678"/>
      <c r="H132" s="678"/>
      <c r="I132" s="678"/>
      <c r="M132" s="672"/>
      <c r="N132" s="672"/>
      <c r="O132" s="672"/>
    </row>
    <row r="133" spans="1:15" x14ac:dyDescent="0.3">
      <c r="A133" s="678"/>
      <c r="B133" s="728"/>
      <c r="C133" s="696"/>
      <c r="D133" s="696"/>
      <c r="E133" s="696"/>
      <c r="F133" s="678"/>
      <c r="G133" s="678"/>
      <c r="H133" s="678"/>
      <c r="I133" s="678"/>
      <c r="M133" s="672"/>
      <c r="N133" s="672"/>
      <c r="O133" s="672"/>
    </row>
    <row r="134" spans="1:15" x14ac:dyDescent="0.3">
      <c r="A134" s="678"/>
      <c r="B134" s="678"/>
      <c r="C134" s="678"/>
      <c r="D134" s="678"/>
      <c r="E134" s="678"/>
      <c r="F134" s="678"/>
      <c r="G134" s="678"/>
      <c r="H134" s="678"/>
      <c r="I134" s="678"/>
      <c r="M134" s="672"/>
      <c r="N134" s="672"/>
      <c r="O134" s="672"/>
    </row>
  </sheetData>
  <mergeCells count="7">
    <mergeCell ref="A6:E6"/>
    <mergeCell ref="A7:E7"/>
    <mergeCell ref="A8:E8"/>
    <mergeCell ref="A9:E9"/>
    <mergeCell ref="A10:E10"/>
    <mergeCell ref="C53:D53"/>
    <mergeCell ref="E53:G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GM</vt:lpstr>
      <vt:lpstr>GM (2)</vt:lpstr>
      <vt:lpstr>GM(3)</vt:lpstr>
      <vt:lpstr>cash flow</vt:lpstr>
      <vt:lpstr>REVISED PBE</vt:lpstr>
      <vt:lpstr>Sheet4</vt:lpstr>
      <vt:lpstr>BOQ_STAGE-1</vt:lpstr>
      <vt:lpstr>STAGE-1 COST</vt:lpstr>
      <vt:lpstr>STAGE-1 PKG COST</vt:lpstr>
      <vt:lpstr>'cash flow'!Print_Area</vt:lpstr>
      <vt:lpstr>GM!Print_Area</vt:lpstr>
      <vt:lpstr>'GM (2)'!Print_Area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Intelisparkz</cp:lastModifiedBy>
  <cp:lastPrinted>2023-06-12T04:24:22Z</cp:lastPrinted>
  <dcterms:created xsi:type="dcterms:W3CDTF">2001-02-20T07:04:51Z</dcterms:created>
  <dcterms:modified xsi:type="dcterms:W3CDTF">2026-02-11T11:58:56Z</dcterms:modified>
</cp:coreProperties>
</file>