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D DRIVE\ASSIGNMENTS FILE\0 Major Projects\0 AI Data\Actual data for PBER AI\PBE for AI Work 09.02.26\"/>
    </mc:Choice>
  </mc:AlternateContent>
  <xr:revisionPtr revIDLastSave="0" documentId="13_ncr:1_{5B1617D0-8EDC-4B58-8D8C-1C170C5B3A40}" xr6:coauthVersionLast="47" xr6:coauthVersionMax="47" xr10:uidLastSave="{00000000-0000-0000-0000-000000000000}"/>
  <bookViews>
    <workbookView xWindow="-120" yWindow="-120" windowWidth="29040" windowHeight="15720" tabRatio="598" firstSheet="4" activeTab="4" xr2:uid="{00000000-000D-0000-FFFF-FFFF00000000}"/>
  </bookViews>
  <sheets>
    <sheet name="GM" sheetId="18" state="hidden" r:id="rId1"/>
    <sheet name="cash flow" sheetId="6" state="hidden" r:id="rId2"/>
    <sheet name="FA" sheetId="8" state="hidden" r:id="rId3"/>
    <sheet name="Pkgcost_4308" sheetId="21" state="hidden" r:id="rId4"/>
    <sheet name="PBE" sheetId="24" r:id="rId5"/>
    <sheet name="Pkg Cost (Garish)" sheetId="15" state="hidden" r:id="rId6"/>
    <sheet name="Pi Chart" sheetId="16" state="hidden" r:id="rId7"/>
  </sheets>
  <definedNames>
    <definedName name="_xlnm.Print_Area" localSheetId="2">FA!$B$7:$E$22</definedName>
    <definedName name="_xlnm.Print_Area" localSheetId="4">PBE!$A$1:$I$41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15" l="1"/>
  <c r="F29" i="15"/>
  <c r="D59" i="15" l="1"/>
  <c r="D60" i="15"/>
  <c r="D61" i="15" l="1"/>
  <c r="D67" i="15"/>
  <c r="D62" i="15" l="1"/>
  <c r="D57" i="15"/>
  <c r="D73" i="15" l="1"/>
  <c r="AJ28" i="21" l="1"/>
  <c r="C34" i="21"/>
  <c r="C26" i="21"/>
  <c r="F61" i="21" l="1"/>
  <c r="C23" i="21"/>
  <c r="E23" i="21" s="1"/>
  <c r="F24" i="15" s="1"/>
  <c r="A8" i="21" l="1"/>
  <c r="A7" i="21"/>
  <c r="D66" i="21" l="1"/>
  <c r="F66" i="21" s="1"/>
  <c r="I66" i="21" s="1"/>
  <c r="D62" i="21"/>
  <c r="F62" i="21" s="1"/>
  <c r="D60" i="21"/>
  <c r="H88" i="21"/>
  <c r="H93" i="21" s="1"/>
  <c r="H71" i="21"/>
  <c r="G71" i="21"/>
  <c r="D24" i="21" s="1"/>
  <c r="C70" i="21"/>
  <c r="I70" i="21" s="1"/>
  <c r="I69" i="21"/>
  <c r="I68" i="21"/>
  <c r="G57" i="21"/>
  <c r="F57" i="21" s="1"/>
  <c r="E57" i="21"/>
  <c r="D54" i="21"/>
  <c r="C22" i="21"/>
  <c r="E22" i="21" s="1"/>
  <c r="F23" i="15" s="1"/>
  <c r="C17" i="21"/>
  <c r="C15" i="21"/>
  <c r="C24" i="21" l="1"/>
  <c r="E24" i="21" s="1"/>
  <c r="F25" i="15" s="1"/>
  <c r="G60" i="21"/>
  <c r="F60" i="21" s="1"/>
  <c r="I57" i="21"/>
  <c r="E60" i="21"/>
  <c r="D18" i="21"/>
  <c r="E18" i="21" s="1"/>
  <c r="F19" i="15" s="1"/>
  <c r="I62" i="21"/>
  <c r="D19" i="21"/>
  <c r="E19" i="21" s="1"/>
  <c r="F20" i="15" s="1"/>
  <c r="I71" i="21"/>
  <c r="D29" i="21" l="1"/>
  <c r="E29" i="21"/>
  <c r="F30" i="15" s="1"/>
  <c r="D30" i="21"/>
  <c r="E30" i="21" s="1"/>
  <c r="F31" i="15" s="1"/>
  <c r="I60" i="21"/>
  <c r="D17" i="21"/>
  <c r="E17" i="21" s="1"/>
  <c r="F18" i="15" s="1"/>
  <c r="I61" i="21"/>
  <c r="D31" i="21" l="1"/>
  <c r="E31" i="21" l="1"/>
  <c r="F32" i="15" s="1"/>
  <c r="D70" i="15" l="1"/>
  <c r="D24" i="15" s="1"/>
  <c r="C73" i="15"/>
  <c r="D58" i="15"/>
  <c r="G58" i="15" s="1"/>
  <c r="C58" i="15"/>
  <c r="D63" i="15"/>
  <c r="F63" i="15" s="1"/>
  <c r="C61" i="15"/>
  <c r="C59" i="15"/>
  <c r="C57" i="15"/>
  <c r="I69" i="15"/>
  <c r="E58" i="15"/>
  <c r="D55" i="15"/>
  <c r="C35" i="15"/>
  <c r="AJ29" i="15"/>
  <c r="C27" i="15"/>
  <c r="C23" i="15"/>
  <c r="E23" i="15" s="1"/>
  <c r="C13" i="15"/>
  <c r="C12" i="15"/>
  <c r="C18" i="15" l="1"/>
  <c r="D66" i="15"/>
  <c r="I58" i="15"/>
  <c r="H72" i="15"/>
  <c r="D20" i="15"/>
  <c r="E20" i="15" s="1"/>
  <c r="I63" i="15"/>
  <c r="F72" i="15"/>
  <c r="G72" i="15"/>
  <c r="C71" i="15"/>
  <c r="I72" i="15" l="1"/>
  <c r="D25" i="15"/>
  <c r="E25" i="15" s="1"/>
  <c r="I71" i="15"/>
  <c r="C16" i="15"/>
  <c r="D30" i="15" l="1"/>
  <c r="D31" i="15" l="1"/>
  <c r="E30" i="15"/>
  <c r="E31" i="15" l="1"/>
  <c r="D32" i="15"/>
  <c r="E32" i="15" l="1"/>
  <c r="G10" i="16" l="1"/>
  <c r="G9" i="16"/>
  <c r="F67" i="15"/>
  <c r="I67" i="15" s="1"/>
  <c r="D59" i="21" l="1"/>
  <c r="G59" i="15"/>
  <c r="D58" i="21"/>
  <c r="G11" i="16"/>
  <c r="E60" i="15"/>
  <c r="F60" i="15"/>
  <c r="D68" i="15"/>
  <c r="G60" i="15"/>
  <c r="F59" i="15"/>
  <c r="E59" i="15"/>
  <c r="D65" i="15"/>
  <c r="F65" i="15" s="1"/>
  <c r="I65" i="15" s="1"/>
  <c r="G8" i="16"/>
  <c r="G14" i="16"/>
  <c r="A2" i="18"/>
  <c r="D67" i="21" l="1"/>
  <c r="E59" i="21"/>
  <c r="G59" i="21"/>
  <c r="F59" i="21" s="1"/>
  <c r="D16" i="21" s="1"/>
  <c r="E16" i="21" s="1"/>
  <c r="F17" i="15" s="1"/>
  <c r="E58" i="21"/>
  <c r="G58" i="21"/>
  <c r="D64" i="21"/>
  <c r="I60" i="15"/>
  <c r="E61" i="15"/>
  <c r="G61" i="15"/>
  <c r="F61" i="15"/>
  <c r="D17" i="15"/>
  <c r="E17" i="15" s="1"/>
  <c r="F68" i="15"/>
  <c r="D22" i="15" s="1"/>
  <c r="E22" i="15" s="1"/>
  <c r="I59" i="15"/>
  <c r="G12" i="16"/>
  <c r="I59" i="21" l="1"/>
  <c r="F66" i="15"/>
  <c r="I66" i="15" s="1"/>
  <c r="D65" i="21"/>
  <c r="F65" i="21" s="1"/>
  <c r="I65" i="21" s="1"/>
  <c r="F67" i="21"/>
  <c r="I67" i="21" s="1"/>
  <c r="D21" i="21"/>
  <c r="E21" i="21" s="1"/>
  <c r="F22" i="15" s="1"/>
  <c r="F64" i="21"/>
  <c r="I64" i="21" s="1"/>
  <c r="F58" i="21"/>
  <c r="I68" i="15"/>
  <c r="I61" i="15"/>
  <c r="F62" i="15"/>
  <c r="I62" i="15" s="1"/>
  <c r="D18" i="15"/>
  <c r="E18" i="15" s="1"/>
  <c r="F57" i="15" l="1"/>
  <c r="D56" i="21"/>
  <c r="I58" i="21"/>
  <c r="D19" i="15"/>
  <c r="E19" i="15" s="1"/>
  <c r="E57" i="15"/>
  <c r="G13" i="16"/>
  <c r="G57" i="15" l="1"/>
  <c r="D64" i="15"/>
  <c r="D56" i="15" s="1"/>
  <c r="F56" i="15" s="1"/>
  <c r="F73" i="15"/>
  <c r="D72" i="21"/>
  <c r="J56" i="21"/>
  <c r="E56" i="21"/>
  <c r="G56" i="21"/>
  <c r="D63" i="21"/>
  <c r="D55" i="21" s="1"/>
  <c r="I57" i="15"/>
  <c r="C56" i="15"/>
  <c r="D16" i="15"/>
  <c r="E16" i="15" s="1"/>
  <c r="E61" i="18"/>
  <c r="D61" i="18"/>
  <c r="F61" i="18" s="1"/>
  <c r="E26" i="18" s="1"/>
  <c r="F64" i="15" l="1"/>
  <c r="D21" i="15" s="1"/>
  <c r="E21" i="15" s="1"/>
  <c r="G73" i="15"/>
  <c r="G75" i="15" s="1"/>
  <c r="D75" i="15"/>
  <c r="E73" i="15"/>
  <c r="E76" i="15" s="1"/>
  <c r="C55" i="21"/>
  <c r="C14" i="21" s="1"/>
  <c r="F55" i="21"/>
  <c r="D14" i="21" s="1"/>
  <c r="D74" i="21"/>
  <c r="F63" i="21"/>
  <c r="I63" i="21" s="1"/>
  <c r="G72" i="21"/>
  <c r="F72" i="21" s="1"/>
  <c r="E72" i="21"/>
  <c r="E74" i="21" s="1"/>
  <c r="F56" i="21"/>
  <c r="D15" i="21" s="1"/>
  <c r="E15" i="21" s="1"/>
  <c r="F16" i="15" s="1"/>
  <c r="G75" i="21"/>
  <c r="C15" i="15"/>
  <c r="D15" i="15"/>
  <c r="I56" i="15"/>
  <c r="G104" i="18"/>
  <c r="E57" i="18"/>
  <c r="C93" i="18"/>
  <c r="C92" i="18"/>
  <c r="D92" i="18" s="1"/>
  <c r="C90" i="18"/>
  <c r="C89" i="18"/>
  <c r="D90" i="18" l="1"/>
  <c r="D57" i="18" s="1"/>
  <c r="F57" i="18" s="1"/>
  <c r="E22" i="18" s="1"/>
  <c r="D94" i="18"/>
  <c r="F76" i="15"/>
  <c r="E75" i="15"/>
  <c r="F75" i="15"/>
  <c r="I64" i="15"/>
  <c r="I73" i="15"/>
  <c r="D27" i="15"/>
  <c r="E27" i="15" s="1"/>
  <c r="I55" i="21"/>
  <c r="G74" i="21"/>
  <c r="I72" i="21"/>
  <c r="C74" i="21"/>
  <c r="E14" i="21"/>
  <c r="F15" i="15" s="1"/>
  <c r="C27" i="21"/>
  <c r="D32" i="21"/>
  <c r="I56" i="21"/>
  <c r="D26" i="21"/>
  <c r="E26" i="21" s="1"/>
  <c r="F27" i="15" s="1"/>
  <c r="D20" i="21"/>
  <c r="E20" i="21" s="1"/>
  <c r="F21" i="15" s="1"/>
  <c r="E75" i="21"/>
  <c r="F74" i="21"/>
  <c r="F75" i="21"/>
  <c r="D28" i="15"/>
  <c r="E15" i="15"/>
  <c r="D20" i="18"/>
  <c r="G98" i="18"/>
  <c r="E81" i="18"/>
  <c r="D27" i="21" l="1"/>
  <c r="D33" i="21"/>
  <c r="E32" i="21"/>
  <c r="F33" i="15" s="1"/>
  <c r="C35" i="21"/>
  <c r="C37" i="21" s="1"/>
  <c r="E27" i="21"/>
  <c r="F28" i="15" s="1"/>
  <c r="F10" i="18"/>
  <c r="G125" i="18"/>
  <c r="G118" i="18"/>
  <c r="G109" i="18"/>
  <c r="D113" i="18" s="1"/>
  <c r="G113" i="18" s="1"/>
  <c r="G107" i="18"/>
  <c r="G100" i="18"/>
  <c r="D121" i="18" s="1"/>
  <c r="D59" i="18" s="1"/>
  <c r="E85" i="18"/>
  <c r="E84" i="18"/>
  <c r="G83" i="18"/>
  <c r="H83" i="18" s="1"/>
  <c r="I83" i="18" s="1"/>
  <c r="J83" i="18" s="1"/>
  <c r="C81" i="18"/>
  <c r="E80" i="18"/>
  <c r="C80" i="18"/>
  <c r="D45" i="18"/>
  <c r="D44" i="18"/>
  <c r="C44" i="18"/>
  <c r="F41" i="18"/>
  <c r="E41" i="18"/>
  <c r="E44" i="18" s="1"/>
  <c r="D26" i="18"/>
  <c r="D25" i="18"/>
  <c r="D24" i="18"/>
  <c r="D23" i="18"/>
  <c r="D22" i="18"/>
  <c r="D21" i="18"/>
  <c r="C16" i="18"/>
  <c r="G12" i="18"/>
  <c r="F12" i="18"/>
  <c r="E12" i="18"/>
  <c r="D12" i="18"/>
  <c r="G11" i="18"/>
  <c r="F11" i="18"/>
  <c r="E11" i="18"/>
  <c r="D11" i="18"/>
  <c r="E10" i="18"/>
  <c r="D10" i="18"/>
  <c r="D56" i="18" l="1"/>
  <c r="D55" i="18"/>
  <c r="E33" i="21"/>
  <c r="F34" i="15" s="1"/>
  <c r="H75" i="21"/>
  <c r="I75" i="21" s="1"/>
  <c r="D36" i="21" s="1"/>
  <c r="E36" i="21" s="1"/>
  <c r="F37" i="15" s="1"/>
  <c r="D34" i="21"/>
  <c r="D50" i="18"/>
  <c r="E50" i="18" s="1"/>
  <c r="F80" i="18"/>
  <c r="G80" i="18" s="1"/>
  <c r="H80" i="18" s="1"/>
  <c r="I80" i="18" s="1"/>
  <c r="F13" i="18"/>
  <c r="D13" i="18"/>
  <c r="G10" i="18"/>
  <c r="G13" i="18" s="1"/>
  <c r="C84" i="18"/>
  <c r="F84" i="18" s="1"/>
  <c r="G84" i="18" s="1"/>
  <c r="H84" i="18" s="1"/>
  <c r="I84" i="18" s="1"/>
  <c r="J84" i="18" s="1"/>
  <c r="E13" i="18"/>
  <c r="G103" i="18"/>
  <c r="G105" i="18" s="1"/>
  <c r="J116" i="18" s="1"/>
  <c r="F81" i="18"/>
  <c r="G81" i="18" s="1"/>
  <c r="H81" i="18" s="1"/>
  <c r="I81" i="18" s="1"/>
  <c r="J81" i="18" s="1"/>
  <c r="G44" i="18"/>
  <c r="F44" i="18"/>
  <c r="E55" i="18" s="1"/>
  <c r="F55" i="18" s="1"/>
  <c r="E20" i="18" s="1"/>
  <c r="C85" i="18"/>
  <c r="F85" i="18" s="1"/>
  <c r="G85" i="18" s="1"/>
  <c r="H85" i="18" s="1"/>
  <c r="I85" i="18" s="1"/>
  <c r="J85" i="18" s="1"/>
  <c r="D128" i="18"/>
  <c r="F26" i="18"/>
  <c r="D112" i="18"/>
  <c r="D114" i="18" s="1"/>
  <c r="D58" i="18" s="1"/>
  <c r="D60" i="18" l="1"/>
  <c r="D16" i="18"/>
  <c r="E56" i="18"/>
  <c r="F56" i="18" s="1"/>
  <c r="E21" i="18" s="1"/>
  <c r="G121" i="18"/>
  <c r="E59" i="18" s="1"/>
  <c r="F59" i="18" s="1"/>
  <c r="E24" i="18" s="1"/>
  <c r="F24" i="18" s="1"/>
  <c r="E34" i="21"/>
  <c r="F35" i="15" s="1"/>
  <c r="D35" i="21"/>
  <c r="D37" i="21" s="1"/>
  <c r="K81" i="18"/>
  <c r="G112" i="18"/>
  <c r="G114" i="18" s="1"/>
  <c r="J80" i="18"/>
  <c r="F21" i="18"/>
  <c r="F20" i="18"/>
  <c r="E16" i="18"/>
  <c r="E17" i="18" s="1"/>
  <c r="F22" i="18"/>
  <c r="L81" i="18"/>
  <c r="G128" i="18"/>
  <c r="H44" i="18"/>
  <c r="F50" i="18"/>
  <c r="G50" i="18" s="1"/>
  <c r="H50" i="18" s="1"/>
  <c r="H51" i="18" s="1"/>
  <c r="I128" i="18" l="1"/>
  <c r="E60" i="18"/>
  <c r="F60" i="18" s="1"/>
  <c r="E25" i="18" s="1"/>
  <c r="F25" i="18" s="1"/>
  <c r="I114" i="18"/>
  <c r="E58" i="18"/>
  <c r="F58" i="18" s="1"/>
  <c r="E23" i="18" s="1"/>
  <c r="F23" i="18" s="1"/>
  <c r="H73" i="21"/>
  <c r="E35" i="21"/>
  <c r="E37" i="21" l="1"/>
  <c r="F38" i="15" s="1"/>
  <c r="F36" i="15"/>
  <c r="I73" i="21"/>
  <c r="I74" i="21" s="1"/>
  <c r="I76" i="21" s="1"/>
  <c r="I78" i="21" s="1"/>
  <c r="H74" i="21"/>
  <c r="AS9" i="6"/>
  <c r="AR9" i="6"/>
  <c r="V11" i="6" l="1"/>
  <c r="AS6" i="6" l="1"/>
  <c r="AT9" i="6" l="1"/>
  <c r="D27" i="6"/>
  <c r="D28" i="6" s="1"/>
  <c r="D29" i="6" s="1"/>
  <c r="D30" i="6" s="1"/>
  <c r="D31" i="6" s="1"/>
  <c r="D32" i="6" s="1"/>
  <c r="D33" i="6" s="1"/>
  <c r="D34" i="6" s="1"/>
  <c r="D35" i="6" s="1"/>
  <c r="D36" i="6" s="1"/>
  <c r="D37" i="6" s="1"/>
  <c r="D38" i="6" s="1"/>
  <c r="D39" i="6" s="1"/>
  <c r="D40" i="6" s="1"/>
  <c r="D41" i="6" s="1"/>
  <c r="D42" i="6" s="1"/>
  <c r="D43" i="6" s="1"/>
  <c r="D44" i="6" s="1"/>
  <c r="D45" i="6" s="1"/>
  <c r="D46" i="6" s="1"/>
  <c r="D47" i="6" s="1"/>
  <c r="D48" i="6" s="1"/>
  <c r="C70" i="15" l="1"/>
  <c r="I70" i="15" l="1"/>
  <c r="C24" i="15"/>
  <c r="C75" i="15"/>
  <c r="E24" i="15" l="1"/>
  <c r="D33" i="15"/>
  <c r="C28" i="15"/>
  <c r="C36" i="15" l="1"/>
  <c r="C38" i="15" s="1"/>
  <c r="E28" i="15"/>
  <c r="D34" i="15"/>
  <c r="E33" i="15"/>
  <c r="H76" i="15" l="1"/>
  <c r="I76" i="15" s="1"/>
  <c r="D37" i="15" s="1"/>
  <c r="E37" i="15" s="1"/>
  <c r="E34" i="15"/>
  <c r="D35" i="15"/>
  <c r="D36" i="15" l="1"/>
  <c r="D38" i="15" s="1"/>
  <c r="E35" i="15"/>
  <c r="F10" i="6"/>
  <c r="E36" i="15" l="1"/>
  <c r="E38" i="15" s="1"/>
  <c r="G38" i="15" s="1"/>
  <c r="H74" i="15"/>
  <c r="AT58" i="6"/>
  <c r="AT57" i="6"/>
  <c r="AT55" i="6"/>
  <c r="AT54" i="6"/>
  <c r="AT19" i="6"/>
  <c r="I74" i="15" l="1"/>
  <c r="I75" i="15" s="1"/>
  <c r="I77" i="15" s="1"/>
  <c r="I79" i="15" s="1"/>
  <c r="H75" i="15"/>
  <c r="P46" i="6"/>
  <c r="B11" i="8" l="1"/>
  <c r="B9" i="8"/>
  <c r="B10" i="8"/>
  <c r="P44" i="6" l="1"/>
  <c r="W2" i="6"/>
  <c r="W3" i="6"/>
  <c r="AC6" i="6"/>
  <c r="AD6" i="6"/>
  <c r="AE6" i="6"/>
  <c r="AF6" i="6"/>
  <c r="AG6" i="6"/>
  <c r="AH6" i="6"/>
  <c r="AI6" i="6"/>
  <c r="AJ6" i="6"/>
  <c r="AK6" i="6"/>
  <c r="AL6" i="6"/>
  <c r="AM6" i="6"/>
  <c r="AN6" i="6"/>
  <c r="AO6" i="6"/>
  <c r="AP6" i="6"/>
  <c r="AQ6" i="6"/>
  <c r="AR6" i="6"/>
  <c r="J11" i="6"/>
  <c r="X19" i="6"/>
  <c r="Y19" i="6"/>
  <c r="Z19" i="6"/>
  <c r="AA19" i="6"/>
  <c r="AB19" i="6"/>
  <c r="AC19" i="6"/>
  <c r="AD19" i="6"/>
  <c r="AE19" i="6"/>
  <c r="AF19" i="6"/>
  <c r="AG19" i="6"/>
  <c r="AH19" i="6"/>
  <c r="AI19" i="6"/>
  <c r="AJ19" i="6"/>
  <c r="AK19" i="6"/>
  <c r="AL19" i="6"/>
  <c r="AM19" i="6"/>
  <c r="AN19" i="6"/>
  <c r="AO19" i="6"/>
  <c r="AP19" i="6"/>
  <c r="AQ19" i="6"/>
  <c r="AR19" i="6"/>
  <c r="AS19" i="6"/>
  <c r="AA27" i="6"/>
  <c r="AA28" i="6"/>
  <c r="X32" i="6"/>
  <c r="A34" i="6"/>
  <c r="AB44" i="6"/>
  <c r="AC44" i="6"/>
  <c r="AD44" i="6"/>
  <c r="AE44" i="6"/>
  <c r="AF44" i="6"/>
  <c r="AG44" i="6"/>
  <c r="AH44" i="6"/>
  <c r="AI44" i="6"/>
  <c r="AJ44" i="6"/>
  <c r="AK44" i="6"/>
  <c r="AL44" i="6"/>
  <c r="AM44" i="6"/>
  <c r="AN44" i="6"/>
  <c r="AO44" i="6"/>
  <c r="AP44" i="6"/>
  <c r="AQ44" i="6"/>
  <c r="AR44" i="6"/>
  <c r="A3" i="18" l="1"/>
  <c r="A4" i="18"/>
  <c r="AA44" i="6"/>
  <c r="AS54" i="6" l="1"/>
  <c r="AS57" i="6"/>
  <c r="AS55" i="6" l="1"/>
  <c r="AS58" i="6"/>
  <c r="C12" i="6" l="1"/>
  <c r="D16" i="6" s="1"/>
  <c r="AA48" i="6" l="1"/>
  <c r="Z48" i="6"/>
  <c r="C6" i="6" l="1"/>
  <c r="C7" i="6" l="1"/>
  <c r="E26" i="6" s="1"/>
  <c r="D8" i="6"/>
  <c r="C8" i="6"/>
  <c r="C10" i="6"/>
  <c r="Z44" i="6" s="1"/>
  <c r="D10" i="6"/>
  <c r="C9" i="6"/>
  <c r="D9" i="6"/>
  <c r="D6" i="6"/>
  <c r="E6" i="6"/>
  <c r="E27" i="6" l="1"/>
  <c r="Y44" i="6"/>
  <c r="E9" i="6"/>
  <c r="E8" i="6"/>
  <c r="E7" i="6"/>
  <c r="D7" i="6"/>
  <c r="E10" i="6"/>
  <c r="G10" i="6" s="1"/>
  <c r="X44" i="6"/>
  <c r="G26" i="6"/>
  <c r="C11" i="6"/>
  <c r="AT44" i="6" l="1"/>
  <c r="U44" i="6"/>
  <c r="AS44" i="6"/>
  <c r="F7" i="6"/>
  <c r="G7" i="6" s="1"/>
  <c r="F8" i="6"/>
  <c r="G8" i="6" s="1"/>
  <c r="F9" i="6"/>
  <c r="G9" i="6" s="1"/>
  <c r="I10" i="6"/>
  <c r="Z22" i="6" s="1"/>
  <c r="H10" i="6"/>
  <c r="D11" i="6"/>
  <c r="E11" i="6"/>
  <c r="AK8" i="6"/>
  <c r="K10" i="6" l="1"/>
  <c r="H7" i="6"/>
  <c r="G11" i="6"/>
  <c r="D15" i="6" s="1"/>
  <c r="D17" i="6" s="1"/>
  <c r="I7" i="6"/>
  <c r="X22" i="6" s="1"/>
  <c r="I9" i="6"/>
  <c r="H9" i="6"/>
  <c r="Z21" i="6" s="1"/>
  <c r="Z27" i="6" s="1"/>
  <c r="F11" i="6"/>
  <c r="I8" i="6"/>
  <c r="Y22" i="6" s="1"/>
  <c r="H8" i="6"/>
  <c r="Y21" i="6" s="1"/>
  <c r="Y27" i="6" s="1"/>
  <c r="Y28" i="6" l="1"/>
  <c r="K8" i="6"/>
  <c r="I11" i="6"/>
  <c r="K7" i="6"/>
  <c r="X21" i="6"/>
  <c r="H11" i="6"/>
  <c r="Z28" i="6"/>
  <c r="K9" i="6"/>
  <c r="X65" i="6"/>
  <c r="AZ12" i="6"/>
  <c r="AZ8" i="6"/>
  <c r="AV9" i="6"/>
  <c r="AZ9" i="6" l="1"/>
  <c r="Y9" i="6" s="1"/>
  <c r="E15" i="8"/>
  <c r="X27" i="6"/>
  <c r="V21" i="6"/>
  <c r="V22" i="6"/>
  <c r="X28" i="6"/>
  <c r="Y30" i="6" s="1"/>
  <c r="K11" i="6"/>
  <c r="M11" i="6" s="1"/>
  <c r="M13" i="6" s="1"/>
  <c r="Z30" i="6" l="1"/>
  <c r="Y8" i="6"/>
  <c r="Y67" i="6" s="1"/>
  <c r="AE32" i="6"/>
  <c r="AA32" i="6"/>
  <c r="AD32" i="6"/>
  <c r="Z32" i="6"/>
  <c r="AC32" i="6"/>
  <c r="AF32" i="6"/>
  <c r="AB32" i="6"/>
  <c r="V23" i="6"/>
  <c r="AZ10" i="6"/>
  <c r="BA8" i="6" s="1"/>
  <c r="BA9" i="6" s="1"/>
  <c r="Z9" i="6" s="1"/>
  <c r="X30" i="6"/>
  <c r="X8" i="6" s="1"/>
  <c r="X67" i="6" s="1"/>
  <c r="F27" i="18" l="1"/>
  <c r="F28" i="18" s="1"/>
  <c r="F29" i="18" s="1"/>
  <c r="F30" i="18" s="1"/>
  <c r="D14" i="6" s="1"/>
  <c r="X7" i="6" s="1"/>
  <c r="V32" i="6"/>
  <c r="BA10" i="6"/>
  <c r="BB8" i="6" s="1"/>
  <c r="BB9" i="6" s="1"/>
  <c r="AA9" i="6" s="1"/>
  <c r="AQ30" i="6"/>
  <c r="AQ8" i="6" s="1"/>
  <c r="AJ30" i="6"/>
  <c r="AJ8" i="6" s="1"/>
  <c r="AC30" i="6"/>
  <c r="AC8" i="6" s="1"/>
  <c r="AC67" i="6" s="1"/>
  <c r="AH30" i="6"/>
  <c r="AH8" i="6" s="1"/>
  <c r="AG30" i="6"/>
  <c r="AG8" i="6" s="1"/>
  <c r="AR30" i="6"/>
  <c r="AR8" i="6" s="1"/>
  <c r="AS30" i="6"/>
  <c r="AS8" i="6" s="1"/>
  <c r="AN30" i="6"/>
  <c r="AN8" i="6" s="1"/>
  <c r="AD30" i="6"/>
  <c r="AD8" i="6" s="1"/>
  <c r="AD67" i="6" s="1"/>
  <c r="Z8" i="6"/>
  <c r="Z67" i="6" s="1"/>
  <c r="AP30" i="6"/>
  <c r="AP8" i="6" s="1"/>
  <c r="AL30" i="6"/>
  <c r="AL8" i="6" s="1"/>
  <c r="AF30" i="6"/>
  <c r="AF8" i="6" s="1"/>
  <c r="AF67" i="6" s="1"/>
  <c r="AM30" i="6"/>
  <c r="AM8" i="6" s="1"/>
  <c r="AA30" i="6"/>
  <c r="AA8" i="6" s="1"/>
  <c r="AA67" i="6" s="1"/>
  <c r="AT30" i="6"/>
  <c r="AT8" i="6" s="1"/>
  <c r="AB30" i="6"/>
  <c r="AB8" i="6" s="1"/>
  <c r="AB67" i="6" s="1"/>
  <c r="AE30" i="6"/>
  <c r="AE8" i="6" s="1"/>
  <c r="AE67" i="6" s="1"/>
  <c r="AO30" i="6"/>
  <c r="AO8" i="6" s="1"/>
  <c r="AI30" i="6"/>
  <c r="AI8" i="6" s="1"/>
  <c r="E17" i="8" l="1"/>
  <c r="H20" i="8" s="1"/>
  <c r="H21" i="8" s="1"/>
  <c r="H22" i="8" s="1"/>
  <c r="AP7" i="6"/>
  <c r="AP20" i="6" s="1"/>
  <c r="AP47" i="6" s="1"/>
  <c r="AP51" i="6" s="1"/>
  <c r="F40" i="6"/>
  <c r="G40" i="6" s="1"/>
  <c r="AT7" i="6"/>
  <c r="AT20" i="6" s="1"/>
  <c r="AE7" i="6"/>
  <c r="AE66" i="6" s="1"/>
  <c r="AL7" i="6"/>
  <c r="AL20" i="6" s="1"/>
  <c r="AL47" i="6" s="1"/>
  <c r="AL51" i="6" s="1"/>
  <c r="AD7" i="6"/>
  <c r="AD20" i="6" s="1"/>
  <c r="AQ7" i="6"/>
  <c r="AQ20" i="6" s="1"/>
  <c r="AQ23" i="6" s="1"/>
  <c r="AF7" i="6"/>
  <c r="AF66" i="6" s="1"/>
  <c r="F34" i="6"/>
  <c r="G34" i="6" s="1"/>
  <c r="AO7" i="6"/>
  <c r="AO20" i="6" s="1"/>
  <c r="AO23" i="6" s="1"/>
  <c r="AH7" i="6"/>
  <c r="AH74" i="6" s="1"/>
  <c r="AJ7" i="6"/>
  <c r="AJ74" i="6" s="1"/>
  <c r="AK7" i="6"/>
  <c r="AK20" i="6" s="1"/>
  <c r="AK23" i="6" s="1"/>
  <c r="F42" i="6"/>
  <c r="G42" i="6" s="1"/>
  <c r="AC7" i="6"/>
  <c r="AC66" i="6" s="1"/>
  <c r="AB7" i="6"/>
  <c r="AB74" i="6" s="1"/>
  <c r="AM7" i="6"/>
  <c r="AM20" i="6" s="1"/>
  <c r="AM47" i="6" s="1"/>
  <c r="AM51" i="6" s="1"/>
  <c r="F41" i="6"/>
  <c r="G41" i="6" s="1"/>
  <c r="AR7" i="6"/>
  <c r="AR20" i="6" s="1"/>
  <c r="AR47" i="6" s="1"/>
  <c r="AR51" i="6" s="1"/>
  <c r="Z7" i="6"/>
  <c r="F28" i="6" s="1"/>
  <c r="G28" i="6" s="1"/>
  <c r="F30" i="6"/>
  <c r="G30" i="6" s="1"/>
  <c r="F43" i="6"/>
  <c r="G43" i="6" s="1"/>
  <c r="F44" i="6"/>
  <c r="G44" i="6" s="1"/>
  <c r="F45" i="6"/>
  <c r="G45" i="6" s="1"/>
  <c r="AS7" i="6"/>
  <c r="Y7" i="6"/>
  <c r="Y10" i="6" s="1"/>
  <c r="F33" i="6"/>
  <c r="G33" i="6" s="1"/>
  <c r="F31" i="6"/>
  <c r="G31" i="6" s="1"/>
  <c r="F36" i="6"/>
  <c r="G36" i="6" s="1"/>
  <c r="F35" i="6"/>
  <c r="G35" i="6" s="1"/>
  <c r="F48" i="6"/>
  <c r="G48" i="6" s="1"/>
  <c r="F27" i="6"/>
  <c r="G27" i="6" s="1"/>
  <c r="F47" i="6"/>
  <c r="G47" i="6" s="1"/>
  <c r="F38" i="6"/>
  <c r="G38" i="6" s="1"/>
  <c r="AI7" i="6"/>
  <c r="AI20" i="6" s="1"/>
  <c r="AG7" i="6"/>
  <c r="AG74" i="6" s="1"/>
  <c r="AA7" i="6"/>
  <c r="AN7" i="6"/>
  <c r="AN20" i="6" s="1"/>
  <c r="AN23" i="6" s="1"/>
  <c r="F32" i="6"/>
  <c r="G32" i="6" s="1"/>
  <c r="F39" i="6"/>
  <c r="G39" i="6" s="1"/>
  <c r="AS20" i="6"/>
  <c r="AS47" i="6" s="1"/>
  <c r="AS51" i="6" s="1"/>
  <c r="F37" i="6"/>
  <c r="G37" i="6" s="1"/>
  <c r="F46" i="6"/>
  <c r="G46" i="6" s="1"/>
  <c r="BB10" i="6"/>
  <c r="BC8" i="6" s="1"/>
  <c r="BC9" i="6" s="1"/>
  <c r="AB9" i="6" s="1"/>
  <c r="AP23" i="6"/>
  <c r="X66" i="6"/>
  <c r="X10" i="6"/>
  <c r="X11" i="6" s="1"/>
  <c r="X20" i="6"/>
  <c r="AK47" i="6" l="1"/>
  <c r="AK51" i="6" s="1"/>
  <c r="AL23" i="6"/>
  <c r="AM23" i="6"/>
  <c r="AF74" i="6"/>
  <c r="AJ20" i="6"/>
  <c r="AJ47" i="6" s="1"/>
  <c r="AJ51" i="6" s="1"/>
  <c r="Z66" i="6"/>
  <c r="AB20" i="6"/>
  <c r="AB47" i="6" s="1"/>
  <c r="AB51" i="6" s="1"/>
  <c r="AD74" i="6"/>
  <c r="Y66" i="6"/>
  <c r="AO47" i="6"/>
  <c r="AO51" i="6" s="1"/>
  <c r="AQ47" i="6"/>
  <c r="AQ51" i="6" s="1"/>
  <c r="AH20" i="6"/>
  <c r="AH47" i="6" s="1"/>
  <c r="AH51" i="6" s="1"/>
  <c r="AF20" i="6"/>
  <c r="AF23" i="6" s="1"/>
  <c r="AB66" i="6"/>
  <c r="AE74" i="6"/>
  <c r="Z20" i="6"/>
  <c r="Z23" i="6" s="1"/>
  <c r="Z10" i="6"/>
  <c r="Z11" i="6" s="1"/>
  <c r="Z13" i="6" s="1"/>
  <c r="AE20" i="6"/>
  <c r="AE47" i="6" s="1"/>
  <c r="AE51" i="6" s="1"/>
  <c r="Z74" i="6"/>
  <c r="AC74" i="6"/>
  <c r="Y20" i="6"/>
  <c r="Y47" i="6" s="1"/>
  <c r="Y51" i="6" s="1"/>
  <c r="AD66" i="6"/>
  <c r="AC20" i="6"/>
  <c r="AC23" i="6" s="1"/>
  <c r="AT10" i="6"/>
  <c r="AT11" i="6" s="1"/>
  <c r="AT13" i="6" s="1"/>
  <c r="AR23" i="6"/>
  <c r="AA10" i="6"/>
  <c r="AA11" i="6" s="1"/>
  <c r="F29" i="6"/>
  <c r="G29" i="6" s="1"/>
  <c r="G49" i="6" s="1"/>
  <c r="AS23" i="6"/>
  <c r="AG20" i="6"/>
  <c r="AG23" i="6" s="1"/>
  <c r="AI74" i="6"/>
  <c r="AA66" i="6"/>
  <c r="AN47" i="6"/>
  <c r="AN51" i="6" s="1"/>
  <c r="Y77" i="6"/>
  <c r="AA74" i="6"/>
  <c r="AA20" i="6"/>
  <c r="AA23" i="6" s="1"/>
  <c r="AB10" i="6"/>
  <c r="AB11" i="6" s="1"/>
  <c r="X13" i="6"/>
  <c r="X68" i="6"/>
  <c r="X69" i="6" s="1"/>
  <c r="X45" i="6"/>
  <c r="H26" i="6"/>
  <c r="I26" i="6" s="1"/>
  <c r="X33" i="6"/>
  <c r="X34" i="6" s="1"/>
  <c r="BC10" i="6"/>
  <c r="BD8" i="6" s="1"/>
  <c r="X23" i="6"/>
  <c r="X47" i="6"/>
  <c r="X51" i="6" s="1"/>
  <c r="AT47" i="6"/>
  <c r="AT51" i="6" s="1"/>
  <c r="AT23" i="6"/>
  <c r="AI23" i="6"/>
  <c r="AI47" i="6"/>
  <c r="AI51" i="6" s="1"/>
  <c r="Y11" i="6"/>
  <c r="Y13" i="6" s="1"/>
  <c r="Y14" i="6" s="1"/>
  <c r="AD47" i="6"/>
  <c r="AD51" i="6" s="1"/>
  <c r="AD23" i="6"/>
  <c r="AH23" i="6" l="1"/>
  <c r="Z47" i="6"/>
  <c r="Z51" i="6" s="1"/>
  <c r="AJ23" i="6"/>
  <c r="AB23" i="6"/>
  <c r="AC47" i="6"/>
  <c r="AC51" i="6" s="1"/>
  <c r="AE23" i="6"/>
  <c r="AF47" i="6"/>
  <c r="AF51" i="6" s="1"/>
  <c r="Y23" i="6"/>
  <c r="G50" i="6"/>
  <c r="AG47" i="6"/>
  <c r="AG51" i="6" s="1"/>
  <c r="AA47" i="6"/>
  <c r="AA51" i="6" s="1"/>
  <c r="Z68" i="6"/>
  <c r="Z69" i="6" s="1"/>
  <c r="H28" i="6"/>
  <c r="I28" i="6" s="1"/>
  <c r="Z33" i="6"/>
  <c r="Z34" i="6" s="1"/>
  <c r="Z36" i="6" s="1"/>
  <c r="Z45" i="6"/>
  <c r="Y68" i="6"/>
  <c r="Y69" i="6" s="1"/>
  <c r="Y45" i="6"/>
  <c r="Y52" i="6" s="1"/>
  <c r="H27" i="6"/>
  <c r="I27" i="6" s="1"/>
  <c r="Y33" i="6"/>
  <c r="Y34" i="6" s="1"/>
  <c r="AA68" i="6"/>
  <c r="AA69" i="6" s="1"/>
  <c r="AA33" i="6"/>
  <c r="AA34" i="6" s="1"/>
  <c r="AA36" i="6" s="1"/>
  <c r="H29" i="6"/>
  <c r="I29" i="6" s="1"/>
  <c r="AA45" i="6"/>
  <c r="AB68" i="6"/>
  <c r="AB69" i="6" s="1"/>
  <c r="AB33" i="6"/>
  <c r="AB34" i="6" s="1"/>
  <c r="H30" i="6"/>
  <c r="I30" i="6" s="1"/>
  <c r="AB45" i="6"/>
  <c r="AB52" i="6" s="1"/>
  <c r="X36" i="6"/>
  <c r="X52" i="6"/>
  <c r="BD9" i="6"/>
  <c r="AC9" i="6" s="1"/>
  <c r="AT33" i="6"/>
  <c r="AT34" i="6" s="1"/>
  <c r="AT36" i="6" s="1"/>
  <c r="H48" i="6"/>
  <c r="I48" i="6" s="1"/>
  <c r="AT45" i="6"/>
  <c r="AT52" i="6" s="1"/>
  <c r="X71" i="6"/>
  <c r="X72" i="6" s="1"/>
  <c r="X70" i="6"/>
  <c r="Y65" i="6" s="1"/>
  <c r="Z14" i="6"/>
  <c r="AA13" i="6"/>
  <c r="AB13" i="6"/>
  <c r="AA52" i="6" l="1"/>
  <c r="AB36" i="6"/>
  <c r="Z52" i="6"/>
  <c r="Y36" i="6"/>
  <c r="AA37" i="6" s="1"/>
  <c r="X57" i="6"/>
  <c r="X54" i="6"/>
  <c r="AC10" i="6"/>
  <c r="AC11" i="6" s="1"/>
  <c r="Y70" i="6"/>
  <c r="Z65" i="6" s="1"/>
  <c r="Y71" i="6"/>
  <c r="AA14" i="6"/>
  <c r="AB14" i="6" s="1"/>
  <c r="BD10" i="6"/>
  <c r="BE8" i="6" s="1"/>
  <c r="X37" i="6"/>
  <c r="AB37" i="6" l="1"/>
  <c r="Y37" i="6"/>
  <c r="Z37" i="6"/>
  <c r="AC68" i="6"/>
  <c r="AC69" i="6" s="1"/>
  <c r="AC33" i="6"/>
  <c r="AC34" i="6" s="1"/>
  <c r="AC36" i="6" s="1"/>
  <c r="AC37" i="6" s="1"/>
  <c r="H31" i="6"/>
  <c r="I31" i="6" s="1"/>
  <c r="AC45" i="6"/>
  <c r="AC52" i="6" s="1"/>
  <c r="Z71" i="6"/>
  <c r="Z70" i="6"/>
  <c r="AA65" i="6" s="1"/>
  <c r="AA70" i="6" s="1"/>
  <c r="AB65" i="6" s="1"/>
  <c r="AB70" i="6" s="1"/>
  <c r="AC65" i="6" s="1"/>
  <c r="BE9" i="6"/>
  <c r="AD9" i="6" s="1"/>
  <c r="AC13" i="6"/>
  <c r="AC14" i="6" s="1"/>
  <c r="AD10" i="6" l="1"/>
  <c r="AD11" i="6" s="1"/>
  <c r="BE10" i="6"/>
  <c r="BF8" i="6" s="1"/>
  <c r="BF9" i="6" s="1"/>
  <c r="AE9" i="6" s="1"/>
  <c r="AC70" i="6"/>
  <c r="AD65" i="6" s="1"/>
  <c r="AE10" i="6" l="1"/>
  <c r="AE11" i="6" s="1"/>
  <c r="AD68" i="6"/>
  <c r="AD69" i="6" s="1"/>
  <c r="AD70" i="6" s="1"/>
  <c r="AE65" i="6" s="1"/>
  <c r="AD45" i="6"/>
  <c r="AD52" i="6" s="1"/>
  <c r="AD33" i="6"/>
  <c r="AD34" i="6" s="1"/>
  <c r="AD36" i="6" s="1"/>
  <c r="AD37" i="6" s="1"/>
  <c r="H32" i="6"/>
  <c r="I32" i="6" s="1"/>
  <c r="BF10" i="6"/>
  <c r="BG8" i="6" s="1"/>
  <c r="AD13" i="6"/>
  <c r="AD14" i="6" s="1"/>
  <c r="BG9" i="6" l="1"/>
  <c r="AF9" i="6" s="1"/>
  <c r="AE68" i="6"/>
  <c r="AE69" i="6" s="1"/>
  <c r="AE70" i="6" s="1"/>
  <c r="AF65" i="6" s="1"/>
  <c r="H33" i="6"/>
  <c r="I33" i="6" s="1"/>
  <c r="AE33" i="6"/>
  <c r="AE34" i="6" s="1"/>
  <c r="AE36" i="6" s="1"/>
  <c r="AE37" i="6" s="1"/>
  <c r="AE45" i="6"/>
  <c r="AE52" i="6" s="1"/>
  <c r="AE13" i="6"/>
  <c r="AE14" i="6" s="1"/>
  <c r="AF10" i="6" l="1"/>
  <c r="AF11" i="6" s="1"/>
  <c r="BG10" i="6"/>
  <c r="BH8" i="6" s="1"/>
  <c r="AF68" i="6" l="1"/>
  <c r="AF69" i="6" s="1"/>
  <c r="AF70" i="6" s="1"/>
  <c r="H34" i="6"/>
  <c r="I34" i="6" s="1"/>
  <c r="AF33" i="6"/>
  <c r="AF34" i="6" s="1"/>
  <c r="AF36" i="6" s="1"/>
  <c r="AF37" i="6" s="1"/>
  <c r="AF45" i="6"/>
  <c r="AF52" i="6" s="1"/>
  <c r="BH9" i="6"/>
  <c r="AG9" i="6" s="1"/>
  <c r="AF13" i="6"/>
  <c r="AF14" i="6" s="1"/>
  <c r="AG10" i="6" l="1"/>
  <c r="AG11" i="6" s="1"/>
  <c r="BH10" i="6"/>
  <c r="BI8" i="6" s="1"/>
  <c r="BI9" i="6" l="1"/>
  <c r="AH9" i="6" s="1"/>
  <c r="H35" i="6"/>
  <c r="I35" i="6" s="1"/>
  <c r="AG45" i="6"/>
  <c r="AG52" i="6" s="1"/>
  <c r="AG33" i="6"/>
  <c r="AG34" i="6" s="1"/>
  <c r="AG36" i="6" s="1"/>
  <c r="AG37" i="6" s="1"/>
  <c r="AG13" i="6"/>
  <c r="AG14" i="6" s="1"/>
  <c r="AH10" i="6" l="1"/>
  <c r="AH11" i="6" s="1"/>
  <c r="BI10" i="6"/>
  <c r="BJ8" i="6" s="1"/>
  <c r="BJ9" i="6" l="1"/>
  <c r="AI9" i="6" s="1"/>
  <c r="AH33" i="6"/>
  <c r="AH34" i="6" s="1"/>
  <c r="AH36" i="6" s="1"/>
  <c r="AH37" i="6" s="1"/>
  <c r="AH45" i="6"/>
  <c r="AH52" i="6" s="1"/>
  <c r="H36" i="6"/>
  <c r="I36" i="6" s="1"/>
  <c r="AH13" i="6"/>
  <c r="AH14" i="6" s="1"/>
  <c r="AI10" i="6" l="1"/>
  <c r="AI11" i="6" s="1"/>
  <c r="AI45" i="6" s="1"/>
  <c r="AI52" i="6" s="1"/>
  <c r="BJ10" i="6"/>
  <c r="BK8" i="6" s="1"/>
  <c r="H37" i="6" l="1"/>
  <c r="I37" i="6" s="1"/>
  <c r="AI33" i="6"/>
  <c r="AI34" i="6" s="1"/>
  <c r="AI36" i="6" s="1"/>
  <c r="AI37" i="6" s="1"/>
  <c r="AI13" i="6"/>
  <c r="AI14" i="6" s="1"/>
  <c r="BK9" i="6"/>
  <c r="AJ9" i="6" s="1"/>
  <c r="AJ10" i="6" l="1"/>
  <c r="AJ11" i="6" s="1"/>
  <c r="BK10" i="6"/>
  <c r="BL8" i="6" s="1"/>
  <c r="H38" i="6" l="1"/>
  <c r="I38" i="6" s="1"/>
  <c r="AJ45" i="6"/>
  <c r="AJ52" i="6" s="1"/>
  <c r="AJ33" i="6"/>
  <c r="AJ34" i="6" s="1"/>
  <c r="AJ36" i="6" s="1"/>
  <c r="BL9" i="6"/>
  <c r="AK9" i="6" s="1"/>
  <c r="AJ13" i="6"/>
  <c r="AJ14" i="6" s="1"/>
  <c r="BL10" i="6" l="1"/>
  <c r="BM8" i="6" s="1"/>
  <c r="BM9" i="6" s="1"/>
  <c r="AL9" i="6" s="1"/>
  <c r="AJ37" i="6"/>
  <c r="AK10" i="6"/>
  <c r="AK11" i="6" s="1"/>
  <c r="AL10" i="6" l="1"/>
  <c r="AL11" i="6" s="1"/>
  <c r="AL13" i="6" s="1"/>
  <c r="AK13" i="6"/>
  <c r="AK14" i="6" s="1"/>
  <c r="AK45" i="6"/>
  <c r="AK52" i="6" s="1"/>
  <c r="H39" i="6"/>
  <c r="I39" i="6" s="1"/>
  <c r="AK33" i="6"/>
  <c r="AK34" i="6" s="1"/>
  <c r="AK36" i="6" s="1"/>
  <c r="BM10" i="6"/>
  <c r="BN8" i="6" s="1"/>
  <c r="AL14" i="6" l="1"/>
  <c r="BN9" i="6"/>
  <c r="AM9" i="6" s="1"/>
  <c r="H40" i="6"/>
  <c r="I40" i="6" s="1"/>
  <c r="AL33" i="6"/>
  <c r="AL34" i="6" s="1"/>
  <c r="AL36" i="6" s="1"/>
  <c r="AL37" i="6" s="1"/>
  <c r="AL45" i="6"/>
  <c r="AL52" i="6" s="1"/>
  <c r="AK37" i="6"/>
  <c r="AS10" i="6"/>
  <c r="AS11" i="6" s="1"/>
  <c r="H47" i="6" s="1"/>
  <c r="I47" i="6" s="1"/>
  <c r="AM10" i="6" l="1"/>
  <c r="BN10" i="6"/>
  <c r="BO8" i="6" s="1"/>
  <c r="AS13" i="6"/>
  <c r="AS33" i="6"/>
  <c r="AS34" i="6" s="1"/>
  <c r="AS36" i="6" s="1"/>
  <c r="AS45" i="6"/>
  <c r="BO9" i="6" l="1"/>
  <c r="AN9" i="6" s="1"/>
  <c r="AM11" i="6"/>
  <c r="AS52" i="6"/>
  <c r="AM45" i="6" l="1"/>
  <c r="H41" i="6"/>
  <c r="I41" i="6" s="1"/>
  <c r="AM33" i="6"/>
  <c r="AM34" i="6" s="1"/>
  <c r="AM36" i="6" s="1"/>
  <c r="AN10" i="6"/>
  <c r="AM13" i="6"/>
  <c r="AM14" i="6" s="1"/>
  <c r="BO10" i="6"/>
  <c r="BP8" i="6" s="1"/>
  <c r="BP9" i="6" l="1"/>
  <c r="AO9" i="6" s="1"/>
  <c r="AM37" i="6"/>
  <c r="AM52" i="6"/>
  <c r="AN11" i="6"/>
  <c r="AN13" i="6" s="1"/>
  <c r="AN14" i="6" s="1"/>
  <c r="AO10" i="6" l="1"/>
  <c r="H42" i="6"/>
  <c r="I42" i="6" s="1"/>
  <c r="AN33" i="6"/>
  <c r="AN34" i="6" s="1"/>
  <c r="AN36" i="6" s="1"/>
  <c r="AN45" i="6"/>
  <c r="BP10" i="6"/>
  <c r="BQ8" i="6" s="1"/>
  <c r="BQ9" i="6" l="1"/>
  <c r="AP9" i="6" s="1"/>
  <c r="AN37" i="6"/>
  <c r="AO11" i="6"/>
  <c r="AO13" i="6" s="1"/>
  <c r="AO14" i="6" s="1"/>
  <c r="AN52" i="6"/>
  <c r="AP10" i="6" l="1"/>
  <c r="AP11" i="6" s="1"/>
  <c r="BR9" i="6"/>
  <c r="AO33" i="6"/>
  <c r="AO34" i="6" s="1"/>
  <c r="AO36" i="6" s="1"/>
  <c r="H43" i="6"/>
  <c r="I43" i="6" s="1"/>
  <c r="AO45" i="6"/>
  <c r="BQ10" i="6"/>
  <c r="BR8" i="6" s="1"/>
  <c r="AR10" i="6" l="1"/>
  <c r="AR11" i="6" s="1"/>
  <c r="AR13" i="6" s="1"/>
  <c r="AQ9" i="6"/>
  <c r="AU9" i="6" s="1"/>
  <c r="BR10" i="6"/>
  <c r="BS8" i="6" s="1"/>
  <c r="BS10" i="6" s="1"/>
  <c r="AO52" i="6"/>
  <c r="AO37" i="6"/>
  <c r="AP13" i="6"/>
  <c r="AP14" i="6" s="1"/>
  <c r="AP45" i="6"/>
  <c r="AP52" i="6" s="1"/>
  <c r="AP33" i="6"/>
  <c r="AP34" i="6" s="1"/>
  <c r="AP36" i="6" s="1"/>
  <c r="AP37" i="6" s="1"/>
  <c r="H44" i="6"/>
  <c r="I44" i="6" s="1"/>
  <c r="BF12" i="6"/>
  <c r="AQ10" i="6" l="1"/>
  <c r="AQ11" i="6" s="1"/>
  <c r="AQ13" i="6" s="1"/>
  <c r="AQ14" i="6" s="1"/>
  <c r="AR14" i="6" s="1"/>
  <c r="AS14" i="6" s="1"/>
  <c r="AT14" i="6" s="1"/>
  <c r="AR33" i="6"/>
  <c r="AR34" i="6" s="1"/>
  <c r="AR36" i="6" s="1"/>
  <c r="AR45" i="6"/>
  <c r="AR52" i="6" s="1"/>
  <c r="H46" i="6"/>
  <c r="I46" i="6" s="1"/>
  <c r="H45" i="6" l="1"/>
  <c r="I45" i="6" s="1"/>
  <c r="I50" i="6" s="1"/>
  <c r="AQ45" i="6"/>
  <c r="AQ33" i="6"/>
  <c r="AQ34" i="6" s="1"/>
  <c r="AQ36" i="6" s="1"/>
  <c r="I49" i="6" l="1"/>
  <c r="AQ37" i="6"/>
  <c r="AR37" i="6"/>
  <c r="AT37" i="6"/>
  <c r="AS37" i="6"/>
  <c r="AQ52" i="6"/>
  <c r="X61" i="6"/>
  <c r="X58" i="6" l="1"/>
  <c r="E21" i="8" s="1"/>
  <c r="X55" i="6"/>
  <c r="E19" i="8" s="1"/>
  <c r="D37" i="8" l="1"/>
  <c r="D34" i="8"/>
  <c r="D35" i="8"/>
  <c r="D33" i="8"/>
  <c r="D36" i="8"/>
</calcChain>
</file>

<file path=xl/sharedStrings.xml><?xml version="1.0" encoding="utf-8"?>
<sst xmlns="http://schemas.openxmlformats.org/spreadsheetml/2006/main" count="693" uniqueCount="434">
  <si>
    <t xml:space="preserve"> </t>
  </si>
  <si>
    <t>S T E E L   A U T H O R I T Y   OF   I N D I A    L I M I T E D</t>
  </si>
  <si>
    <t>-</t>
  </si>
  <si>
    <t>Item</t>
  </si>
  <si>
    <t>Total</t>
  </si>
  <si>
    <t>IDC</t>
  </si>
  <si>
    <t>Years</t>
  </si>
  <si>
    <t>Plant</t>
  </si>
  <si>
    <t>Total fund</t>
  </si>
  <si>
    <t>cost</t>
  </si>
  <si>
    <t>Loan</t>
  </si>
  <si>
    <t>incl.IDC</t>
  </si>
  <si>
    <t>LC</t>
  </si>
  <si>
    <t>1st.</t>
  </si>
  <si>
    <t>FC</t>
  </si>
  <si>
    <t>t</t>
  </si>
  <si>
    <t>v</t>
  </si>
  <si>
    <t>Spares</t>
  </si>
  <si>
    <t>Refractories</t>
  </si>
  <si>
    <t>Sl.No</t>
  </si>
  <si>
    <t>A</t>
  </si>
  <si>
    <t>B</t>
  </si>
  <si>
    <t>C</t>
  </si>
  <si>
    <t>Structure</t>
  </si>
  <si>
    <t>Dismantling</t>
  </si>
  <si>
    <t>PI</t>
  </si>
  <si>
    <t>IRR</t>
  </si>
  <si>
    <t>%</t>
  </si>
  <si>
    <t>kwh</t>
  </si>
  <si>
    <t>Unit</t>
  </si>
  <si>
    <t>Equity</t>
  </si>
  <si>
    <t>Annexure-1</t>
  </si>
  <si>
    <t>CD</t>
  </si>
  <si>
    <t>Internal</t>
  </si>
  <si>
    <t>External</t>
  </si>
  <si>
    <t>Total fund incl. IDC</t>
  </si>
  <si>
    <t>Resources</t>
  </si>
  <si>
    <t>Borrowing</t>
  </si>
  <si>
    <t>MM</t>
  </si>
  <si>
    <t>Loan+MM</t>
  </si>
  <si>
    <t xml:space="preserve">Start of prod. </t>
  </si>
  <si>
    <t>Profitability Projections</t>
  </si>
  <si>
    <t>Item/Year</t>
  </si>
  <si>
    <t>Yr 1</t>
  </si>
  <si>
    <t>Yr 2</t>
  </si>
  <si>
    <t>Yr 3</t>
  </si>
  <si>
    <t>Yr 4</t>
  </si>
  <si>
    <t>Yr 5</t>
  </si>
  <si>
    <t>Yr 6</t>
  </si>
  <si>
    <t>Yr 7</t>
  </si>
  <si>
    <t>Yr 8</t>
  </si>
  <si>
    <t>Yr 9</t>
  </si>
  <si>
    <t>Yr 10</t>
  </si>
  <si>
    <t>Yr 11</t>
  </si>
  <si>
    <t>Yr 12</t>
  </si>
  <si>
    <t>Yr 13</t>
  </si>
  <si>
    <t>Yr 14</t>
  </si>
  <si>
    <t>Yr 15</t>
  </si>
  <si>
    <t>Yr 16</t>
  </si>
  <si>
    <t>Yr 17</t>
  </si>
  <si>
    <t>Yr 18</t>
  </si>
  <si>
    <t>Yr 19</t>
  </si>
  <si>
    <t>Yr 20</t>
  </si>
  <si>
    <t>Yr 21</t>
  </si>
  <si>
    <t>Yr 22</t>
  </si>
  <si>
    <t>Calculation of depreciation</t>
  </si>
  <si>
    <t>Capacity Utilisation</t>
  </si>
  <si>
    <t>Rate of depreciation</t>
  </si>
  <si>
    <t>Gross Margin  from operation</t>
  </si>
  <si>
    <t>Year of production</t>
  </si>
  <si>
    <t>PC</t>
  </si>
  <si>
    <t>Check</t>
  </si>
  <si>
    <t>Profit Before Tax (PBT)</t>
  </si>
  <si>
    <t>Profit After Tax (PAT)</t>
  </si>
  <si>
    <t>Cumulative PAT</t>
  </si>
  <si>
    <t>Working Capital</t>
  </si>
  <si>
    <t>Start of prod.</t>
  </si>
  <si>
    <t>Cash flow statement</t>
  </si>
  <si>
    <t>Cash-Inflows :</t>
  </si>
  <si>
    <t>A. Cash from operations</t>
  </si>
  <si>
    <t>B. Equity/ Internal accruals</t>
  </si>
  <si>
    <t>(B) Cash out-flow :</t>
  </si>
  <si>
    <t>Capital expenditure</t>
  </si>
  <si>
    <t xml:space="preserve">        Equity/ Internal accruals</t>
  </si>
  <si>
    <t xml:space="preserve">        Loan</t>
  </si>
  <si>
    <t>Interest payment</t>
  </si>
  <si>
    <t>Term loan</t>
  </si>
  <si>
    <t>WC loan</t>
  </si>
  <si>
    <t>Principal repayment</t>
  </si>
  <si>
    <t>Corporate Income Tax</t>
  </si>
  <si>
    <t xml:space="preserve">Cash surplus </t>
  </si>
  <si>
    <t>Cash surplus (Cummulative)</t>
  </si>
  <si>
    <t>Sensitivity factor</t>
  </si>
  <si>
    <t>NPV &amp; IRR CALCULATIONS:</t>
  </si>
  <si>
    <t>Cap . Cost</t>
  </si>
  <si>
    <t>GM</t>
  </si>
  <si>
    <t>Outflow</t>
  </si>
  <si>
    <t>Capital Cost (excl. IDC)</t>
  </si>
  <si>
    <t>Inflow</t>
  </si>
  <si>
    <t>Gross margin</t>
  </si>
  <si>
    <t>Net flow</t>
  </si>
  <si>
    <t>Pre-tax</t>
  </si>
  <si>
    <t>Post Tax</t>
  </si>
  <si>
    <t>D</t>
  </si>
  <si>
    <t>Post-tax</t>
  </si>
  <si>
    <t>E</t>
  </si>
  <si>
    <t>Capital cost</t>
  </si>
  <si>
    <t>Rs crore</t>
  </si>
  <si>
    <t>Rs.crore</t>
  </si>
  <si>
    <t>IRR (Post-Tax)</t>
  </si>
  <si>
    <t>SENSITIVITY  ANALYSIS</t>
  </si>
  <si>
    <t>Parameter</t>
  </si>
  <si>
    <t>(Post-tax)</t>
  </si>
  <si>
    <t>Gross margin less by 10%</t>
  </si>
  <si>
    <t>Combined effect of above two factors</t>
  </si>
  <si>
    <t xml:space="preserve">Depreciation </t>
  </si>
  <si>
    <t>Description</t>
  </si>
  <si>
    <t>Gross Margin</t>
  </si>
  <si>
    <t>Rs cr</t>
  </si>
  <si>
    <t xml:space="preserve">FINANCIAL ANALYSIS </t>
  </si>
  <si>
    <t>i</t>
  </si>
  <si>
    <t>Gross Block</t>
  </si>
  <si>
    <t>Depreciation</t>
  </si>
  <si>
    <t>Net Block</t>
  </si>
  <si>
    <t>95% 0f CC</t>
  </si>
  <si>
    <t>2nd</t>
  </si>
  <si>
    <t>Rs. in crore</t>
  </si>
  <si>
    <t xml:space="preserve">Loan </t>
  </si>
  <si>
    <t xml:space="preserve">Long term loan </t>
  </si>
  <si>
    <t>Foreign Supervision</t>
  </si>
  <si>
    <t>Annexure-6.6.2-1</t>
  </si>
  <si>
    <t>Sl. No.</t>
  </si>
  <si>
    <t>Value</t>
  </si>
  <si>
    <t xml:space="preserve">Phasing of expenditure-Beneficiation Plant </t>
  </si>
  <si>
    <t>PTC</t>
  </si>
  <si>
    <t>Cut off.</t>
  </si>
  <si>
    <t xml:space="preserve">Capital cost up by 10% </t>
  </si>
  <si>
    <t>Base Case</t>
  </si>
  <si>
    <t>FE Parity +7.5%</t>
  </si>
  <si>
    <t>FE Parity</t>
  </si>
  <si>
    <t>Cap Cost</t>
  </si>
  <si>
    <t>Production loss during addl. s/d period</t>
  </si>
  <si>
    <t xml:space="preserve">Corporate Income Tax </t>
  </si>
  <si>
    <t xml:space="preserve">Interest </t>
  </si>
  <si>
    <t>Remarks</t>
  </si>
  <si>
    <t>Rs. Cr.</t>
  </si>
  <si>
    <t>3rd</t>
  </si>
  <si>
    <t>Yr 23</t>
  </si>
  <si>
    <t>ii</t>
  </si>
  <si>
    <t>iii</t>
  </si>
  <si>
    <t>iv</t>
  </si>
  <si>
    <t>NPV (@ 10%), Rs Cr</t>
  </si>
  <si>
    <t>NPV @ 10% discount rate (Post-tax)</t>
  </si>
  <si>
    <t>@10%</t>
  </si>
  <si>
    <t>Net</t>
  </si>
  <si>
    <t>Cor. Tax</t>
  </si>
  <si>
    <t>Pay-back period:</t>
  </si>
  <si>
    <t>Operating year -----&gt;</t>
  </si>
  <si>
    <t>Yr1</t>
  </si>
  <si>
    <t>Yr2</t>
  </si>
  <si>
    <t>Yr3</t>
  </si>
  <si>
    <t>Yr4</t>
  </si>
  <si>
    <t>Yr5</t>
  </si>
  <si>
    <t>Yr6</t>
  </si>
  <si>
    <t>Yr7</t>
  </si>
  <si>
    <t>Yr8</t>
  </si>
  <si>
    <t>Capital cost net of cenvat, Rs Cr</t>
  </si>
  <si>
    <t>Gross margin, Rs Cr</t>
  </si>
  <si>
    <t>Interest on loan, Rs Cr</t>
  </si>
  <si>
    <t>Corporate tax, Rs Cr</t>
  </si>
  <si>
    <t>Profit after int. &amp; tax, Rs Cr</t>
  </si>
  <si>
    <t>Balance loan, Rs Cr</t>
  </si>
  <si>
    <t>Payback period, Yrs</t>
  </si>
  <si>
    <t>DSCR, Year-wise</t>
  </si>
  <si>
    <t>Minimum DSCR</t>
  </si>
  <si>
    <t>Maximum DSCR</t>
  </si>
  <si>
    <t>Avg. DSCR</t>
  </si>
  <si>
    <t>Input Tax Credit (ITC)</t>
  </si>
  <si>
    <t xml:space="preserve">Capital Cost (Net of ITC) </t>
  </si>
  <si>
    <t>CC net of ITC</t>
  </si>
  <si>
    <t>ITC</t>
  </si>
  <si>
    <t>Annexure 6.6.2-1</t>
  </si>
  <si>
    <t>CONFIDENTIAL</t>
  </si>
  <si>
    <t>STEEL AUTHORITY OF INDIA LIMITED</t>
  </si>
  <si>
    <t>Augmentation of facilities to supply rails for Iran export order</t>
  </si>
  <si>
    <t>PACKAGE COST ESTIMATE</t>
  </si>
  <si>
    <t>TS NO.: CET/01/BH/4004/TS/ME/01/R=1</t>
  </si>
  <si>
    <t>1 EURO=Rs.</t>
  </si>
  <si>
    <t>Rs. Crore</t>
  </si>
  <si>
    <t>1 USD=Rs.</t>
  </si>
  <si>
    <t>Sl.No.</t>
  </si>
  <si>
    <t>Description of Item</t>
  </si>
  <si>
    <t>Supply of Plant &amp; Equipment Incl. Technological Structures</t>
  </si>
  <si>
    <t>Supply of Refractories</t>
  </si>
  <si>
    <t>Civil Engineering Work including all related supplies- for equipment foundation</t>
  </si>
  <si>
    <t xml:space="preserve">Included above </t>
  </si>
  <si>
    <t>Purchaser's Scope:</t>
  </si>
  <si>
    <t xml:space="preserve">Social welfare surcharge @ 10% on BCD </t>
  </si>
  <si>
    <t xml:space="preserve">GST @ 18 % on imported supply </t>
  </si>
  <si>
    <t>Income Tax  @ 10 % grossed-up on imported services</t>
  </si>
  <si>
    <t>GST @ 18 % on imported Services &amp; IT</t>
  </si>
  <si>
    <t>SAIL/CET</t>
  </si>
  <si>
    <t>13.05.2016</t>
  </si>
  <si>
    <t>-do</t>
  </si>
  <si>
    <t>Erection for imported supply</t>
  </si>
  <si>
    <t>Erection for plant &amp; equipt</t>
  </si>
  <si>
    <t xml:space="preserve">Erection for structure </t>
  </si>
  <si>
    <t xml:space="preserve">Erection for refractory </t>
  </si>
  <si>
    <t>Basic cost</t>
  </si>
  <si>
    <t xml:space="preserve">                  Indigenous supplies &amp; services</t>
  </si>
  <si>
    <t>Imp. Items</t>
  </si>
  <si>
    <t>Indg. Items</t>
  </si>
  <si>
    <t>GST Ind. supply</t>
  </si>
  <si>
    <t>GST Ind. services</t>
  </si>
  <si>
    <t xml:space="preserve">Inland Frt &amp; Ins </t>
  </si>
  <si>
    <t>Purchaser's scope</t>
  </si>
  <si>
    <t>Design &amp; Engineering</t>
  </si>
  <si>
    <t xml:space="preserve">Supply of Plant &amp; eqpt  </t>
  </si>
  <si>
    <t>Supply of  SW</t>
  </si>
  <si>
    <t xml:space="preserve">Supply of  Tech Strs </t>
  </si>
  <si>
    <t>Building structures</t>
  </si>
  <si>
    <t xml:space="preserve">Erection of Plant &amp; eqpt </t>
  </si>
  <si>
    <t xml:space="preserve">Erection of Tech Strs, </t>
  </si>
  <si>
    <t xml:space="preserve">Erection of  build. strs </t>
  </si>
  <si>
    <t>Training</t>
  </si>
  <si>
    <t>a) Ocean Freight</t>
  </si>
  <si>
    <t>b) Custom, port clearance &amp; inland trasport</t>
  </si>
  <si>
    <t>Qty</t>
  </si>
  <si>
    <t xml:space="preserve">CIVIL </t>
  </si>
  <si>
    <t>Mechanical</t>
  </si>
  <si>
    <t>U&amp;S</t>
  </si>
  <si>
    <t>tpd</t>
  </si>
  <si>
    <t>tonnes</t>
  </si>
  <si>
    <t>Annexure 6.5.5-1</t>
  </si>
  <si>
    <t>GROSS  MARGIN  CALCULATIONS</t>
  </si>
  <si>
    <t>Technical Parameters:</t>
  </si>
  <si>
    <t>Proposed case</t>
  </si>
  <si>
    <t>BF#5</t>
  </si>
  <si>
    <t xml:space="preserve">Increase in hot metal production has been envisaged due to additional enrichment of oxygen @2.5 % of hot metal for every 1% additional oxygen enrichment.   </t>
  </si>
  <si>
    <t>Oxygen enrichment</t>
  </si>
  <si>
    <t>Days</t>
  </si>
  <si>
    <t>Coal injection after CDI upgradation</t>
  </si>
  <si>
    <t>kg/tHM</t>
  </si>
  <si>
    <t>Total CDI coal injected per annum</t>
  </si>
  <si>
    <t>Benefits :</t>
  </si>
  <si>
    <t>Incremental saving in proposed case w.r.t. base case</t>
  </si>
  <si>
    <t>Rate</t>
  </si>
  <si>
    <t>Amount</t>
  </si>
  <si>
    <t>(Rs./t)</t>
  </si>
  <si>
    <t>(t)</t>
  </si>
  <si>
    <t>Rs  Cr</t>
  </si>
  <si>
    <t>Savings in coke consumption due to its replacement with CDI coal in the ratio of 0.8:1.</t>
  </si>
  <si>
    <t>Total benefits (B)</t>
  </si>
  <si>
    <t>Expenditure:</t>
  </si>
  <si>
    <t>Raw CDI coal required (including 6% moisture + 3% handling loss)</t>
  </si>
  <si>
    <t>Tonne</t>
  </si>
  <si>
    <t>Electricity @ 54kwh/t of coal injected</t>
  </si>
  <si>
    <t xml:space="preserve">Oxygen requirement </t>
  </si>
  <si>
    <t>ThNm3</t>
  </si>
  <si>
    <t>Nitrogen requirement</t>
  </si>
  <si>
    <r>
      <t>ThNm</t>
    </r>
    <r>
      <rPr>
        <vertAlign val="superscript"/>
        <sz val="10"/>
        <rFont val="Arial"/>
        <family val="2"/>
      </rPr>
      <t>3</t>
    </r>
  </si>
  <si>
    <t>BF gas requirement</t>
  </si>
  <si>
    <t>GCal</t>
  </si>
  <si>
    <t xml:space="preserve">Coke oven gas requirement </t>
  </si>
  <si>
    <t>Water requirement</t>
  </si>
  <si>
    <t>Repair &amp; Maint. @ 2.5% of capital cost</t>
  </si>
  <si>
    <t>Sub-Total (C)</t>
  </si>
  <si>
    <t>Gross  Margin (B- C)</t>
  </si>
  <si>
    <t>Provision of 2nd Coal drying and pulverizing unit for CDI system of BF-1&amp;5 along with the replacement of existing injecting vessels of BF-1, BSL (Assignment No. 4854)</t>
  </si>
  <si>
    <t>A. Operating Parameters</t>
  </si>
  <si>
    <t>Sl. No</t>
  </si>
  <si>
    <t>Base Case (2020 - 21)</t>
  </si>
  <si>
    <t>Proposed Case</t>
  </si>
  <si>
    <t>Addl Coal Rqmt, t</t>
  </si>
  <si>
    <t>B.F 1</t>
  </si>
  <si>
    <t>B.F 5</t>
  </si>
  <si>
    <t>Hot Metal production, tpd</t>
  </si>
  <si>
    <t>CDI rate, kg/thm</t>
  </si>
  <si>
    <t>Oxygen for enrichment of the Blast, %</t>
  </si>
  <si>
    <t>CDI coal injected per Annum, t</t>
  </si>
  <si>
    <t>B. Benefits</t>
  </si>
  <si>
    <t>Base case (2020-21) (BF#1 &amp; BF#5)</t>
  </si>
  <si>
    <t>Proposed case (BF#1 &amp; BF#5)</t>
  </si>
  <si>
    <t>Variable Cost of BF coke taken as per BSL Actual Cost for 2020-21</t>
  </si>
  <si>
    <t>C. Consumption:</t>
  </si>
  <si>
    <t>Addl. Electricity @ 54kwh/t of coal injected</t>
  </si>
  <si>
    <t>MW</t>
  </si>
  <si>
    <t xml:space="preserve">Addl. Oxygen requirement </t>
  </si>
  <si>
    <t>Addl. Nitrogen requirement for GAD</t>
  </si>
  <si>
    <t>Addl. BF gas requirement</t>
  </si>
  <si>
    <t xml:space="preserve">Addl. Coke oven gas requirement </t>
  </si>
  <si>
    <t>Addl. Industrial water</t>
  </si>
  <si>
    <t>D. Actual Cost for 2020-21 (based on 12 months)</t>
  </si>
  <si>
    <t>Price (Rs./unit)</t>
  </si>
  <si>
    <t>Variable cost of BF coke, t</t>
  </si>
  <si>
    <t>CDI Coal, t</t>
  </si>
  <si>
    <r>
      <t>Make-up water, Thm</t>
    </r>
    <r>
      <rPr>
        <vertAlign val="superscript"/>
        <sz val="12"/>
        <color theme="1"/>
        <rFont val="Calibri"/>
        <family val="2"/>
        <scheme val="minor"/>
      </rPr>
      <t>3</t>
    </r>
  </si>
  <si>
    <t>Electricity, Mw</t>
  </si>
  <si>
    <r>
      <t>Oxygen, ThNm</t>
    </r>
    <r>
      <rPr>
        <vertAlign val="superscript"/>
        <sz val="12"/>
        <color theme="1"/>
        <rFont val="Calibri"/>
        <family val="2"/>
        <scheme val="minor"/>
      </rPr>
      <t>3</t>
    </r>
  </si>
  <si>
    <r>
      <t>Nitrogen, ThNm</t>
    </r>
    <r>
      <rPr>
        <vertAlign val="superscript"/>
        <sz val="12"/>
        <color theme="1"/>
        <rFont val="Calibri"/>
        <family val="2"/>
        <scheme val="minor"/>
      </rPr>
      <t>3</t>
    </r>
  </si>
  <si>
    <t>B.F Gas, Gcal</t>
  </si>
  <si>
    <t>C.O Gas, Gcal</t>
  </si>
  <si>
    <t>E. Implementation Schedule - 18 months from effective date of Contract</t>
  </si>
  <si>
    <t>G. The cost of 2yrs O&amp;M spares is to be taken as per normative.</t>
  </si>
  <si>
    <t xml:space="preserve">Hot Metal production </t>
  </si>
  <si>
    <t>Base case / Existing system (2020-21)</t>
  </si>
  <si>
    <t>BF#1</t>
  </si>
  <si>
    <r>
      <t>Volume of air Nm</t>
    </r>
    <r>
      <rPr>
        <b/>
        <vertAlign val="superscript"/>
        <sz val="12"/>
        <rFont val="Arial"/>
        <family val="2"/>
      </rPr>
      <t>3</t>
    </r>
    <r>
      <rPr>
        <b/>
        <sz val="12"/>
        <rFont val="Arial"/>
        <family val="2"/>
      </rPr>
      <t>/Hr</t>
    </r>
  </si>
  <si>
    <r>
      <t>% O</t>
    </r>
    <r>
      <rPr>
        <b/>
        <vertAlign val="subscript"/>
        <sz val="12"/>
        <rFont val="Arial"/>
        <family val="2"/>
      </rPr>
      <t>2</t>
    </r>
    <r>
      <rPr>
        <b/>
        <sz val="12"/>
        <rFont val="Arial"/>
        <family val="2"/>
      </rPr>
      <t xml:space="preserve">  in Air/100</t>
    </r>
  </si>
  <si>
    <r>
      <t>% O</t>
    </r>
    <r>
      <rPr>
        <b/>
        <vertAlign val="subscript"/>
        <sz val="12"/>
        <rFont val="Arial"/>
        <family val="2"/>
      </rPr>
      <t>2</t>
    </r>
    <r>
      <rPr>
        <b/>
        <sz val="12"/>
        <rFont val="Arial"/>
        <family val="2"/>
      </rPr>
      <t xml:space="preserve"> after enrichment/100</t>
    </r>
  </si>
  <si>
    <r>
      <t xml:space="preserve"> O</t>
    </r>
    <r>
      <rPr>
        <b/>
        <vertAlign val="subscript"/>
        <sz val="12"/>
        <rFont val="Arial"/>
        <family val="2"/>
      </rPr>
      <t>2</t>
    </r>
    <r>
      <rPr>
        <b/>
        <sz val="12"/>
        <rFont val="Arial"/>
        <family val="2"/>
      </rPr>
      <t xml:space="preserve"> through Air (Nm3/min.)</t>
    </r>
  </si>
  <si>
    <r>
      <t xml:space="preserve"> O</t>
    </r>
    <r>
      <rPr>
        <b/>
        <vertAlign val="subscript"/>
        <sz val="12"/>
        <rFont val="Arial"/>
        <family val="2"/>
      </rPr>
      <t>2</t>
    </r>
    <r>
      <rPr>
        <b/>
        <sz val="12"/>
        <rFont val="Arial"/>
        <family val="2"/>
      </rPr>
      <t xml:space="preserve"> through Air (Nm3/Hr.)</t>
    </r>
  </si>
  <si>
    <r>
      <t xml:space="preserve"> O</t>
    </r>
    <r>
      <rPr>
        <b/>
        <vertAlign val="subscript"/>
        <sz val="12"/>
        <rFont val="Arial"/>
        <family val="2"/>
      </rPr>
      <t>2</t>
    </r>
    <r>
      <rPr>
        <b/>
        <sz val="12"/>
        <rFont val="Arial"/>
        <family val="2"/>
      </rPr>
      <t xml:space="preserve"> through Air (Nm3/Day)</t>
    </r>
  </si>
  <si>
    <r>
      <t xml:space="preserve"> O</t>
    </r>
    <r>
      <rPr>
        <b/>
        <vertAlign val="subscript"/>
        <sz val="12"/>
        <rFont val="Arial"/>
        <family val="2"/>
      </rPr>
      <t>2</t>
    </r>
    <r>
      <rPr>
        <b/>
        <sz val="12"/>
        <rFont val="Arial"/>
        <family val="2"/>
      </rPr>
      <t xml:space="preserve"> through Air (ThNm3/Year)</t>
    </r>
  </si>
  <si>
    <r>
      <t xml:space="preserve"> O</t>
    </r>
    <r>
      <rPr>
        <b/>
        <vertAlign val="subscript"/>
        <sz val="12"/>
        <rFont val="Arial"/>
        <family val="2"/>
      </rPr>
      <t>2</t>
    </r>
    <r>
      <rPr>
        <b/>
        <sz val="12"/>
        <rFont val="Arial"/>
        <family val="2"/>
      </rPr>
      <t xml:space="preserve"> through Air (T)</t>
    </r>
  </si>
  <si>
    <t>Proposed:-</t>
  </si>
  <si>
    <t>BF #5</t>
  </si>
  <si>
    <t>2020-21 BF#1</t>
  </si>
  <si>
    <t>2020-21 BF #5</t>
  </si>
  <si>
    <t xml:space="preserve"> BF#1</t>
  </si>
  <si>
    <t>Existing Case:</t>
  </si>
  <si>
    <t>PCI Coal Requirement</t>
  </si>
  <si>
    <t>:</t>
  </si>
  <si>
    <t xml:space="preserve">The existng grinding mill capacity is </t>
  </si>
  <si>
    <t>tph</t>
  </si>
  <si>
    <t>Total hrs of mill operation equired</t>
  </si>
  <si>
    <t>hrs</t>
  </si>
  <si>
    <t>Proposed Case:</t>
  </si>
  <si>
    <t xml:space="preserve">The total grinding mill capacity is </t>
  </si>
  <si>
    <t>Nitrogen requirement for 01 grinding mill :</t>
  </si>
  <si>
    <t>Nm3/h</t>
  </si>
  <si>
    <t>Nitrogen requirement for 2 grinding mills:</t>
  </si>
  <si>
    <t>Nitrogen requirement for coal injection in BF#5</t>
  </si>
  <si>
    <t>Nitrogen requirement for grinding:-</t>
  </si>
  <si>
    <t>ThNm3/yr</t>
  </si>
  <si>
    <t>Nitrogen requirement for injection :-</t>
  </si>
  <si>
    <t>For BF Gas:</t>
  </si>
  <si>
    <t>BF gas requirement for 01 grinding mill :</t>
  </si>
  <si>
    <t>BF gas requirement for 2 grinding mills:</t>
  </si>
  <si>
    <t>BF gas requirement for grinding:-</t>
  </si>
  <si>
    <t>Nm3/yr</t>
  </si>
  <si>
    <t>For CO Gas:</t>
  </si>
  <si>
    <t>CO gas requirement for 01 grinding mill :</t>
  </si>
  <si>
    <t>CO gas requirement for 2 grinding mills:</t>
  </si>
  <si>
    <t>CO gas requirement for grinding:-</t>
  </si>
  <si>
    <t>Nitrogen requirement for coal injection in BF#1</t>
  </si>
  <si>
    <t>Rate (Rs./t)</t>
  </si>
  <si>
    <t>Quantity (t)</t>
  </si>
  <si>
    <t>Amount (Rs. Cr.)</t>
  </si>
  <si>
    <t>Savings in coke consumption due to its replacement with CDI coal in the ratio of 0.8:1. (Variable Cost of BF coke taken as per BSL Actual Cost for 2020-21)</t>
  </si>
  <si>
    <t>-do-</t>
  </si>
  <si>
    <t>Rate as perActual Cost for 2020-21</t>
  </si>
  <si>
    <t>Rate (Rs./unit)</t>
  </si>
  <si>
    <t>Gcal</t>
  </si>
  <si>
    <t xml:space="preserve"> @2.5 % of additional hot metal for every 1% additional oxygen enrichment.   </t>
  </si>
  <si>
    <t>Separate Exercise for addl Oxygen:</t>
  </si>
  <si>
    <t>Base case</t>
  </si>
  <si>
    <t>Propose case</t>
  </si>
  <si>
    <t>Base Case (2020-21) (B.F 1 &amp; 5)</t>
  </si>
  <si>
    <t>Proposed case (B.F 1 &amp; 5)</t>
  </si>
  <si>
    <t>Additional</t>
  </si>
  <si>
    <r>
      <t>ThNm</t>
    </r>
    <r>
      <rPr>
        <vertAlign val="superscript"/>
        <sz val="10"/>
        <rFont val="Calibri"/>
        <family val="2"/>
        <scheme val="minor"/>
      </rPr>
      <t>3</t>
    </r>
  </si>
  <si>
    <t>70% of the original capacity due to very old mil</t>
  </si>
  <si>
    <t>(Additional 3000 Nm3/hr)</t>
  </si>
  <si>
    <t>(Additional 8000 Nm3/hr)</t>
  </si>
  <si>
    <t>(Additional 75 Nm3/hr)</t>
  </si>
  <si>
    <t>BOKARO STEEL PLANT</t>
  </si>
  <si>
    <t>Gross  Margin (Cosidering 85% actualisation)</t>
  </si>
  <si>
    <t>Gross Margin (Considering 85% actualisation)</t>
  </si>
  <si>
    <t>Duration of furnace operation per annum</t>
  </si>
  <si>
    <t>Refractory</t>
  </si>
  <si>
    <t>Electrical &amp; PC&amp;A</t>
  </si>
  <si>
    <t>(Name of Plant)</t>
  </si>
  <si>
    <t>(Name of projects)</t>
  </si>
  <si>
    <t xml:space="preserve">Design &amp; Engineering </t>
  </si>
  <si>
    <t xml:space="preserve">Supply of Building steel structures including Sheeting and Glazing </t>
  </si>
  <si>
    <t xml:space="preserve">Civil Engineering Work including all related supplies- Others </t>
  </si>
  <si>
    <t xml:space="preserve">Storage, Handling, Erection of Plant &amp; Equipments &amp; Refractories including Commisioning and PG tests of the facilities </t>
  </si>
  <si>
    <t>Storage, Handling and Erection of Building Steel Structures</t>
  </si>
  <si>
    <r>
      <rPr>
        <b/>
        <u/>
        <sz val="12"/>
        <rFont val="Arial"/>
        <family val="2"/>
      </rPr>
      <t>Foreign</t>
    </r>
    <r>
      <rPr>
        <sz val="12"/>
        <rFont val="Arial"/>
        <family val="2"/>
      </rPr>
      <t xml:space="preserve"> Supervision charges in India during erection, startup, commissioning and PG test </t>
    </r>
    <r>
      <rPr>
        <b/>
        <sz val="12"/>
        <rFont val="Arial"/>
        <family val="2"/>
      </rPr>
      <t>for _____mandays</t>
    </r>
  </si>
  <si>
    <t>Training charges:                                                                    (a) For ___________ Foreign mandays,                                                   (b) For ___________Indian mandays</t>
  </si>
  <si>
    <t xml:space="preserve">Customs, Port clearance (excluding duties &amp; cess to be paid by Employer) and Inland transportation (for all items quoted in foreign currency) </t>
  </si>
  <si>
    <t>Comprehensive  / Transit Storage-cum-erection insurance</t>
  </si>
  <si>
    <t>Supply of 2 years O &amp; M spares</t>
  </si>
  <si>
    <t>Sub-total (1 to 13)</t>
  </si>
  <si>
    <t>BCD @5%  on CIF</t>
  </si>
  <si>
    <t>Sub-total (15)</t>
  </si>
  <si>
    <t>Total Package Cost  (14+15)</t>
  </si>
  <si>
    <t>Input tax credit (ITC) for GST</t>
  </si>
  <si>
    <t>Package cost net of ITC for GST (16-17)</t>
  </si>
  <si>
    <t>(M. K. Mishra)</t>
  </si>
  <si>
    <t>GM (Projects-CTE)</t>
  </si>
  <si>
    <t>Civil work incl. all related supplies -Equipment foundation</t>
  </si>
  <si>
    <t>Civil work incl. all related supplies - Others</t>
  </si>
  <si>
    <t xml:space="preserve">Erection of  Refractories </t>
  </si>
  <si>
    <t>Supply of 2 years O&amp;M spares</t>
  </si>
  <si>
    <t>ITC for GST</t>
  </si>
  <si>
    <t xml:space="preserve">Supply of Building steel structures including sheeting and glazing </t>
  </si>
  <si>
    <t>Comprehensive Marine / transit &amp; Storage-cum-erection insurance</t>
  </si>
  <si>
    <t>Sub-total (1 to 11)</t>
  </si>
  <si>
    <t xml:space="preserve">Total Package Cost </t>
  </si>
  <si>
    <t>Civil work incl. all related supplies -Others</t>
  </si>
  <si>
    <t>Civil work incl. all related supplies - Equipment foundation</t>
  </si>
  <si>
    <t xml:space="preserve">Ref. No.: CET-17(4)/4878/        </t>
  </si>
  <si>
    <t>Date: 15.07.2022</t>
  </si>
  <si>
    <t>CC Corrected value</t>
  </si>
  <si>
    <t>Difference</t>
  </si>
  <si>
    <t>Civil Engineering Work including all related supplies- Others</t>
  </si>
  <si>
    <t xml:space="preserve">Storage, Handling, Erection (including dismantling ) of Plant &amp; Equipments &amp; Refractories including Commisioning and PG tests of the facilities </t>
  </si>
  <si>
    <t>Package cost net of ITC for GST</t>
  </si>
  <si>
    <r>
      <rPr>
        <b/>
        <u/>
        <sz val="12"/>
        <rFont val="Arial"/>
        <family val="2"/>
      </rPr>
      <t>Foreign</t>
    </r>
    <r>
      <rPr>
        <sz val="12"/>
        <rFont val="Arial"/>
        <family val="2"/>
      </rPr>
      <t xml:space="preserve"> Supervision charges in India during erection, startup, commissioning and PG test </t>
    </r>
    <r>
      <rPr>
        <b/>
        <sz val="12"/>
        <rFont val="Arial"/>
        <family val="2"/>
      </rPr>
      <t>for ____mandays</t>
    </r>
  </si>
  <si>
    <t xml:space="preserve">CET/ 02/RN/4878/TS/IR/01/R=0 </t>
  </si>
  <si>
    <t xml:space="preserve">Ref. No.: CET-17(4)/4878-       </t>
  </si>
  <si>
    <t>Date: 04.03.2023</t>
  </si>
  <si>
    <t>TS No.: CET/ 02/RN/4878/TS/IR/01/R=0, November 2021</t>
  </si>
  <si>
    <t>₹ Crore</t>
  </si>
  <si>
    <t>included above</t>
  </si>
  <si>
    <t>Reconstruction of the unused Stove No. 4 in BF#2</t>
  </si>
  <si>
    <t>PRICE BID EVALUATION</t>
  </si>
  <si>
    <t>Comparative statement of the quoted prices w.r.t. estimate</t>
  </si>
  <si>
    <t>Estimate</t>
  </si>
  <si>
    <t>M/s Paul Wurth India Pvt. Ltd.</t>
  </si>
  <si>
    <t>M/s Primetals Technologies India Pvt. Ltd.</t>
  </si>
  <si>
    <t>Original</t>
  </si>
  <si>
    <t>Revised</t>
  </si>
  <si>
    <t>Incl. in Sl.No. 2</t>
  </si>
  <si>
    <t>Total Contract Price</t>
  </si>
  <si>
    <t>Total Contract Price net of ITC for GST</t>
  </si>
  <si>
    <t>Variation w.r.t. Estimate (in %)</t>
  </si>
  <si>
    <t>Date:01.04.2023</t>
  </si>
  <si>
    <t>Ref. No.: CET-17(4)/4878/54</t>
  </si>
  <si>
    <t>Ranking</t>
  </si>
  <si>
    <t>L-1</t>
  </si>
  <si>
    <t>L-2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</si>
</sst>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3" formatCode="_ * #,##0.00_ ;_ * \-#,##0.00_ ;_ * &quot;-&quot;??_ ;_ @_ "/>
    <numFmt numFmtId="164" formatCode="_(* #,##0.00_);_(* \(#,##0.00\);_(* &quot;-&quot;??_);_(@_)"/>
    <numFmt numFmtId="165" formatCode="0.00_)"/>
    <numFmt numFmtId="166" formatCode="0_)"/>
    <numFmt numFmtId="167" formatCode="0.0%"/>
    <numFmt numFmtId="168" formatCode="0.000_)"/>
    <numFmt numFmtId="169" formatCode="0.0_)"/>
    <numFmt numFmtId="170" formatCode="0.0000_)"/>
    <numFmt numFmtId="171" formatCode="&quot;Rs&quot;#,##0.00_);[Red]\(&quot;Rs&quot;#,##0.00\)"/>
    <numFmt numFmtId="172" formatCode="0.00000_)"/>
    <numFmt numFmtId="174" formatCode="0.000000_)"/>
    <numFmt numFmtId="175" formatCode="_-* #,##0_-;\-* #,##0_-;_-* &quot;-&quot;??_-;_-@_-"/>
    <numFmt numFmtId="176" formatCode="0.0"/>
    <numFmt numFmtId="177" formatCode="[$CAD]\ #,##0;\-[$CAD]\ #,##0"/>
    <numFmt numFmtId="178" formatCode="0.0000"/>
    <numFmt numFmtId="179" formatCode="_ * #,##0_ ;_ * \-#,##0_ ;_ * &quot;-&quot;??_ ;_ @_ "/>
    <numFmt numFmtId="180" formatCode="0.000"/>
    <numFmt numFmtId="182" formatCode="_(* #,##0.0000_);_(* \(#,##0.0000\);_(* &quot;-&quot;????_);_(@_)"/>
    <numFmt numFmtId="183" formatCode="0.0000000_)"/>
    <numFmt numFmtId="184" formatCode="0.00000000000"/>
  </numFmts>
  <fonts count="88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12"/>
      <name val="Arial"/>
      <family val="2"/>
    </font>
    <font>
      <b/>
      <sz val="12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i/>
      <sz val="12"/>
      <name val="Arial"/>
      <family val="2"/>
    </font>
    <font>
      <sz val="14"/>
      <color indexed="8"/>
      <name val="Arial"/>
      <family val="2"/>
    </font>
    <font>
      <b/>
      <sz val="10"/>
      <color indexed="8"/>
      <name val="Arial"/>
      <family val="2"/>
    </font>
    <font>
      <b/>
      <sz val="14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8"/>
      <name val="Arial"/>
      <family val="2"/>
    </font>
    <font>
      <b/>
      <sz val="14"/>
      <name val="Times New Roman"/>
      <family val="1"/>
    </font>
    <font>
      <sz val="12"/>
      <name val="Arial"/>
      <family val="2"/>
    </font>
    <font>
      <sz val="12"/>
      <color rgb="FF00B050"/>
      <name val="Arial"/>
      <family val="2"/>
    </font>
    <font>
      <b/>
      <sz val="11"/>
      <name val="Arial"/>
      <family val="2"/>
    </font>
    <font>
      <sz val="16"/>
      <name val="Arial"/>
      <family val="2"/>
    </font>
    <font>
      <sz val="10"/>
      <color theme="1"/>
      <name val="Times New Roman"/>
      <family val="1"/>
    </font>
    <font>
      <sz val="12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56"/>
      <name val="Arial"/>
      <family val="2"/>
    </font>
    <font>
      <sz val="10"/>
      <color indexed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indexed="56"/>
      <name val="Arial"/>
      <family val="2"/>
    </font>
    <font>
      <sz val="12"/>
      <name val="Arial"/>
      <family val="2"/>
    </font>
    <font>
      <sz val="10"/>
      <name val="Comic Sans MS"/>
      <family val="4"/>
    </font>
    <font>
      <vertAlign val="superscript"/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2"/>
      <name val="Calibri"/>
      <family val="2"/>
      <scheme val="minor"/>
    </font>
    <font>
      <b/>
      <vertAlign val="superscript"/>
      <sz val="12"/>
      <name val="Arial"/>
      <family val="2"/>
    </font>
    <font>
      <b/>
      <vertAlign val="subscript"/>
      <sz val="12"/>
      <name val="Arial"/>
      <family val="2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b/>
      <sz val="10"/>
      <color rgb="FF0000FF"/>
      <name val="Arial"/>
      <family val="2"/>
    </font>
    <font>
      <sz val="10"/>
      <color rgb="FF0000FF"/>
      <name val="Arial"/>
      <family val="2"/>
    </font>
    <font>
      <vertAlign val="superscript"/>
      <sz val="10"/>
      <name val="Calibri"/>
      <family val="2"/>
      <scheme val="minor"/>
    </font>
    <font>
      <sz val="12"/>
      <name val="Helv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4"/>
      <color theme="1"/>
      <name val="Arial"/>
      <family val="2"/>
    </font>
    <font>
      <sz val="11"/>
      <color rgb="FF000000"/>
      <name val="Calibri"/>
      <family val="2"/>
      <charset val="1"/>
    </font>
    <font>
      <u/>
      <sz val="12"/>
      <color theme="10"/>
      <name val="Arial"/>
      <family val="2"/>
    </font>
    <font>
      <u/>
      <sz val="11"/>
      <color rgb="FF0000FF"/>
      <name val="Calibri"/>
      <family val="2"/>
      <scheme val="minor"/>
    </font>
    <font>
      <sz val="10"/>
      <name val="Courier"/>
      <family val="3"/>
    </font>
    <font>
      <sz val="13"/>
      <name val="Arial"/>
      <family val="2"/>
    </font>
    <font>
      <b/>
      <sz val="13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rgb="FF00B0F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729">
    <xf numFmtId="165" fontId="0" fillId="0" borderId="0"/>
    <xf numFmtId="165" fontId="35" fillId="0" borderId="0"/>
    <xf numFmtId="9" fontId="1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9" fontId="16" fillId="0" borderId="0" applyFont="0" applyFill="0" applyBorder="0" applyAlignment="0" applyProtection="0"/>
    <xf numFmtId="0" fontId="14" fillId="0" borderId="0"/>
    <xf numFmtId="164" fontId="21" fillId="0" borderId="0"/>
    <xf numFmtId="0" fontId="13" fillId="0" borderId="0"/>
    <xf numFmtId="165" fontId="21" fillId="0" borderId="0"/>
    <xf numFmtId="0" fontId="12" fillId="0" borderId="0"/>
    <xf numFmtId="0" fontId="12" fillId="0" borderId="0"/>
    <xf numFmtId="165" fontId="21" fillId="0" borderId="0"/>
    <xf numFmtId="175" fontId="21" fillId="0" borderId="0"/>
    <xf numFmtId="177" fontId="16" fillId="0" borderId="0"/>
    <xf numFmtId="165" fontId="21" fillId="0" borderId="0"/>
    <xf numFmtId="0" fontId="16" fillId="0" borderId="0"/>
    <xf numFmtId="0" fontId="11" fillId="0" borderId="0"/>
    <xf numFmtId="165" fontId="21" fillId="0" borderId="0"/>
    <xf numFmtId="43" fontId="4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9" fillId="0" borderId="0"/>
    <xf numFmtId="0" fontId="65" fillId="7" borderId="0" applyNumberFormat="0" applyBorder="0" applyAlignment="0" applyProtection="0"/>
    <xf numFmtId="0" fontId="65" fillId="8" borderId="0" applyNumberFormat="0" applyBorder="0" applyAlignment="0" applyProtection="0"/>
    <xf numFmtId="0" fontId="65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1" borderId="0" applyNumberFormat="0" applyBorder="0" applyAlignment="0" applyProtection="0"/>
    <xf numFmtId="0" fontId="65" fillId="9" borderId="0" applyNumberFormat="0" applyBorder="0" applyAlignment="0" applyProtection="0"/>
    <xf numFmtId="0" fontId="65" fillId="11" borderId="0" applyNumberFormat="0" applyBorder="0" applyAlignment="0" applyProtection="0"/>
    <xf numFmtId="0" fontId="65" fillId="8" borderId="0" applyNumberFormat="0" applyBorder="0" applyAlignment="0" applyProtection="0"/>
    <xf numFmtId="0" fontId="65" fillId="12" borderId="0" applyNumberFormat="0" applyBorder="0" applyAlignment="0" applyProtection="0"/>
    <xf numFmtId="0" fontId="65" fillId="13" borderId="0" applyNumberFormat="0" applyBorder="0" applyAlignment="0" applyProtection="0"/>
    <xf numFmtId="0" fontId="65" fillId="11" borderId="0" applyNumberFormat="0" applyBorder="0" applyAlignment="0" applyProtection="0"/>
    <xf numFmtId="0" fontId="65" fillId="9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3" borderId="0" applyNumberFormat="0" applyBorder="0" applyAlignment="0" applyProtection="0"/>
    <xf numFmtId="0" fontId="66" fillId="11" borderId="0" applyNumberFormat="0" applyBorder="0" applyAlignment="0" applyProtection="0"/>
    <xf numFmtId="0" fontId="66" fillId="8" borderId="0" applyNumberFormat="0" applyBorder="0" applyAlignment="0" applyProtection="0"/>
    <xf numFmtId="0" fontId="66" fillId="16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7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7" fillId="20" borderId="0" applyNumberFormat="0" applyBorder="0" applyAlignment="0" applyProtection="0"/>
    <xf numFmtId="0" fontId="68" fillId="21" borderId="23" applyNumberFormat="0" applyAlignment="0" applyProtection="0"/>
    <xf numFmtId="0" fontId="69" fillId="22" borderId="24" applyNumberFormat="0" applyAlignment="0" applyProtection="0"/>
    <xf numFmtId="0" fontId="70" fillId="0" borderId="0" applyNumberFormat="0" applyFill="0" applyBorder="0" applyAlignment="0" applyProtection="0"/>
    <xf numFmtId="0" fontId="71" fillId="11" borderId="0" applyNumberFormat="0" applyBorder="0" applyAlignment="0" applyProtection="0"/>
    <xf numFmtId="0" fontId="72" fillId="0" borderId="25" applyNumberFormat="0" applyFill="0" applyAlignment="0" applyProtection="0"/>
    <xf numFmtId="0" fontId="73" fillId="0" borderId="26" applyNumberFormat="0" applyFill="0" applyAlignment="0" applyProtection="0"/>
    <xf numFmtId="0" fontId="74" fillId="0" borderId="27" applyNumberFormat="0" applyFill="0" applyAlignment="0" applyProtection="0"/>
    <xf numFmtId="0" fontId="74" fillId="0" borderId="0" applyNumberFormat="0" applyFill="0" applyBorder="0" applyAlignment="0" applyProtection="0"/>
    <xf numFmtId="0" fontId="75" fillId="12" borderId="23" applyNumberFormat="0" applyAlignment="0" applyProtection="0"/>
    <xf numFmtId="0" fontId="76" fillId="0" borderId="28" applyNumberFormat="0" applyFill="0" applyAlignment="0" applyProtection="0"/>
    <xf numFmtId="0" fontId="77" fillId="12" borderId="0" applyNumberFormat="0" applyBorder="0" applyAlignment="0" applyProtection="0"/>
    <xf numFmtId="165" fontId="21" fillId="0" borderId="0"/>
    <xf numFmtId="165" fontId="21" fillId="0" borderId="0"/>
    <xf numFmtId="165" fontId="21" fillId="0" borderId="0"/>
    <xf numFmtId="0" fontId="9" fillId="0" borderId="0"/>
    <xf numFmtId="0" fontId="9" fillId="0" borderId="0"/>
    <xf numFmtId="0" fontId="9" fillId="0" borderId="0"/>
    <xf numFmtId="0" fontId="9" fillId="0" borderId="0"/>
    <xf numFmtId="182" fontId="21" fillId="0" borderId="0"/>
    <xf numFmtId="172" fontId="21" fillId="0" borderId="0"/>
    <xf numFmtId="165" fontId="21" fillId="0" borderId="0"/>
    <xf numFmtId="165" fontId="21" fillId="0" borderId="0"/>
    <xf numFmtId="165" fontId="21" fillId="0" borderId="0"/>
    <xf numFmtId="165" fontId="21" fillId="0" borderId="0"/>
    <xf numFmtId="0" fontId="9" fillId="0" borderId="0"/>
    <xf numFmtId="0" fontId="16" fillId="9" borderId="29" applyNumberFormat="0" applyFont="0" applyAlignment="0" applyProtection="0"/>
    <xf numFmtId="0" fontId="78" fillId="21" borderId="30" applyNumberForma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79" fillId="0" borderId="0" applyNumberFormat="0" applyFill="0" applyBorder="0" applyAlignment="0" applyProtection="0"/>
    <xf numFmtId="0" fontId="80" fillId="0" borderId="31" applyNumberFormat="0" applyFill="0" applyAlignment="0" applyProtection="0"/>
    <xf numFmtId="0" fontId="76" fillId="0" borderId="0" applyNumberFormat="0" applyFill="0" applyBorder="0" applyAlignment="0" applyProtection="0"/>
    <xf numFmtId="0" fontId="8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2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2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21" fillId="0" borderId="0"/>
    <xf numFmtId="0" fontId="4" fillId="0" borderId="0"/>
    <xf numFmtId="165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82" fillId="0" borderId="0"/>
    <xf numFmtId="165" fontId="83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165" fontId="8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21" fillId="0" borderId="0"/>
    <xf numFmtId="0" fontId="16" fillId="0" borderId="0"/>
    <xf numFmtId="165" fontId="21" fillId="0" borderId="0"/>
    <xf numFmtId="165" fontId="21" fillId="0" borderId="0"/>
    <xf numFmtId="0" fontId="26" fillId="0" borderId="0"/>
    <xf numFmtId="0" fontId="26" fillId="0" borderId="0"/>
    <xf numFmtId="0" fontId="16" fillId="0" borderId="0"/>
    <xf numFmtId="0" fontId="16" fillId="0" borderId="0"/>
    <xf numFmtId="165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21" fillId="0" borderId="0"/>
    <xf numFmtId="0" fontId="3" fillId="0" borderId="0"/>
    <xf numFmtId="164" fontId="21" fillId="0" borderId="0"/>
    <xf numFmtId="0" fontId="81" fillId="0" borderId="0"/>
    <xf numFmtId="172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8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8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1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840">
    <xf numFmtId="165" fontId="0" fillId="0" borderId="0" xfId="0"/>
    <xf numFmtId="165" fontId="18" fillId="0" borderId="0" xfId="0" applyFont="1"/>
    <xf numFmtId="165" fontId="18" fillId="0" borderId="0" xfId="0" applyFont="1" applyAlignment="1">
      <alignment horizontal="left"/>
    </xf>
    <xf numFmtId="165" fontId="18" fillId="0" borderId="0" xfId="0" applyFont="1" applyAlignment="1">
      <alignment horizontal="center"/>
    </xf>
    <xf numFmtId="165" fontId="21" fillId="0" borderId="0" xfId="0" applyFont="1"/>
    <xf numFmtId="165" fontId="21" fillId="0" borderId="0" xfId="0" applyFont="1" applyAlignment="1">
      <alignment horizontal="right"/>
    </xf>
    <xf numFmtId="165" fontId="21" fillId="0" borderId="0" xfId="0" applyFont="1" applyAlignment="1">
      <alignment horizontal="center"/>
    </xf>
    <xf numFmtId="165" fontId="19" fillId="0" borderId="0" xfId="0" applyFont="1"/>
    <xf numFmtId="165" fontId="23" fillId="0" borderId="0" xfId="0" applyFont="1"/>
    <xf numFmtId="165" fontId="0" fillId="0" borderId="0" xfId="0" applyAlignment="1">
      <alignment horizontal="center"/>
    </xf>
    <xf numFmtId="165" fontId="20" fillId="0" borderId="0" xfId="0" applyFont="1"/>
    <xf numFmtId="166" fontId="0" fillId="0" borderId="0" xfId="0" applyNumberFormat="1"/>
    <xf numFmtId="165" fontId="21" fillId="0" borderId="4" xfId="0" applyFont="1" applyBorder="1"/>
    <xf numFmtId="165" fontId="21" fillId="0" borderId="5" xfId="0" applyFont="1" applyBorder="1"/>
    <xf numFmtId="165" fontId="21" fillId="0" borderId="4" xfId="0" applyFont="1" applyBorder="1" applyAlignment="1">
      <alignment horizontal="center"/>
    </xf>
    <xf numFmtId="165" fontId="20" fillId="0" borderId="0" xfId="0" applyFont="1" applyAlignment="1">
      <alignment horizontal="right"/>
    </xf>
    <xf numFmtId="165" fontId="22" fillId="0" borderId="0" xfId="0" applyFont="1"/>
    <xf numFmtId="165" fontId="27" fillId="0" borderId="0" xfId="0" applyFont="1"/>
    <xf numFmtId="9" fontId="27" fillId="0" borderId="0" xfId="2" applyFont="1" applyBorder="1"/>
    <xf numFmtId="165" fontId="0" fillId="0" borderId="4" xfId="0" applyBorder="1"/>
    <xf numFmtId="165" fontId="0" fillId="0" borderId="4" xfId="0" applyBorder="1" applyAlignment="1">
      <alignment horizontal="center"/>
    </xf>
    <xf numFmtId="165" fontId="28" fillId="0" borderId="0" xfId="0" applyFont="1"/>
    <xf numFmtId="165" fontId="29" fillId="0" borderId="0" xfId="0" applyFont="1"/>
    <xf numFmtId="169" fontId="28" fillId="0" borderId="0" xfId="0" applyNumberFormat="1" applyFont="1"/>
    <xf numFmtId="165" fontId="0" fillId="0" borderId="0" xfId="0" applyAlignment="1">
      <alignment horizontal="fill"/>
    </xf>
    <xf numFmtId="165" fontId="30" fillId="0" borderId="0" xfId="0" applyFont="1"/>
    <xf numFmtId="170" fontId="20" fillId="0" borderId="0" xfId="0" applyNumberFormat="1" applyFont="1"/>
    <xf numFmtId="165" fontId="28" fillId="0" borderId="0" xfId="0" applyFont="1" applyAlignment="1">
      <alignment horizontal="left"/>
    </xf>
    <xf numFmtId="2" fontId="21" fillId="0" borderId="0" xfId="0" applyNumberFormat="1" applyFont="1"/>
    <xf numFmtId="165" fontId="31" fillId="0" borderId="5" xfId="0" applyFont="1" applyBorder="1"/>
    <xf numFmtId="166" fontId="21" fillId="0" borderId="5" xfId="0" applyNumberFormat="1" applyFont="1" applyBorder="1" applyAlignment="1">
      <alignment horizontal="center"/>
    </xf>
    <xf numFmtId="166" fontId="20" fillId="0" borderId="0" xfId="0" applyNumberFormat="1" applyFont="1" applyAlignment="1">
      <alignment horizontal="right"/>
    </xf>
    <xf numFmtId="9" fontId="0" fillId="0" borderId="0" xfId="2" applyFont="1" applyBorder="1"/>
    <xf numFmtId="165" fontId="31" fillId="0" borderId="8" xfId="0" applyFont="1" applyBorder="1"/>
    <xf numFmtId="9" fontId="21" fillId="0" borderId="8" xfId="2" applyFont="1" applyBorder="1" applyAlignment="1" applyProtection="1">
      <alignment horizontal="right"/>
    </xf>
    <xf numFmtId="9" fontId="20" fillId="0" borderId="0" xfId="2" applyFont="1" applyBorder="1" applyAlignment="1" applyProtection="1">
      <alignment horizontal="right"/>
    </xf>
    <xf numFmtId="9" fontId="21" fillId="0" borderId="0" xfId="2" applyFont="1" applyBorder="1"/>
    <xf numFmtId="165" fontId="31" fillId="0" borderId="0" xfId="0" applyFont="1"/>
    <xf numFmtId="2" fontId="31" fillId="0" borderId="0" xfId="0" applyNumberFormat="1" applyFont="1"/>
    <xf numFmtId="165" fontId="0" fillId="0" borderId="8" xfId="0" applyBorder="1"/>
    <xf numFmtId="165" fontId="32" fillId="0" borderId="0" xfId="0" applyFont="1"/>
    <xf numFmtId="10" fontId="28" fillId="0" borderId="0" xfId="2" applyNumberFormat="1" applyFont="1" applyProtection="1"/>
    <xf numFmtId="166" fontId="0" fillId="0" borderId="0" xfId="0" applyNumberFormat="1" applyAlignment="1">
      <alignment horizontal="fill"/>
    </xf>
    <xf numFmtId="165" fontId="31" fillId="0" borderId="4" xfId="0" applyFont="1" applyBorder="1"/>
    <xf numFmtId="169" fontId="31" fillId="0" borderId="0" xfId="0" applyNumberFormat="1" applyFont="1"/>
    <xf numFmtId="9" fontId="32" fillId="0" borderId="0" xfId="0" applyNumberFormat="1" applyFont="1"/>
    <xf numFmtId="170" fontId="21" fillId="0" borderId="0" xfId="0" applyNumberFormat="1" applyFont="1"/>
    <xf numFmtId="165" fontId="31" fillId="0" borderId="14" xfId="0" applyFont="1" applyBorder="1"/>
    <xf numFmtId="166" fontId="31" fillId="0" borderId="8" xfId="0" applyNumberFormat="1" applyFont="1" applyBorder="1" applyAlignment="1">
      <alignment horizontal="center"/>
    </xf>
    <xf numFmtId="166" fontId="31" fillId="0" borderId="13" xfId="0" applyNumberFormat="1" applyFont="1" applyBorder="1" applyAlignment="1">
      <alignment horizontal="center"/>
    </xf>
    <xf numFmtId="166" fontId="28" fillId="0" borderId="0" xfId="0" applyNumberFormat="1" applyFont="1"/>
    <xf numFmtId="165" fontId="20" fillId="0" borderId="8" xfId="0" applyFont="1" applyBorder="1"/>
    <xf numFmtId="9" fontId="20" fillId="0" borderId="0" xfId="2" applyFont="1"/>
    <xf numFmtId="165" fontId="31" fillId="0" borderId="0" xfId="0" applyFont="1" applyAlignment="1">
      <alignment horizontal="right"/>
    </xf>
    <xf numFmtId="165" fontId="31" fillId="0" borderId="15" xfId="0" applyFont="1" applyBorder="1"/>
    <xf numFmtId="165" fontId="31" fillId="0" borderId="16" xfId="0" applyFont="1" applyBorder="1"/>
    <xf numFmtId="165" fontId="31" fillId="0" borderId="17" xfId="0" applyFont="1" applyBorder="1"/>
    <xf numFmtId="165" fontId="31" fillId="0" borderId="18" xfId="0" applyFont="1" applyBorder="1"/>
    <xf numFmtId="165" fontId="20" fillId="0" borderId="5" xfId="0" applyFont="1" applyBorder="1"/>
    <xf numFmtId="166" fontId="20" fillId="0" borderId="0" xfId="0" applyNumberFormat="1" applyFont="1" applyAlignment="1">
      <alignment horizontal="left"/>
    </xf>
    <xf numFmtId="165" fontId="24" fillId="0" borderId="0" xfId="0" applyFont="1" applyAlignment="1">
      <alignment horizontal="right"/>
    </xf>
    <xf numFmtId="166" fontId="21" fillId="0" borderId="0" xfId="0" applyNumberFormat="1" applyFont="1" applyAlignment="1">
      <alignment horizontal="right"/>
    </xf>
    <xf numFmtId="166" fontId="20" fillId="0" borderId="0" xfId="0" applyNumberFormat="1" applyFont="1"/>
    <xf numFmtId="10" fontId="21" fillId="0" borderId="0" xfId="2" applyNumberFormat="1" applyFont="1" applyFill="1" applyBorder="1" applyAlignment="1" applyProtection="1"/>
    <xf numFmtId="10" fontId="21" fillId="0" borderId="0" xfId="2" applyNumberFormat="1" applyFont="1"/>
    <xf numFmtId="165" fontId="0" fillId="0" borderId="0" xfId="0" quotePrefix="1"/>
    <xf numFmtId="166" fontId="20" fillId="0" borderId="4" xfId="0" applyNumberFormat="1" applyFont="1" applyBorder="1"/>
    <xf numFmtId="10" fontId="21" fillId="0" borderId="0" xfId="2" applyNumberFormat="1" applyFont="1" applyBorder="1"/>
    <xf numFmtId="166" fontId="20" fillId="0" borderId="0" xfId="0" applyNumberFormat="1" applyFont="1" applyAlignment="1">
      <alignment horizontal="center"/>
    </xf>
    <xf numFmtId="166" fontId="21" fillId="0" borderId="0" xfId="0" applyNumberFormat="1" applyFont="1" applyAlignment="1">
      <alignment horizontal="left"/>
    </xf>
    <xf numFmtId="166" fontId="21" fillId="0" borderId="0" xfId="0" applyNumberFormat="1" applyFont="1" applyAlignment="1">
      <alignment horizontal="center"/>
    </xf>
    <xf numFmtId="165" fontId="26" fillId="0" borderId="0" xfId="0" applyFont="1"/>
    <xf numFmtId="165" fontId="25" fillId="0" borderId="0" xfId="0" applyFont="1"/>
    <xf numFmtId="165" fontId="26" fillId="0" borderId="0" xfId="0" applyFont="1" applyAlignment="1">
      <alignment horizontal="center"/>
    </xf>
    <xf numFmtId="165" fontId="25" fillId="0" borderId="0" xfId="0" applyFont="1" applyAlignment="1">
      <alignment horizontal="center"/>
    </xf>
    <xf numFmtId="166" fontId="26" fillId="0" borderId="5" xfId="0" applyNumberFormat="1" applyFont="1" applyBorder="1" applyAlignment="1">
      <alignment horizontal="center"/>
    </xf>
    <xf numFmtId="165" fontId="26" fillId="0" borderId="5" xfId="0" applyFont="1" applyBorder="1" applyAlignment="1">
      <alignment horizontal="left"/>
    </xf>
    <xf numFmtId="2" fontId="19" fillId="0" borderId="0" xfId="0" applyNumberFormat="1" applyFont="1"/>
    <xf numFmtId="165" fontId="21" fillId="0" borderId="5" xfId="0" applyFont="1" applyBorder="1" applyAlignment="1">
      <alignment vertical="top" wrapText="1"/>
    </xf>
    <xf numFmtId="165" fontId="34" fillId="0" borderId="0" xfId="0" applyFont="1"/>
    <xf numFmtId="0" fontId="0" fillId="0" borderId="0" xfId="0" applyNumberFormat="1"/>
    <xf numFmtId="0" fontId="27" fillId="0" borderId="0" xfId="0" applyNumberFormat="1" applyFont="1"/>
    <xf numFmtId="0" fontId="21" fillId="0" borderId="0" xfId="0" applyNumberFormat="1" applyFont="1"/>
    <xf numFmtId="0" fontId="22" fillId="0" borderId="0" xfId="0" applyNumberFormat="1" applyFont="1"/>
    <xf numFmtId="2" fontId="0" fillId="0" borderId="0" xfId="0" applyNumberFormat="1"/>
    <xf numFmtId="10" fontId="21" fillId="0" borderId="0" xfId="2" applyNumberFormat="1" applyFont="1" applyAlignment="1">
      <alignment horizontal="center"/>
    </xf>
    <xf numFmtId="10" fontId="21" fillId="0" borderId="4" xfId="2" applyNumberFormat="1" applyFont="1" applyBorder="1" applyAlignment="1">
      <alignment horizontal="center"/>
    </xf>
    <xf numFmtId="165" fontId="21" fillId="0" borderId="5" xfId="0" applyFont="1" applyBorder="1" applyAlignment="1">
      <alignment horizontal="center"/>
    </xf>
    <xf numFmtId="165" fontId="18" fillId="0" borderId="0" xfId="0" applyFont="1" applyAlignment="1">
      <alignment vertical="top"/>
    </xf>
    <xf numFmtId="165" fontId="26" fillId="0" borderId="5" xfId="0" applyFont="1" applyBorder="1" applyAlignment="1">
      <alignment horizontal="center"/>
    </xf>
    <xf numFmtId="49" fontId="26" fillId="0" borderId="5" xfId="0" applyNumberFormat="1" applyFont="1" applyBorder="1" applyAlignment="1">
      <alignment horizontal="center"/>
    </xf>
    <xf numFmtId="166" fontId="21" fillId="0" borderId="5" xfId="0" applyNumberFormat="1" applyFont="1" applyBorder="1" applyAlignment="1">
      <alignment horizontal="center" vertical="top"/>
    </xf>
    <xf numFmtId="10" fontId="21" fillId="0" borderId="5" xfId="2" applyNumberFormat="1" applyFont="1" applyBorder="1" applyAlignment="1">
      <alignment horizontal="right" vertical="top"/>
    </xf>
    <xf numFmtId="165" fontId="21" fillId="0" borderId="5" xfId="0" applyFont="1" applyBorder="1" applyAlignment="1">
      <alignment horizontal="left" vertical="top" wrapText="1"/>
    </xf>
    <xf numFmtId="165" fontId="16" fillId="0" borderId="0" xfId="0" applyFont="1"/>
    <xf numFmtId="168" fontId="0" fillId="0" borderId="0" xfId="0" applyNumberFormat="1"/>
    <xf numFmtId="165" fontId="26" fillId="0" borderId="5" xfId="0" applyFont="1" applyBorder="1"/>
    <xf numFmtId="172" fontId="20" fillId="0" borderId="0" xfId="0" applyNumberFormat="1" applyFont="1"/>
    <xf numFmtId="172" fontId="20" fillId="0" borderId="0" xfId="2" applyNumberFormat="1" applyFont="1"/>
    <xf numFmtId="10" fontId="21" fillId="0" borderId="4" xfId="2" applyNumberFormat="1" applyFont="1" applyBorder="1"/>
    <xf numFmtId="165" fontId="21" fillId="0" borderId="0" xfId="0" applyFont="1" applyAlignment="1">
      <alignment vertical="top" wrapText="1"/>
    </xf>
    <xf numFmtId="165" fontId="36" fillId="0" borderId="0" xfId="0" applyFont="1"/>
    <xf numFmtId="165" fontId="36" fillId="0" borderId="8" xfId="0" applyFont="1" applyBorder="1"/>
    <xf numFmtId="165" fontId="34" fillId="0" borderId="0" xfId="0" applyFont="1" applyAlignment="1">
      <alignment horizontal="right"/>
    </xf>
    <xf numFmtId="165" fontId="21" fillId="0" borderId="4" xfId="0" quotePrefix="1" applyFont="1" applyBorder="1"/>
    <xf numFmtId="165" fontId="21" fillId="0" borderId="0" xfId="0" applyFont="1" applyAlignment="1">
      <alignment vertical="center"/>
    </xf>
    <xf numFmtId="165" fontId="18" fillId="0" borderId="0" xfId="0" applyFont="1" applyAlignment="1">
      <alignment horizontal="right"/>
    </xf>
    <xf numFmtId="10" fontId="0" fillId="0" borderId="0" xfId="2" applyNumberFormat="1" applyFont="1"/>
    <xf numFmtId="165" fontId="21" fillId="0" borderId="0" xfId="0" applyFont="1" applyAlignment="1">
      <alignment vertical="top"/>
    </xf>
    <xf numFmtId="10" fontId="0" fillId="0" borderId="4" xfId="2" applyNumberFormat="1" applyFont="1" applyBorder="1"/>
    <xf numFmtId="172" fontId="0" fillId="0" borderId="0" xfId="0" applyNumberFormat="1"/>
    <xf numFmtId="172" fontId="0" fillId="0" borderId="4" xfId="0" applyNumberFormat="1" applyBorder="1"/>
    <xf numFmtId="165" fontId="38" fillId="0" borderId="0" xfId="0" applyFont="1"/>
    <xf numFmtId="0" fontId="23" fillId="0" borderId="0" xfId="0" applyNumberFormat="1" applyFont="1"/>
    <xf numFmtId="0" fontId="21" fillId="0" borderId="5" xfId="0" applyNumberFormat="1" applyFont="1" applyBorder="1"/>
    <xf numFmtId="165" fontId="0" fillId="0" borderId="5" xfId="0" applyBorder="1" applyAlignment="1">
      <alignment horizontal="center"/>
    </xf>
    <xf numFmtId="0" fontId="31" fillId="0" borderId="0" xfId="0" applyNumberFormat="1" applyFont="1"/>
    <xf numFmtId="0" fontId="31" fillId="0" borderId="4" xfId="0" applyNumberFormat="1" applyFont="1" applyBorder="1"/>
    <xf numFmtId="0" fontId="21" fillId="0" borderId="4" xfId="0" applyNumberFormat="1" applyFont="1" applyBorder="1"/>
    <xf numFmtId="168" fontId="21" fillId="0" borderId="0" xfId="0" applyNumberFormat="1" applyFont="1"/>
    <xf numFmtId="2" fontId="31" fillId="0" borderId="4" xfId="0" applyNumberFormat="1" applyFont="1" applyBorder="1"/>
    <xf numFmtId="165" fontId="21" fillId="0" borderId="0" xfId="22" applyNumberFormat="1"/>
    <xf numFmtId="165" fontId="23" fillId="0" borderId="0" xfId="22" applyNumberFormat="1" applyFont="1" applyAlignment="1">
      <alignment horizontal="right"/>
    </xf>
    <xf numFmtId="0" fontId="14" fillId="0" borderId="0" xfId="15"/>
    <xf numFmtId="165" fontId="21" fillId="0" borderId="0" xfId="22" applyNumberFormat="1" applyAlignment="1">
      <alignment vertical="top"/>
    </xf>
    <xf numFmtId="165" fontId="21" fillId="2" borderId="0" xfId="22" applyNumberFormat="1" applyFill="1" applyAlignment="1">
      <alignment horizontal="right"/>
    </xf>
    <xf numFmtId="165" fontId="21" fillId="0" borderId="0" xfId="22" applyNumberFormat="1" applyAlignment="1">
      <alignment horizontal="right"/>
    </xf>
    <xf numFmtId="165" fontId="21" fillId="0" borderId="0" xfId="22" applyNumberFormat="1" applyAlignment="1">
      <alignment horizontal="left" vertical="top"/>
    </xf>
    <xf numFmtId="165" fontId="21" fillId="0" borderId="0" xfId="22" applyNumberFormat="1" applyAlignment="1">
      <alignment horizontal="left"/>
    </xf>
    <xf numFmtId="165" fontId="20" fillId="0" borderId="0" xfId="22" applyNumberFormat="1" applyFont="1" applyAlignment="1">
      <alignment horizontal="center"/>
    </xf>
    <xf numFmtId="165" fontId="21" fillId="0" borderId="0" xfId="22" applyNumberFormat="1" applyAlignment="1">
      <alignment horizontal="center"/>
    </xf>
    <xf numFmtId="3" fontId="18" fillId="0" borderId="19" xfId="15" applyNumberFormat="1" applyFont="1" applyBorder="1"/>
    <xf numFmtId="174" fontId="21" fillId="2" borderId="19" xfId="15" applyNumberFormat="1" applyFont="1" applyFill="1" applyBorder="1" applyAlignment="1">
      <alignment horizontal="right"/>
    </xf>
    <xf numFmtId="165" fontId="21" fillId="0" borderId="19" xfId="15" applyNumberFormat="1" applyFont="1" applyBorder="1" applyAlignment="1">
      <alignment horizontal="left"/>
    </xf>
    <xf numFmtId="165" fontId="21" fillId="0" borderId="19" xfId="22" applyNumberFormat="1" applyBorder="1"/>
    <xf numFmtId="165" fontId="18" fillId="0" borderId="19" xfId="15" applyNumberFormat="1" applyFont="1" applyBorder="1" applyAlignment="1">
      <alignment horizontal="left"/>
    </xf>
    <xf numFmtId="165" fontId="18" fillId="0" borderId="0" xfId="22" applyNumberFormat="1" applyFont="1" applyAlignment="1">
      <alignment horizontal="right"/>
    </xf>
    <xf numFmtId="165" fontId="18" fillId="0" borderId="0" xfId="15" applyNumberFormat="1" applyFont="1"/>
    <xf numFmtId="165" fontId="14" fillId="0" borderId="0" xfId="15" applyNumberFormat="1"/>
    <xf numFmtId="166" fontId="14" fillId="0" borderId="0" xfId="15" applyNumberFormat="1"/>
    <xf numFmtId="3" fontId="18" fillId="0" borderId="21" xfId="15" applyNumberFormat="1" applyFont="1" applyBorder="1" applyAlignment="1">
      <alignment horizontal="center" vertical="top"/>
    </xf>
    <xf numFmtId="174" fontId="18" fillId="0" borderId="22" xfId="15" applyNumberFormat="1" applyFont="1" applyBorder="1" applyAlignment="1">
      <alignment horizontal="center" vertical="top"/>
    </xf>
    <xf numFmtId="165" fontId="18" fillId="0" borderId="22" xfId="22" applyNumberFormat="1" applyFont="1" applyBorder="1" applyAlignment="1">
      <alignment horizontal="center" vertical="top"/>
    </xf>
    <xf numFmtId="174" fontId="18" fillId="0" borderId="21" xfId="15" applyNumberFormat="1" applyFont="1" applyBorder="1" applyAlignment="1">
      <alignment horizontal="center" vertical="top"/>
    </xf>
    <xf numFmtId="165" fontId="18" fillId="0" borderId="0" xfId="22" applyNumberFormat="1" applyFont="1" applyAlignment="1">
      <alignment horizontal="center"/>
    </xf>
    <xf numFmtId="165" fontId="18" fillId="0" borderId="0" xfId="22" applyNumberFormat="1" applyFont="1" applyAlignment="1">
      <alignment vertical="top" wrapText="1"/>
    </xf>
    <xf numFmtId="165" fontId="21" fillId="0" borderId="0" xfId="22" applyNumberFormat="1" applyAlignment="1">
      <alignment horizontal="center" vertical="center"/>
    </xf>
    <xf numFmtId="165" fontId="18" fillId="0" borderId="0" xfId="15" applyNumberFormat="1" applyFont="1" applyAlignment="1">
      <alignment horizontal="left"/>
    </xf>
    <xf numFmtId="176" fontId="21" fillId="0" borderId="0" xfId="22" applyNumberFormat="1" applyAlignment="1">
      <alignment horizontal="center"/>
    </xf>
    <xf numFmtId="165" fontId="22" fillId="0" borderId="0" xfId="15" applyNumberFormat="1" applyFont="1" applyAlignment="1">
      <alignment horizontal="right"/>
    </xf>
    <xf numFmtId="3" fontId="21" fillId="0" borderId="2" xfId="15" applyNumberFormat="1" applyFont="1" applyBorder="1" applyAlignment="1">
      <alignment horizontal="center" vertical="top"/>
    </xf>
    <xf numFmtId="174" fontId="21" fillId="0" borderId="2" xfId="15" applyNumberFormat="1" applyFont="1" applyBorder="1" applyAlignment="1">
      <alignment horizontal="left" vertical="top" wrapText="1"/>
    </xf>
    <xf numFmtId="165" fontId="21" fillId="0" borderId="9" xfId="15" applyNumberFormat="1" applyFont="1" applyBorder="1" applyAlignment="1">
      <alignment vertical="top"/>
    </xf>
    <xf numFmtId="165" fontId="21" fillId="0" borderId="9" xfId="22" applyNumberFormat="1" applyBorder="1" applyAlignment="1">
      <alignment vertical="top" wrapText="1"/>
    </xf>
    <xf numFmtId="165" fontId="21" fillId="0" borderId="2" xfId="22" applyNumberFormat="1" applyBorder="1" applyAlignment="1">
      <alignment vertical="top" wrapText="1"/>
    </xf>
    <xf numFmtId="0" fontId="40" fillId="0" borderId="0" xfId="15" applyFont="1" applyAlignment="1">
      <alignment vertical="top"/>
    </xf>
    <xf numFmtId="165" fontId="18" fillId="0" borderId="0" xfId="22" applyNumberFormat="1" applyFont="1" applyAlignment="1">
      <alignment horizontal="center" vertical="center"/>
    </xf>
    <xf numFmtId="165" fontId="21" fillId="0" borderId="0" xfId="22" applyNumberFormat="1" applyAlignment="1">
      <alignment horizontal="center" vertical="top"/>
    </xf>
    <xf numFmtId="165" fontId="21" fillId="0" borderId="0" xfId="22" applyNumberFormat="1" applyAlignment="1">
      <alignment vertical="top" wrapText="1"/>
    </xf>
    <xf numFmtId="2" fontId="21" fillId="0" borderId="0" xfId="22" applyNumberFormat="1" applyAlignment="1">
      <alignment vertical="top"/>
    </xf>
    <xf numFmtId="165" fontId="23" fillId="0" borderId="0" xfId="15" applyNumberFormat="1" applyFont="1"/>
    <xf numFmtId="1" fontId="14" fillId="0" borderId="0" xfId="15" applyNumberFormat="1" applyAlignment="1">
      <alignment vertical="top"/>
    </xf>
    <xf numFmtId="165" fontId="14" fillId="0" borderId="0" xfId="15" applyNumberFormat="1" applyAlignment="1">
      <alignment vertical="top"/>
    </xf>
    <xf numFmtId="172" fontId="21" fillId="0" borderId="2" xfId="16" applyNumberFormat="1" applyBorder="1" applyAlignment="1">
      <alignment vertical="top" wrapText="1"/>
    </xf>
    <xf numFmtId="165" fontId="21" fillId="0" borderId="9" xfId="22" applyNumberFormat="1" applyBorder="1" applyAlignment="1">
      <alignment vertical="top"/>
    </xf>
    <xf numFmtId="2" fontId="21" fillId="0" borderId="0" xfId="15" applyNumberFormat="1" applyFont="1" applyAlignment="1">
      <alignment vertical="top"/>
    </xf>
    <xf numFmtId="165" fontId="21" fillId="0" borderId="0" xfId="22" applyNumberFormat="1" applyAlignment="1">
      <alignment horizontal="right" vertical="top"/>
    </xf>
    <xf numFmtId="1" fontId="14" fillId="0" borderId="0" xfId="15" applyNumberFormat="1" applyAlignment="1">
      <alignment horizontal="center" vertical="top"/>
    </xf>
    <xf numFmtId="165" fontId="18" fillId="0" borderId="0" xfId="15" applyNumberFormat="1" applyFont="1" applyAlignment="1">
      <alignment horizontal="center" vertical="top"/>
    </xf>
    <xf numFmtId="165" fontId="14" fillId="0" borderId="0" xfId="15" applyNumberFormat="1" applyAlignment="1">
      <alignment horizontal="center" vertical="top"/>
    </xf>
    <xf numFmtId="165" fontId="14" fillId="0" borderId="0" xfId="15" applyNumberFormat="1" applyAlignment="1">
      <alignment horizontal="right" vertical="top"/>
    </xf>
    <xf numFmtId="165" fontId="14" fillId="0" borderId="0" xfId="15" applyNumberFormat="1" applyAlignment="1">
      <alignment horizontal="left"/>
    </xf>
    <xf numFmtId="2" fontId="21" fillId="0" borderId="9" xfId="22" applyNumberFormat="1" applyBorder="1" applyAlignment="1">
      <alignment vertical="top"/>
    </xf>
    <xf numFmtId="2" fontId="21" fillId="0" borderId="0" xfId="22" applyNumberFormat="1"/>
    <xf numFmtId="2" fontId="21" fillId="0" borderId="0" xfId="22" applyNumberFormat="1" applyAlignment="1">
      <alignment vertical="top" wrapText="1"/>
    </xf>
    <xf numFmtId="166" fontId="21" fillId="0" borderId="0" xfId="22" applyNumberFormat="1" applyAlignment="1">
      <alignment horizontal="center" vertical="top" wrapText="1"/>
    </xf>
    <xf numFmtId="165" fontId="14" fillId="0" borderId="0" xfId="15" applyNumberFormat="1" applyAlignment="1">
      <alignment horizontal="left" vertical="top" wrapText="1"/>
    </xf>
    <xf numFmtId="174" fontId="21" fillId="0" borderId="2" xfId="15" applyNumberFormat="1" applyFont="1" applyBorder="1" applyAlignment="1">
      <alignment vertical="top"/>
    </xf>
    <xf numFmtId="165" fontId="21" fillId="0" borderId="0" xfId="15" applyNumberFormat="1" applyFont="1" applyAlignment="1">
      <alignment vertical="top"/>
    </xf>
    <xf numFmtId="165" fontId="22" fillId="0" borderId="0" xfId="15" applyNumberFormat="1" applyFont="1" applyAlignment="1">
      <alignment horizontal="center"/>
    </xf>
    <xf numFmtId="165" fontId="22" fillId="0" borderId="0" xfId="15" applyNumberFormat="1" applyFont="1"/>
    <xf numFmtId="165" fontId="16" fillId="0" borderId="0" xfId="15" applyNumberFormat="1" applyFont="1" applyAlignment="1">
      <alignment horizontal="center"/>
    </xf>
    <xf numFmtId="165" fontId="43" fillId="0" borderId="0" xfId="15" applyNumberFormat="1" applyFont="1" applyAlignment="1">
      <alignment vertical="top"/>
    </xf>
    <xf numFmtId="0" fontId="14" fillId="0" borderId="0" xfId="15" applyAlignment="1">
      <alignment vertical="top"/>
    </xf>
    <xf numFmtId="174" fontId="21" fillId="0" borderId="2" xfId="15" applyNumberFormat="1" applyFont="1" applyBorder="1" applyAlignment="1">
      <alignment vertical="top" wrapText="1"/>
    </xf>
    <xf numFmtId="165" fontId="21" fillId="0" borderId="9" xfId="15" applyNumberFormat="1" applyFont="1" applyBorder="1" applyAlignment="1">
      <alignment vertical="top" wrapText="1"/>
    </xf>
    <xf numFmtId="2" fontId="21" fillId="0" borderId="9" xfId="22" applyNumberFormat="1" applyBorder="1" applyAlignment="1">
      <alignment vertical="top" wrapText="1"/>
    </xf>
    <xf numFmtId="169" fontId="21" fillId="0" borderId="0" xfId="22" applyNumberFormat="1" applyAlignment="1">
      <alignment horizontal="center" vertical="top"/>
    </xf>
    <xf numFmtId="1" fontId="16" fillId="0" borderId="0" xfId="15" applyNumberFormat="1" applyFont="1" applyAlignment="1">
      <alignment horizontal="center" vertical="top"/>
    </xf>
    <xf numFmtId="165" fontId="26" fillId="0" borderId="0" xfId="15" applyNumberFormat="1" applyFont="1" applyAlignment="1">
      <alignment vertical="top" wrapText="1"/>
    </xf>
    <xf numFmtId="165" fontId="26" fillId="0" borderId="0" xfId="15" applyNumberFormat="1" applyFont="1" applyAlignment="1">
      <alignment horizontal="center" vertical="top" wrapText="1"/>
    </xf>
    <xf numFmtId="166" fontId="26" fillId="0" borderId="0" xfId="15" applyNumberFormat="1" applyFont="1" applyAlignment="1">
      <alignment horizontal="center" vertical="top" wrapText="1"/>
    </xf>
    <xf numFmtId="166" fontId="26" fillId="0" borderId="0" xfId="15" applyNumberFormat="1" applyFont="1" applyAlignment="1">
      <alignment vertical="top" wrapText="1"/>
    </xf>
    <xf numFmtId="166" fontId="14" fillId="0" borderId="0" xfId="15" applyNumberFormat="1" applyAlignment="1">
      <alignment horizontal="center"/>
    </xf>
    <xf numFmtId="0" fontId="14" fillId="0" borderId="0" xfId="15" applyAlignment="1">
      <alignment horizontal="center" vertical="top"/>
    </xf>
    <xf numFmtId="2" fontId="21" fillId="0" borderId="9" xfId="15" applyNumberFormat="1" applyFont="1" applyBorder="1" applyAlignment="1">
      <alignment vertical="top"/>
    </xf>
    <xf numFmtId="165" fontId="21" fillId="0" borderId="0" xfId="22" applyNumberFormat="1" applyAlignment="1">
      <alignment wrapText="1"/>
    </xf>
    <xf numFmtId="1" fontId="16" fillId="0" borderId="0" xfId="15" applyNumberFormat="1" applyFont="1" applyAlignment="1">
      <alignment horizontal="center"/>
    </xf>
    <xf numFmtId="0" fontId="14" fillId="0" borderId="0" xfId="15" applyAlignment="1">
      <alignment horizontal="center"/>
    </xf>
    <xf numFmtId="2" fontId="40" fillId="0" borderId="0" xfId="15" applyNumberFormat="1" applyFont="1" applyAlignment="1">
      <alignment horizontal="center" vertical="top"/>
    </xf>
    <xf numFmtId="165" fontId="16" fillId="0" borderId="0" xfId="15" applyNumberFormat="1" applyFont="1" applyAlignment="1">
      <alignment horizontal="right"/>
    </xf>
    <xf numFmtId="3" fontId="21" fillId="0" borderId="10" xfId="15" applyNumberFormat="1" applyFont="1" applyBorder="1" applyAlignment="1">
      <alignment horizontal="center" vertical="top"/>
    </xf>
    <xf numFmtId="174" fontId="21" fillId="0" borderId="10" xfId="15" applyNumberFormat="1" applyFont="1" applyBorder="1" applyAlignment="1">
      <alignment vertical="top" wrapText="1"/>
    </xf>
    <xf numFmtId="165" fontId="18" fillId="0" borderId="0" xfId="22" applyNumberFormat="1" applyFont="1" applyAlignment="1">
      <alignment horizontal="center" vertical="top"/>
    </xf>
    <xf numFmtId="165" fontId="18" fillId="0" borderId="0" xfId="22" applyNumberFormat="1" applyFont="1" applyAlignment="1">
      <alignment vertical="top"/>
    </xf>
    <xf numFmtId="165" fontId="16" fillId="0" borderId="0" xfId="15" applyNumberFormat="1" applyFont="1" applyAlignment="1">
      <alignment horizontal="left" vertical="top" wrapText="1"/>
    </xf>
    <xf numFmtId="166" fontId="14" fillId="0" borderId="0" xfId="15" applyNumberFormat="1" applyAlignment="1">
      <alignment horizontal="center" vertical="top"/>
    </xf>
    <xf numFmtId="165" fontId="16" fillId="0" borderId="0" xfId="15" applyNumberFormat="1" applyFont="1" applyAlignment="1">
      <alignment horizontal="right" vertical="top"/>
    </xf>
    <xf numFmtId="174" fontId="18" fillId="0" borderId="10" xfId="15" applyNumberFormat="1" applyFont="1" applyBorder="1" applyAlignment="1">
      <alignment horizontal="right" vertical="top" wrapText="1"/>
    </xf>
    <xf numFmtId="165" fontId="18" fillId="0" borderId="9" xfId="15" applyNumberFormat="1" applyFont="1" applyBorder="1" applyAlignment="1">
      <alignment vertical="top"/>
    </xf>
    <xf numFmtId="165" fontId="18" fillId="0" borderId="2" xfId="22" applyNumberFormat="1" applyFont="1" applyBorder="1" applyAlignment="1">
      <alignment vertical="top" wrapText="1"/>
    </xf>
    <xf numFmtId="2" fontId="21" fillId="0" borderId="0" xfId="22" applyNumberFormat="1" applyAlignment="1">
      <alignment horizontal="right"/>
    </xf>
    <xf numFmtId="166" fontId="18" fillId="0" borderId="0" xfId="22" applyNumberFormat="1" applyFont="1" applyAlignment="1">
      <alignment horizontal="center"/>
    </xf>
    <xf numFmtId="165" fontId="18" fillId="0" borderId="0" xfId="22" applyNumberFormat="1" applyFont="1" applyAlignment="1">
      <alignment horizontal="left"/>
    </xf>
    <xf numFmtId="165" fontId="18" fillId="0" borderId="0" xfId="22" applyNumberFormat="1" applyFont="1"/>
    <xf numFmtId="174" fontId="18" fillId="0" borderId="9" xfId="15" applyNumberFormat="1" applyFont="1" applyBorder="1" applyAlignment="1">
      <alignment vertical="top"/>
    </xf>
    <xf numFmtId="165" fontId="18" fillId="0" borderId="20" xfId="15" applyNumberFormat="1" applyFont="1" applyBorder="1" applyAlignment="1">
      <alignment vertical="top"/>
    </xf>
    <xf numFmtId="2" fontId="18" fillId="0" borderId="20" xfId="22" applyNumberFormat="1" applyFont="1" applyBorder="1" applyAlignment="1">
      <alignment vertical="top"/>
    </xf>
    <xf numFmtId="165" fontId="21" fillId="0" borderId="9" xfId="22" applyNumberFormat="1" applyBorder="1"/>
    <xf numFmtId="1" fontId="16" fillId="0" borderId="0" xfId="15" applyNumberFormat="1" applyFont="1" applyAlignment="1">
      <alignment horizontal="right"/>
    </xf>
    <xf numFmtId="165" fontId="22" fillId="0" borderId="0" xfId="15" applyNumberFormat="1" applyFont="1" applyAlignment="1">
      <alignment horizontal="right" wrapText="1"/>
    </xf>
    <xf numFmtId="166" fontId="22" fillId="0" borderId="0" xfId="15" applyNumberFormat="1" applyFont="1" applyAlignment="1">
      <alignment horizontal="right"/>
    </xf>
    <xf numFmtId="3" fontId="21" fillId="0" borderId="2" xfId="15" applyNumberFormat="1" applyFont="1" applyBorder="1" applyAlignment="1">
      <alignment horizontal="right" vertical="top"/>
    </xf>
    <xf numFmtId="174" fontId="21" fillId="0" borderId="0" xfId="15" applyNumberFormat="1" applyFont="1" applyAlignment="1">
      <alignment vertical="top"/>
    </xf>
    <xf numFmtId="165" fontId="21" fillId="0" borderId="2" xfId="16" applyNumberFormat="1" applyBorder="1" applyAlignment="1">
      <alignment vertical="top"/>
    </xf>
    <xf numFmtId="165" fontId="22" fillId="0" borderId="0" xfId="15" applyNumberFormat="1" applyFont="1" applyAlignment="1">
      <alignment horizontal="left"/>
    </xf>
    <xf numFmtId="165" fontId="16" fillId="0" borderId="0" xfId="15" applyNumberFormat="1" applyFont="1" applyAlignment="1">
      <alignment horizontal="left"/>
    </xf>
    <xf numFmtId="165" fontId="42" fillId="0" borderId="0" xfId="15" applyNumberFormat="1" applyFont="1"/>
    <xf numFmtId="165" fontId="21" fillId="0" borderId="12" xfId="15" applyNumberFormat="1" applyFont="1" applyBorder="1" applyAlignment="1">
      <alignment vertical="top"/>
    </xf>
    <xf numFmtId="165" fontId="21" fillId="0" borderId="10" xfId="16" applyNumberFormat="1" applyBorder="1" applyAlignment="1">
      <alignment vertical="top"/>
    </xf>
    <xf numFmtId="165" fontId="21" fillId="0" borderId="10" xfId="22" applyNumberFormat="1" applyBorder="1" applyAlignment="1">
      <alignment vertical="top" wrapText="1"/>
    </xf>
    <xf numFmtId="165" fontId="16" fillId="0" borderId="0" xfId="15" applyNumberFormat="1" applyFont="1"/>
    <xf numFmtId="3" fontId="14" fillId="0" borderId="12" xfId="15" applyNumberFormat="1" applyBorder="1" applyAlignment="1">
      <alignment horizontal="right" vertical="top"/>
    </xf>
    <xf numFmtId="174" fontId="18" fillId="0" borderId="5" xfId="15" applyNumberFormat="1" applyFont="1" applyBorder="1" applyAlignment="1">
      <alignment horizontal="right" vertical="top" wrapText="1"/>
    </xf>
    <xf numFmtId="170" fontId="21" fillId="0" borderId="2" xfId="16" applyNumberFormat="1" applyBorder="1" applyAlignment="1">
      <alignment vertical="top"/>
    </xf>
    <xf numFmtId="176" fontId="21" fillId="0" borderId="0" xfId="22" applyNumberFormat="1"/>
    <xf numFmtId="165" fontId="16" fillId="0" borderId="0" xfId="15" applyNumberFormat="1" applyFont="1" applyAlignment="1">
      <alignment wrapText="1"/>
    </xf>
    <xf numFmtId="165" fontId="16" fillId="0" borderId="0" xfId="15" applyNumberFormat="1" applyFont="1" applyAlignment="1">
      <alignment horizontal="center" vertical="top"/>
    </xf>
    <xf numFmtId="3" fontId="21" fillId="0" borderId="5" xfId="15" applyNumberFormat="1" applyFont="1" applyBorder="1" applyAlignment="1">
      <alignment horizontal="center" vertical="top"/>
    </xf>
    <xf numFmtId="174" fontId="18" fillId="0" borderId="5" xfId="15" applyNumberFormat="1" applyFont="1" applyBorder="1" applyAlignment="1">
      <alignment vertical="top"/>
    </xf>
    <xf numFmtId="165" fontId="18" fillId="0" borderId="5" xfId="15" applyNumberFormat="1" applyFont="1" applyBorder="1" applyAlignment="1">
      <alignment vertical="top"/>
    </xf>
    <xf numFmtId="166" fontId="16" fillId="0" borderId="0" xfId="15" applyNumberFormat="1" applyFont="1" applyAlignment="1">
      <alignment horizontal="right"/>
    </xf>
    <xf numFmtId="3" fontId="21" fillId="0" borderId="1" xfId="15" applyNumberFormat="1" applyFont="1" applyBorder="1" applyAlignment="1">
      <alignment horizontal="center" vertical="top"/>
    </xf>
    <xf numFmtId="174" fontId="21" fillId="0" borderId="3" xfId="15" applyNumberFormat="1" applyFont="1" applyBorder="1" applyAlignment="1">
      <alignment vertical="top"/>
    </xf>
    <xf numFmtId="165" fontId="21" fillId="0" borderId="2" xfId="15" applyNumberFormat="1" applyFont="1" applyBorder="1" applyAlignment="1">
      <alignment vertical="top"/>
    </xf>
    <xf numFmtId="165" fontId="21" fillId="0" borderId="1" xfId="15" applyNumberFormat="1" applyFont="1" applyBorder="1" applyAlignment="1">
      <alignment vertical="top"/>
    </xf>
    <xf numFmtId="165" fontId="18" fillId="0" borderId="5" xfId="22" applyNumberFormat="1" applyFont="1" applyBorder="1" applyAlignment="1">
      <alignment vertical="top"/>
    </xf>
    <xf numFmtId="176" fontId="16" fillId="0" borderId="0" xfId="13" applyNumberFormat="1" applyAlignment="1">
      <alignment horizontal="right" vertical="top" wrapText="1"/>
    </xf>
    <xf numFmtId="2" fontId="22" fillId="0" borderId="0" xfId="22" applyNumberFormat="1" applyFont="1"/>
    <xf numFmtId="165" fontId="22" fillId="0" borderId="0" xfId="22" applyNumberFormat="1" applyFont="1" applyAlignment="1">
      <alignment wrapText="1"/>
    </xf>
    <xf numFmtId="165" fontId="44" fillId="0" borderId="0" xfId="22" applyNumberFormat="1" applyFont="1"/>
    <xf numFmtId="165" fontId="21" fillId="2" borderId="0" xfId="15" applyNumberFormat="1" applyFont="1" applyFill="1" applyAlignment="1">
      <alignment horizontal="right"/>
    </xf>
    <xf numFmtId="165" fontId="21" fillId="0" borderId="0" xfId="15" applyNumberFormat="1" applyFont="1" applyAlignment="1">
      <alignment horizontal="right"/>
    </xf>
    <xf numFmtId="174" fontId="21" fillId="0" borderId="5" xfId="15" applyNumberFormat="1" applyFont="1" applyBorder="1" applyAlignment="1">
      <alignment horizontal="right"/>
    </xf>
    <xf numFmtId="165" fontId="21" fillId="2" borderId="5" xfId="22" applyNumberFormat="1" applyFill="1" applyBorder="1" applyAlignment="1">
      <alignment horizontal="left" vertical="top"/>
    </xf>
    <xf numFmtId="165" fontId="21" fillId="2" borderId="5" xfId="15" applyNumberFormat="1" applyFont="1" applyFill="1" applyBorder="1" applyAlignment="1">
      <alignment horizontal="right" vertical="top"/>
    </xf>
    <xf numFmtId="0" fontId="39" fillId="5" borderId="0" xfId="16" applyNumberFormat="1" applyFont="1" applyFill="1" applyAlignment="1">
      <alignment horizontal="left" vertical="top" wrapText="1"/>
    </xf>
    <xf numFmtId="0" fontId="42" fillId="0" borderId="0" xfId="15" applyFont="1" applyAlignment="1">
      <alignment vertical="top"/>
    </xf>
    <xf numFmtId="165" fontId="21" fillId="2" borderId="5" xfId="15" quotePrefix="1" applyNumberFormat="1" applyFont="1" applyFill="1" applyBorder="1" applyAlignment="1">
      <alignment horizontal="right" vertical="top"/>
    </xf>
    <xf numFmtId="0" fontId="41" fillId="0" borderId="0" xfId="15" applyFont="1" applyAlignment="1">
      <alignment vertical="top" wrapText="1"/>
    </xf>
    <xf numFmtId="0" fontId="41" fillId="0" borderId="0" xfId="15" applyFont="1" applyAlignment="1">
      <alignment vertical="top"/>
    </xf>
    <xf numFmtId="1" fontId="41" fillId="0" borderId="0" xfId="15" applyNumberFormat="1" applyFont="1" applyAlignment="1">
      <alignment vertical="top"/>
    </xf>
    <xf numFmtId="165" fontId="21" fillId="0" borderId="5" xfId="22" applyNumberFormat="1" applyBorder="1" applyAlignment="1">
      <alignment horizontal="right" vertical="top" wrapText="1"/>
    </xf>
    <xf numFmtId="167" fontId="21" fillId="2" borderId="5" xfId="2" applyNumberFormat="1" applyFont="1" applyFill="1" applyBorder="1" applyAlignment="1">
      <alignment horizontal="left" vertical="top" wrapText="1"/>
    </xf>
    <xf numFmtId="165" fontId="21" fillId="0" borderId="5" xfId="15" quotePrefix="1" applyNumberFormat="1" applyFont="1" applyBorder="1" applyAlignment="1">
      <alignment horizontal="right"/>
    </xf>
    <xf numFmtId="165" fontId="21" fillId="0" borderId="5" xfId="22" applyNumberFormat="1" applyBorder="1"/>
    <xf numFmtId="165" fontId="21" fillId="0" borderId="0" xfId="15" quotePrefix="1" applyNumberFormat="1" applyFont="1" applyAlignment="1">
      <alignment horizontal="right"/>
    </xf>
    <xf numFmtId="165" fontId="21" fillId="0" borderId="14" xfId="22" applyNumberFormat="1" applyBorder="1" applyAlignment="1">
      <alignment horizontal="right" vertical="top" wrapText="1"/>
    </xf>
    <xf numFmtId="3" fontId="21" fillId="0" borderId="1" xfId="15" applyNumberFormat="1" applyFont="1" applyBorder="1" applyAlignment="1">
      <alignment horizontal="center"/>
    </xf>
    <xf numFmtId="174" fontId="21" fillId="0" borderId="14" xfId="15" applyNumberFormat="1" applyFont="1" applyBorder="1"/>
    <xf numFmtId="165" fontId="16" fillId="0" borderId="5" xfId="15" applyNumberFormat="1" applyFont="1" applyBorder="1"/>
    <xf numFmtId="0" fontId="45" fillId="0" borderId="0" xfId="16" applyNumberFormat="1" applyFont="1" applyAlignment="1">
      <alignment vertical="top" wrapText="1"/>
    </xf>
    <xf numFmtId="3" fontId="21" fillId="0" borderId="10" xfId="15" applyNumberFormat="1" applyFont="1" applyBorder="1" applyAlignment="1">
      <alignment horizontal="center"/>
    </xf>
    <xf numFmtId="165" fontId="14" fillId="0" borderId="12" xfId="15" applyNumberFormat="1" applyBorder="1" applyAlignment="1">
      <alignment horizontal="center"/>
    </xf>
    <xf numFmtId="165" fontId="16" fillId="0" borderId="5" xfId="15" applyNumberFormat="1" applyFont="1" applyBorder="1" applyAlignment="1">
      <alignment horizontal="center" vertical="center" wrapText="1"/>
    </xf>
    <xf numFmtId="165" fontId="16" fillId="0" borderId="5" xfId="15" applyNumberFormat="1" applyFont="1" applyBorder="1" applyAlignment="1">
      <alignment vertical="center" wrapText="1"/>
    </xf>
    <xf numFmtId="165" fontId="21" fillId="0" borderId="5" xfId="0" applyFont="1" applyBorder="1" applyAlignment="1">
      <alignment horizontal="center" vertical="center" wrapText="1"/>
    </xf>
    <xf numFmtId="165" fontId="16" fillId="0" borderId="5" xfId="15" applyNumberFormat="1" applyFont="1" applyBorder="1" applyAlignment="1">
      <alignment horizontal="center" vertical="top" wrapText="1"/>
    </xf>
    <xf numFmtId="165" fontId="16" fillId="0" borderId="5" xfId="15" applyNumberFormat="1" applyFont="1" applyBorder="1" applyAlignment="1">
      <alignment horizontal="center" vertical="center"/>
    </xf>
    <xf numFmtId="0" fontId="14" fillId="0" borderId="0" xfId="15" applyAlignment="1">
      <alignment vertical="top" wrapText="1"/>
    </xf>
    <xf numFmtId="167" fontId="16" fillId="2" borderId="5" xfId="2" applyNumberFormat="1" applyFont="1" applyFill="1" applyBorder="1" applyAlignment="1">
      <alignment horizontal="center" vertical="center" wrapText="1"/>
    </xf>
    <xf numFmtId="167" fontId="16" fillId="0" borderId="5" xfId="2" applyNumberFormat="1" applyFont="1" applyBorder="1" applyAlignment="1">
      <alignment horizontal="center" vertical="center" wrapText="1"/>
    </xf>
    <xf numFmtId="167" fontId="17" fillId="0" borderId="5" xfId="2" applyNumberFormat="1" applyFont="1" applyFill="1" applyBorder="1" applyAlignment="1" applyProtection="1">
      <alignment horizontal="center" vertical="center" wrapText="1"/>
    </xf>
    <xf numFmtId="9" fontId="16" fillId="2" borderId="5" xfId="2" applyFont="1" applyFill="1" applyBorder="1" applyAlignment="1">
      <alignment horizontal="center" vertical="center"/>
    </xf>
    <xf numFmtId="174" fontId="21" fillId="0" borderId="14" xfId="15" applyNumberFormat="1" applyFont="1" applyBorder="1" applyAlignment="1">
      <alignment vertical="top"/>
    </xf>
    <xf numFmtId="165" fontId="21" fillId="0" borderId="5" xfId="15" applyNumberFormat="1" applyFont="1" applyBorder="1" applyAlignment="1">
      <alignment horizontal="right" vertical="top"/>
    </xf>
    <xf numFmtId="2" fontId="40" fillId="0" borderId="5" xfId="15" applyNumberFormat="1" applyFont="1" applyBorder="1" applyAlignment="1">
      <alignment vertical="top"/>
    </xf>
    <xf numFmtId="165" fontId="18" fillId="0" borderId="5" xfId="15" applyNumberFormat="1" applyFont="1" applyBorder="1" applyAlignment="1">
      <alignment horizontal="center"/>
    </xf>
    <xf numFmtId="2" fontId="21" fillId="0" borderId="5" xfId="15" applyNumberFormat="1" applyFont="1" applyBorder="1" applyAlignment="1">
      <alignment horizontal="right" vertical="top"/>
    </xf>
    <xf numFmtId="3" fontId="21" fillId="0" borderId="5" xfId="15" applyNumberFormat="1" applyFont="1" applyBorder="1" applyAlignment="1">
      <alignment horizontal="center"/>
    </xf>
    <xf numFmtId="174" fontId="21" fillId="0" borderId="14" xfId="15" applyNumberFormat="1" applyFont="1" applyBorder="1" applyAlignment="1">
      <alignment wrapText="1"/>
    </xf>
    <xf numFmtId="165" fontId="21" fillId="0" borderId="5" xfId="15" applyNumberFormat="1" applyFont="1" applyBorder="1" applyAlignment="1">
      <alignment horizontal="right"/>
    </xf>
    <xf numFmtId="2" fontId="21" fillId="0" borderId="5" xfId="15" applyNumberFormat="1" applyFont="1" applyBorder="1" applyAlignment="1">
      <alignment horizontal="right"/>
    </xf>
    <xf numFmtId="0" fontId="45" fillId="0" borderId="0" xfId="16" applyNumberFormat="1" applyFont="1" applyAlignment="1">
      <alignment horizontal="left" vertical="top" wrapText="1"/>
    </xf>
    <xf numFmtId="0" fontId="21" fillId="0" borderId="0" xfId="16" applyNumberFormat="1" applyAlignment="1">
      <alignment vertical="top"/>
    </xf>
    <xf numFmtId="174" fontId="21" fillId="0" borderId="0" xfId="15" applyNumberFormat="1" applyFont="1" applyAlignment="1">
      <alignment vertical="top" wrapText="1"/>
    </xf>
    <xf numFmtId="174" fontId="21" fillId="0" borderId="5" xfId="15" applyNumberFormat="1" applyFont="1" applyBorder="1" applyAlignment="1">
      <alignment vertical="top" wrapText="1"/>
    </xf>
    <xf numFmtId="174" fontId="21" fillId="0" borderId="14" xfId="15" applyNumberFormat="1" applyFont="1" applyBorder="1" applyAlignment="1">
      <alignment vertical="top" wrapText="1"/>
    </xf>
    <xf numFmtId="2" fontId="21" fillId="0" borderId="5" xfId="15" applyNumberFormat="1" applyFont="1" applyBorder="1" applyAlignment="1">
      <alignment vertical="top"/>
    </xf>
    <xf numFmtId="165" fontId="18" fillId="0" borderId="5" xfId="15" applyNumberFormat="1" applyFont="1" applyBorder="1" applyAlignment="1">
      <alignment horizontal="right" vertical="top"/>
    </xf>
    <xf numFmtId="0" fontId="39" fillId="0" borderId="0" xfId="16" applyNumberFormat="1" applyFont="1" applyAlignment="1">
      <alignment horizontal="left" vertical="top" wrapText="1"/>
    </xf>
    <xf numFmtId="165" fontId="18" fillId="0" borderId="5" xfId="15" applyNumberFormat="1" applyFont="1" applyBorder="1" applyAlignment="1">
      <alignment horizontal="center" vertical="top"/>
    </xf>
    <xf numFmtId="0" fontId="46" fillId="0" borderId="0" xfId="16" applyNumberFormat="1" applyFont="1" applyAlignment="1">
      <alignment horizontal="left" vertical="top"/>
    </xf>
    <xf numFmtId="174" fontId="21" fillId="0" borderId="2" xfId="15" applyNumberFormat="1" applyFont="1" applyBorder="1" applyAlignment="1">
      <alignment horizontal="left" vertical="center" wrapText="1"/>
    </xf>
    <xf numFmtId="2" fontId="40" fillId="0" borderId="5" xfId="15" applyNumberFormat="1" applyFont="1" applyBorder="1"/>
    <xf numFmtId="165" fontId="18" fillId="0" borderId="13" xfId="15" applyNumberFormat="1" applyFont="1" applyBorder="1" applyAlignment="1">
      <alignment horizontal="center"/>
    </xf>
    <xf numFmtId="165" fontId="21" fillId="0" borderId="13" xfId="15" applyNumberFormat="1" applyFont="1" applyBorder="1" applyAlignment="1">
      <alignment horizontal="center"/>
    </xf>
    <xf numFmtId="174" fontId="21" fillId="0" borderId="5" xfId="15" applyNumberFormat="1" applyFont="1" applyBorder="1" applyAlignment="1">
      <alignment horizontal="left" vertical="top" wrapText="1"/>
    </xf>
    <xf numFmtId="165" fontId="18" fillId="0" borderId="13" xfId="15" applyNumberFormat="1" applyFont="1" applyBorder="1" applyAlignment="1">
      <alignment horizontal="center" vertical="top"/>
    </xf>
    <xf numFmtId="174" fontId="21" fillId="0" borderId="14" xfId="15" applyNumberFormat="1" applyFont="1" applyBorder="1" applyAlignment="1">
      <alignment horizontal="left" vertical="top" wrapText="1"/>
    </xf>
    <xf numFmtId="174" fontId="18" fillId="0" borderId="14" xfId="15" applyNumberFormat="1" applyFont="1" applyBorder="1"/>
    <xf numFmtId="2" fontId="18" fillId="0" borderId="5" xfId="15" applyNumberFormat="1" applyFont="1" applyBorder="1" applyAlignment="1">
      <alignment horizontal="right"/>
    </xf>
    <xf numFmtId="2" fontId="14" fillId="0" borderId="0" xfId="15" applyNumberFormat="1"/>
    <xf numFmtId="3" fontId="14" fillId="0" borderId="0" xfId="15" applyNumberFormat="1"/>
    <xf numFmtId="165" fontId="14" fillId="0" borderId="0" xfId="15" applyNumberFormat="1" applyAlignment="1">
      <alignment horizontal="right"/>
    </xf>
    <xf numFmtId="165" fontId="18" fillId="0" borderId="0" xfId="15" applyNumberFormat="1" applyFont="1" applyAlignment="1">
      <alignment horizontal="center" vertical="top" wrapText="1"/>
    </xf>
    <xf numFmtId="165" fontId="21" fillId="0" borderId="2" xfId="0" applyFont="1" applyBorder="1" applyAlignment="1">
      <alignment vertical="top"/>
    </xf>
    <xf numFmtId="166" fontId="21" fillId="0" borderId="2" xfId="0" applyNumberFormat="1" applyFont="1" applyBorder="1" applyAlignment="1">
      <alignment horizontal="right" vertical="top"/>
    </xf>
    <xf numFmtId="165" fontId="0" fillId="0" borderId="5" xfId="0" applyBorder="1"/>
    <xf numFmtId="165" fontId="22" fillId="0" borderId="0" xfId="0" applyFont="1" applyAlignment="1">
      <alignment horizontal="left"/>
    </xf>
    <xf numFmtId="165" fontId="21" fillId="0" borderId="1" xfId="0" applyFont="1" applyBorder="1" applyAlignment="1">
      <alignment vertical="center"/>
    </xf>
    <xf numFmtId="165" fontId="21" fillId="0" borderId="1" xfId="0" applyFont="1" applyBorder="1" applyAlignment="1">
      <alignment horizontal="center" vertical="center"/>
    </xf>
    <xf numFmtId="165" fontId="21" fillId="0" borderId="10" xfId="0" applyFont="1" applyBorder="1" applyAlignment="1">
      <alignment horizontal="center" vertical="top"/>
    </xf>
    <xf numFmtId="165" fontId="21" fillId="0" borderId="2" xfId="0" applyFont="1" applyBorder="1" applyAlignment="1">
      <alignment vertical="top" wrapText="1"/>
    </xf>
    <xf numFmtId="165" fontId="21" fillId="0" borderId="2" xfId="0" applyFont="1" applyBorder="1" applyAlignment="1">
      <alignment horizontal="center" vertical="top"/>
    </xf>
    <xf numFmtId="165" fontId="21" fillId="0" borderId="2" xfId="0" applyFont="1" applyBorder="1" applyAlignment="1">
      <alignment horizontal="right" vertical="top"/>
    </xf>
    <xf numFmtId="2" fontId="21" fillId="0" borderId="2" xfId="2" applyNumberFormat="1" applyFont="1" applyFill="1" applyBorder="1" applyAlignment="1" applyProtection="1">
      <alignment vertical="top"/>
    </xf>
    <xf numFmtId="166" fontId="21" fillId="0" borderId="2" xfId="0" applyNumberFormat="1" applyFont="1" applyBorder="1" applyAlignment="1">
      <alignment vertical="top"/>
    </xf>
    <xf numFmtId="166" fontId="21" fillId="0" borderId="3" xfId="0" applyNumberFormat="1" applyFont="1" applyBorder="1" applyAlignment="1">
      <alignment vertical="top"/>
    </xf>
    <xf numFmtId="166" fontId="21" fillId="0" borderId="10" xfId="0" applyNumberFormat="1" applyFont="1" applyBorder="1" applyAlignment="1">
      <alignment vertical="top"/>
    </xf>
    <xf numFmtId="165" fontId="21" fillId="0" borderId="10" xfId="0" applyFont="1" applyBorder="1" applyAlignment="1">
      <alignment vertical="top" wrapText="1"/>
    </xf>
    <xf numFmtId="166" fontId="21" fillId="0" borderId="10" xfId="0" applyNumberFormat="1" applyFont="1" applyBorder="1" applyAlignment="1">
      <alignment horizontal="right" vertical="top"/>
    </xf>
    <xf numFmtId="166" fontId="21" fillId="0" borderId="6" xfId="0" applyNumberFormat="1" applyFont="1" applyBorder="1" applyAlignment="1">
      <alignment vertical="top"/>
    </xf>
    <xf numFmtId="165" fontId="18" fillId="0" borderId="0" xfId="0" applyFont="1" applyAlignment="1">
      <alignment horizontal="center" vertical="center"/>
    </xf>
    <xf numFmtId="165" fontId="18" fillId="0" borderId="0" xfId="0" applyFont="1" applyAlignment="1">
      <alignment horizontal="left" vertical="center"/>
    </xf>
    <xf numFmtId="165" fontId="22" fillId="0" borderId="0" xfId="0" applyFont="1" applyAlignment="1">
      <alignment horizontal="center" vertical="center"/>
    </xf>
    <xf numFmtId="165" fontId="22" fillId="0" borderId="4" xfId="0" applyFont="1" applyBorder="1" applyAlignment="1">
      <alignment horizontal="center" vertical="center"/>
    </xf>
    <xf numFmtId="165" fontId="22" fillId="0" borderId="0" xfId="0" applyFont="1" applyAlignment="1">
      <alignment horizontal="right" vertical="center"/>
    </xf>
    <xf numFmtId="165" fontId="22" fillId="0" borderId="5" xfId="0" applyFont="1" applyBorder="1" applyAlignment="1">
      <alignment horizontal="center" vertical="top"/>
    </xf>
    <xf numFmtId="165" fontId="21" fillId="0" borderId="3" xfId="0" applyFont="1" applyBorder="1" applyAlignment="1">
      <alignment vertical="top"/>
    </xf>
    <xf numFmtId="166" fontId="21" fillId="0" borderId="5" xfId="0" applyNumberFormat="1" applyFont="1" applyBorder="1" applyAlignment="1">
      <alignment vertical="center"/>
    </xf>
    <xf numFmtId="165" fontId="18" fillId="0" borderId="5" xfId="0" applyFont="1" applyBorder="1" applyAlignment="1">
      <alignment horizontal="right" vertical="center"/>
    </xf>
    <xf numFmtId="165" fontId="21" fillId="0" borderId="5" xfId="0" applyFont="1" applyBorder="1" applyAlignment="1">
      <alignment horizontal="center" vertical="center"/>
    </xf>
    <xf numFmtId="165" fontId="22" fillId="0" borderId="0" xfId="0" applyFont="1" applyAlignment="1">
      <alignment horizontal="center"/>
    </xf>
    <xf numFmtId="166" fontId="21" fillId="0" borderId="2" xfId="0" applyNumberFormat="1" applyFont="1" applyBorder="1" applyAlignment="1">
      <alignment horizontal="center" vertical="top"/>
    </xf>
    <xf numFmtId="1" fontId="49" fillId="0" borderId="2" xfId="0" quotePrefix="1" applyNumberFormat="1" applyFont="1" applyBorder="1" applyAlignment="1">
      <alignment horizontal="right" vertical="top"/>
    </xf>
    <xf numFmtId="165" fontId="21" fillId="0" borderId="2" xfId="0" applyFont="1" applyBorder="1" applyAlignment="1">
      <alignment horizontal="left" vertical="top" wrapText="1"/>
    </xf>
    <xf numFmtId="2" fontId="49" fillId="0" borderId="2" xfId="0" quotePrefix="1" applyNumberFormat="1" applyFont="1" applyBorder="1" applyAlignment="1">
      <alignment horizontal="right" vertical="top"/>
    </xf>
    <xf numFmtId="165" fontId="21" fillId="0" borderId="2" xfId="0" applyFont="1" applyBorder="1" applyAlignment="1">
      <alignment horizontal="left" vertical="top"/>
    </xf>
    <xf numFmtId="1" fontId="21" fillId="0" borderId="2" xfId="0" applyNumberFormat="1" applyFont="1" applyBorder="1" applyAlignment="1">
      <alignment horizontal="right" vertical="top"/>
    </xf>
    <xf numFmtId="179" fontId="21" fillId="0" borderId="2" xfId="28" applyNumberFormat="1" applyFont="1" applyFill="1" applyBorder="1" applyAlignment="1" applyProtection="1">
      <alignment horizontal="right" vertical="top"/>
    </xf>
    <xf numFmtId="165" fontId="21" fillId="0" borderId="2" xfId="0" quotePrefix="1" applyFont="1" applyBorder="1" applyAlignment="1">
      <alignment horizontal="center" vertical="top"/>
    </xf>
    <xf numFmtId="166" fontId="21" fillId="0" borderId="2" xfId="0" quotePrefix="1" applyNumberFormat="1" applyFont="1" applyBorder="1" applyAlignment="1">
      <alignment horizontal="right" vertical="top"/>
    </xf>
    <xf numFmtId="165" fontId="21" fillId="0" borderId="2" xfId="0" quotePrefix="1" applyFont="1" applyBorder="1" applyAlignment="1">
      <alignment horizontal="left" vertical="top" wrapText="1"/>
    </xf>
    <xf numFmtId="166" fontId="21" fillId="0" borderId="0" xfId="0" applyNumberFormat="1" applyFont="1" applyAlignment="1">
      <alignment horizontal="right" vertical="top" wrapText="1"/>
    </xf>
    <xf numFmtId="165" fontId="22" fillId="0" borderId="10" xfId="0" applyFont="1" applyBorder="1" applyAlignment="1">
      <alignment horizontal="center" vertical="top"/>
    </xf>
    <xf numFmtId="165" fontId="18" fillId="0" borderId="5" xfId="0" applyFont="1" applyBorder="1" applyAlignment="1">
      <alignment horizontal="right" vertical="top"/>
    </xf>
    <xf numFmtId="165" fontId="18" fillId="0" borderId="10" xfId="0" applyFont="1" applyBorder="1" applyAlignment="1">
      <alignment horizontal="center" vertical="top"/>
    </xf>
    <xf numFmtId="165" fontId="18" fillId="0" borderId="10" xfId="0" applyFont="1" applyBorder="1" applyAlignment="1">
      <alignment horizontal="left" vertical="top"/>
    </xf>
    <xf numFmtId="165" fontId="51" fillId="0" borderId="0" xfId="0" applyFont="1"/>
    <xf numFmtId="165" fontId="52" fillId="0" borderId="0" xfId="0" applyFont="1" applyAlignment="1">
      <alignment horizontal="left"/>
    </xf>
    <xf numFmtId="165" fontId="52" fillId="0" borderId="0" xfId="0" applyFont="1" applyAlignment="1">
      <alignment horizontal="center"/>
    </xf>
    <xf numFmtId="165" fontId="52" fillId="0" borderId="0" xfId="0" applyFont="1"/>
    <xf numFmtId="165" fontId="52" fillId="0" borderId="5" xfId="0" applyFont="1" applyBorder="1" applyAlignment="1">
      <alignment horizontal="center" vertical="center" wrapText="1"/>
    </xf>
    <xf numFmtId="165" fontId="51" fillId="0" borderId="5" xfId="0" applyFont="1" applyBorder="1" applyAlignment="1">
      <alignment horizontal="center" vertical="center" wrapText="1"/>
    </xf>
    <xf numFmtId="165" fontId="51" fillId="0" borderId="5" xfId="0" applyFont="1" applyBorder="1" applyAlignment="1">
      <alignment horizontal="justify" vertical="center" wrapText="1"/>
    </xf>
    <xf numFmtId="1" fontId="51" fillId="0" borderId="5" xfId="0" applyNumberFormat="1" applyFont="1" applyBorder="1" applyAlignment="1">
      <alignment horizontal="center" vertical="center" wrapText="1"/>
    </xf>
    <xf numFmtId="165" fontId="51" fillId="0" borderId="0" xfId="0" applyFont="1" applyAlignment="1">
      <alignment horizontal="center" vertical="center" wrapText="1"/>
    </xf>
    <xf numFmtId="165" fontId="51" fillId="0" borderId="0" xfId="0" applyFont="1" applyAlignment="1">
      <alignment horizontal="justify" vertical="center" wrapText="1"/>
    </xf>
    <xf numFmtId="165" fontId="52" fillId="0" borderId="5" xfId="0" applyFont="1" applyBorder="1" applyAlignment="1">
      <alignment horizontal="justify" vertical="center" wrapText="1"/>
    </xf>
    <xf numFmtId="165" fontId="51" fillId="0" borderId="5" xfId="0" applyFont="1" applyBorder="1" applyAlignment="1">
      <alignment horizontal="center" vertical="top" wrapText="1"/>
    </xf>
    <xf numFmtId="1" fontId="52" fillId="0" borderId="5" xfId="0" applyNumberFormat="1" applyFont="1" applyBorder="1" applyAlignment="1">
      <alignment horizontal="center" vertical="center" wrapText="1"/>
    </xf>
    <xf numFmtId="165" fontId="52" fillId="0" borderId="0" xfId="0" applyFont="1" applyAlignment="1">
      <alignment horizontal="center" vertical="center" wrapText="1"/>
    </xf>
    <xf numFmtId="165" fontId="51" fillId="0" borderId="5" xfId="0" applyFont="1" applyBorder="1" applyAlignment="1">
      <alignment horizontal="left" vertical="center" wrapText="1"/>
    </xf>
    <xf numFmtId="1" fontId="51" fillId="0" borderId="0" xfId="0" applyNumberFormat="1" applyFont="1" applyAlignment="1">
      <alignment horizontal="center" vertical="center" wrapText="1"/>
    </xf>
    <xf numFmtId="1" fontId="51" fillId="0" borderId="0" xfId="0" applyNumberFormat="1" applyFont="1"/>
    <xf numFmtId="165" fontId="51" fillId="0" borderId="0" xfId="0" applyFont="1" applyAlignment="1">
      <alignment vertical="center" wrapText="1"/>
    </xf>
    <xf numFmtId="165" fontId="52" fillId="0" borderId="5" xfId="0" applyFont="1" applyBorder="1" applyAlignment="1">
      <alignment vertical="center"/>
    </xf>
    <xf numFmtId="165" fontId="54" fillId="0" borderId="5" xfId="0" applyFont="1" applyBorder="1" applyAlignment="1">
      <alignment horizontal="justify" vertical="center" wrapText="1"/>
    </xf>
    <xf numFmtId="165" fontId="51" fillId="0" borderId="5" xfId="0" applyFont="1" applyBorder="1" applyAlignment="1">
      <alignment horizontal="center"/>
    </xf>
    <xf numFmtId="165" fontId="55" fillId="0" borderId="0" xfId="0" applyFont="1"/>
    <xf numFmtId="165" fontId="56" fillId="0" borderId="0" xfId="0" applyFont="1"/>
    <xf numFmtId="165" fontId="54" fillId="0" borderId="0" xfId="0" applyFont="1"/>
    <xf numFmtId="0" fontId="16" fillId="0" borderId="0" xfId="25"/>
    <xf numFmtId="0" fontId="18" fillId="0" borderId="1" xfId="25" applyFont="1" applyBorder="1" applyAlignment="1">
      <alignment horizontal="center" vertical="top" wrapText="1"/>
    </xf>
    <xf numFmtId="0" fontId="18" fillId="0" borderId="5" xfId="25" applyFont="1" applyBorder="1" applyAlignment="1">
      <alignment horizontal="center" vertical="top" wrapText="1"/>
    </xf>
    <xf numFmtId="0" fontId="22" fillId="0" borderId="0" xfId="25" applyFont="1" applyAlignment="1">
      <alignment vertical="center"/>
    </xf>
    <xf numFmtId="0" fontId="59" fillId="0" borderId="5" xfId="25" applyFont="1" applyBorder="1"/>
    <xf numFmtId="1" fontId="59" fillId="0" borderId="5" xfId="25" applyNumberFormat="1" applyFont="1" applyBorder="1"/>
    <xf numFmtId="1" fontId="59" fillId="0" borderId="0" xfId="25" applyNumberFormat="1" applyFont="1"/>
    <xf numFmtId="0" fontId="59" fillId="0" borderId="0" xfId="25" applyFont="1"/>
    <xf numFmtId="178" fontId="59" fillId="0" borderId="5" xfId="25" applyNumberFormat="1" applyFont="1" applyBorder="1"/>
    <xf numFmtId="1" fontId="59" fillId="0" borderId="0" xfId="25" applyNumberFormat="1" applyFont="1" applyAlignment="1">
      <alignment horizontal="center" vertical="center"/>
    </xf>
    <xf numFmtId="0" fontId="16" fillId="0" borderId="5" xfId="25" applyBorder="1"/>
    <xf numFmtId="180" fontId="16" fillId="0" borderId="5" xfId="25" applyNumberFormat="1" applyBorder="1"/>
    <xf numFmtId="1" fontId="16" fillId="0" borderId="5" xfId="25" applyNumberFormat="1" applyBorder="1"/>
    <xf numFmtId="1" fontId="16" fillId="0" borderId="0" xfId="25" applyNumberFormat="1"/>
    <xf numFmtId="165" fontId="59" fillId="0" borderId="5" xfId="25" applyNumberFormat="1" applyFont="1" applyBorder="1"/>
    <xf numFmtId="0" fontId="0" fillId="0" borderId="0" xfId="0" applyNumberFormat="1" applyAlignment="1">
      <alignment horizontal="center"/>
    </xf>
    <xf numFmtId="0" fontId="42" fillId="0" borderId="0" xfId="0" applyNumberFormat="1" applyFont="1"/>
    <xf numFmtId="0" fontId="0" fillId="0" borderId="0" xfId="0" quotePrefix="1" applyNumberFormat="1"/>
    <xf numFmtId="1" fontId="0" fillId="0" borderId="0" xfId="0" applyNumberFormat="1"/>
    <xf numFmtId="0" fontId="60" fillId="0" borderId="0" xfId="0" applyNumberFormat="1" applyFont="1"/>
    <xf numFmtId="0" fontId="42" fillId="0" borderId="0" xfId="0" applyNumberFormat="1" applyFont="1" applyAlignment="1">
      <alignment horizontal="center"/>
    </xf>
    <xf numFmtId="0" fontId="42" fillId="0" borderId="0" xfId="0" applyNumberFormat="1" applyFont="1" applyAlignment="1">
      <alignment horizontal="left"/>
    </xf>
    <xf numFmtId="1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  <xf numFmtId="0" fontId="42" fillId="0" borderId="0" xfId="0" applyNumberFormat="1" applyFont="1" applyAlignment="1">
      <alignment horizontal="right"/>
    </xf>
    <xf numFmtId="179" fontId="42" fillId="4" borderId="0" xfId="28" applyNumberFormat="1" applyFont="1" applyFill="1"/>
    <xf numFmtId="0" fontId="42" fillId="4" borderId="0" xfId="0" applyNumberFormat="1" applyFont="1" applyFill="1"/>
    <xf numFmtId="1" fontId="0" fillId="4" borderId="0" xfId="0" applyNumberFormat="1" applyFill="1" applyAlignment="1">
      <alignment horizontal="right"/>
    </xf>
    <xf numFmtId="0" fontId="0" fillId="4" borderId="0" xfId="0" applyNumberFormat="1" applyFill="1"/>
    <xf numFmtId="165" fontId="21" fillId="0" borderId="11" xfId="0" applyFont="1" applyBorder="1" applyAlignment="1">
      <alignment horizontal="center" vertical="top"/>
    </xf>
    <xf numFmtId="165" fontId="21" fillId="0" borderId="1" xfId="0" applyFont="1" applyBorder="1" applyAlignment="1">
      <alignment horizontal="center" vertical="top"/>
    </xf>
    <xf numFmtId="166" fontId="21" fillId="0" borderId="0" xfId="0" applyNumberFormat="1" applyFont="1" applyAlignment="1">
      <alignment vertical="top"/>
    </xf>
    <xf numFmtId="166" fontId="21" fillId="0" borderId="7" xfId="0" applyNumberFormat="1" applyFont="1" applyBorder="1" applyAlignment="1">
      <alignment vertical="top"/>
    </xf>
    <xf numFmtId="166" fontId="21" fillId="0" borderId="9" xfId="0" applyNumberFormat="1" applyFont="1" applyBorder="1" applyAlignment="1">
      <alignment vertical="top"/>
    </xf>
    <xf numFmtId="166" fontId="21" fillId="0" borderId="3" xfId="0" applyNumberFormat="1" applyFont="1" applyBorder="1" applyAlignment="1">
      <alignment horizontal="right" vertical="top"/>
    </xf>
    <xf numFmtId="2" fontId="21" fillId="0" borderId="3" xfId="2" applyNumberFormat="1" applyFont="1" applyFill="1" applyBorder="1" applyAlignment="1" applyProtection="1">
      <alignment vertical="top"/>
    </xf>
    <xf numFmtId="166" fontId="21" fillId="0" borderId="12" xfId="0" applyNumberFormat="1" applyFont="1" applyBorder="1" applyAlignment="1">
      <alignment vertical="top"/>
    </xf>
    <xf numFmtId="165" fontId="21" fillId="0" borderId="1" xfId="0" applyFont="1" applyBorder="1" applyAlignment="1">
      <alignment vertical="top" wrapText="1"/>
    </xf>
    <xf numFmtId="166" fontId="21" fillId="0" borderId="1" xfId="0" applyNumberFormat="1" applyFont="1" applyBorder="1" applyAlignment="1">
      <alignment vertical="top"/>
    </xf>
    <xf numFmtId="166" fontId="21" fillId="0" borderId="5" xfId="0" applyNumberFormat="1" applyFont="1" applyBorder="1" applyAlignment="1">
      <alignment vertical="top"/>
    </xf>
    <xf numFmtId="165" fontId="21" fillId="0" borderId="5" xfId="0" applyFont="1" applyBorder="1" applyAlignment="1">
      <alignment horizontal="center" vertical="top"/>
    </xf>
    <xf numFmtId="165" fontId="21" fillId="0" borderId="5" xfId="0" applyFont="1" applyBorder="1" applyAlignment="1">
      <alignment horizontal="center" vertical="top" wrapText="1"/>
    </xf>
    <xf numFmtId="165" fontId="18" fillId="0" borderId="14" xfId="0" applyFont="1" applyBorder="1" applyAlignment="1">
      <alignment vertical="top"/>
    </xf>
    <xf numFmtId="165" fontId="18" fillId="0" borderId="8" xfId="0" applyFont="1" applyBorder="1" applyAlignment="1">
      <alignment vertical="top"/>
    </xf>
    <xf numFmtId="165" fontId="21" fillId="0" borderId="5" xfId="0" quotePrefix="1" applyFont="1" applyBorder="1" applyAlignment="1">
      <alignment vertical="top" wrapText="1"/>
    </xf>
    <xf numFmtId="165" fontId="22" fillId="0" borderId="0" xfId="0" applyFont="1" applyAlignment="1">
      <alignment horizontal="right"/>
    </xf>
    <xf numFmtId="165" fontId="18" fillId="0" borderId="5" xfId="0" applyFont="1" applyBorder="1" applyAlignment="1">
      <alignment vertical="top"/>
    </xf>
    <xf numFmtId="166" fontId="21" fillId="0" borderId="20" xfId="0" applyNumberFormat="1" applyFont="1" applyBorder="1" applyAlignment="1">
      <alignment vertical="top"/>
    </xf>
    <xf numFmtId="165" fontId="18" fillId="0" borderId="0" xfId="0" applyFont="1" applyAlignment="1">
      <alignment horizontal="center" vertical="top"/>
    </xf>
    <xf numFmtId="165" fontId="21" fillId="0" borderId="2" xfId="0" applyFont="1" applyBorder="1" applyAlignment="1">
      <alignment horizontal="center" vertical="top" wrapText="1"/>
    </xf>
    <xf numFmtId="179" fontId="0" fillId="0" borderId="0" xfId="0" applyNumberFormat="1"/>
    <xf numFmtId="178" fontId="59" fillId="0" borderId="0" xfId="25" applyNumberFormat="1" applyFont="1"/>
    <xf numFmtId="0" fontId="61" fillId="0" borderId="0" xfId="25" applyFont="1"/>
    <xf numFmtId="0" fontId="62" fillId="0" borderId="0" xfId="25" applyFont="1"/>
    <xf numFmtId="165" fontId="54" fillId="0" borderId="5" xfId="0" applyFont="1" applyBorder="1" applyAlignment="1">
      <alignment horizontal="center" vertical="center"/>
    </xf>
    <xf numFmtId="165" fontId="18" fillId="0" borderId="8" xfId="0" applyFont="1" applyBorder="1"/>
    <xf numFmtId="165" fontId="21" fillId="0" borderId="8" xfId="0" applyFont="1" applyBorder="1"/>
    <xf numFmtId="166" fontId="26" fillId="0" borderId="1" xfId="0" applyNumberFormat="1" applyFont="1" applyBorder="1" applyAlignment="1">
      <alignment horizontal="center" vertical="top"/>
    </xf>
    <xf numFmtId="165" fontId="26" fillId="0" borderId="1" xfId="0" applyFont="1" applyBorder="1" applyAlignment="1">
      <alignment horizontal="left" vertical="top"/>
    </xf>
    <xf numFmtId="49" fontId="26" fillId="0" borderId="11" xfId="0" applyNumberFormat="1" applyFont="1" applyBorder="1" applyAlignment="1">
      <alignment horizontal="center" vertical="top"/>
    </xf>
    <xf numFmtId="2" fontId="26" fillId="0" borderId="1" xfId="0" applyNumberFormat="1" applyFont="1" applyBorder="1" applyAlignment="1">
      <alignment horizontal="right" vertical="top"/>
    </xf>
    <xf numFmtId="166" fontId="26" fillId="0" borderId="2" xfId="0" applyNumberFormat="1" applyFont="1" applyBorder="1" applyAlignment="1">
      <alignment horizontal="center" vertical="top"/>
    </xf>
    <xf numFmtId="165" fontId="26" fillId="0" borderId="2" xfId="0" applyFont="1" applyBorder="1" applyAlignment="1">
      <alignment horizontal="left" vertical="top"/>
    </xf>
    <xf numFmtId="49" fontId="26" fillId="0" borderId="0" xfId="0" applyNumberFormat="1" applyFont="1" applyAlignment="1">
      <alignment horizontal="center" vertical="top"/>
    </xf>
    <xf numFmtId="2" fontId="26" fillId="0" borderId="2" xfId="0" applyNumberFormat="1" applyFont="1" applyBorder="1" applyAlignment="1">
      <alignment horizontal="right" vertical="top"/>
    </xf>
    <xf numFmtId="165" fontId="26" fillId="0" borderId="2" xfId="0" applyFont="1" applyBorder="1" applyAlignment="1">
      <alignment vertical="top" wrapText="1"/>
    </xf>
    <xf numFmtId="165" fontId="26" fillId="0" borderId="0" xfId="0" applyFont="1" applyAlignment="1">
      <alignment horizontal="center" vertical="top"/>
    </xf>
    <xf numFmtId="165" fontId="26" fillId="0" borderId="2" xfId="0" applyFont="1" applyBorder="1" applyAlignment="1">
      <alignment vertical="top"/>
    </xf>
    <xf numFmtId="166" fontId="26" fillId="0" borderId="9" xfId="0" applyNumberFormat="1" applyFont="1" applyBorder="1" applyAlignment="1">
      <alignment horizontal="center" vertical="top"/>
    </xf>
    <xf numFmtId="165" fontId="26" fillId="0" borderId="9" xfId="0" applyFont="1" applyBorder="1" applyAlignment="1">
      <alignment horizontal="left" vertical="top"/>
    </xf>
    <xf numFmtId="165" fontId="26" fillId="0" borderId="2" xfId="0" applyFont="1" applyBorder="1" applyAlignment="1">
      <alignment horizontal="center" vertical="top"/>
    </xf>
    <xf numFmtId="165" fontId="26" fillId="0" borderId="9" xfId="0" applyFont="1" applyBorder="1" applyAlignment="1">
      <alignment vertical="top"/>
    </xf>
    <xf numFmtId="165" fontId="26" fillId="0" borderId="9" xfId="0" applyFont="1" applyBorder="1" applyAlignment="1">
      <alignment horizontal="center" vertical="top"/>
    </xf>
    <xf numFmtId="10" fontId="26" fillId="0" borderId="2" xfId="2" applyNumberFormat="1" applyFont="1" applyBorder="1" applyAlignment="1" applyProtection="1">
      <alignment horizontal="right" vertical="top"/>
    </xf>
    <xf numFmtId="166" fontId="26" fillId="0" borderId="10" xfId="0" applyNumberFormat="1" applyFont="1" applyBorder="1" applyAlignment="1">
      <alignment horizontal="center" vertical="top"/>
    </xf>
    <xf numFmtId="165" fontId="26" fillId="0" borderId="12" xfId="0" applyFont="1" applyBorder="1" applyAlignment="1">
      <alignment horizontal="left" vertical="top"/>
    </xf>
    <xf numFmtId="165" fontId="26" fillId="0" borderId="12" xfId="0" applyFont="1" applyBorder="1" applyAlignment="1">
      <alignment horizontal="center" vertical="top"/>
    </xf>
    <xf numFmtId="2" fontId="26" fillId="0" borderId="10" xfId="0" applyNumberFormat="1" applyFont="1" applyBorder="1" applyAlignment="1">
      <alignment horizontal="right" vertical="top"/>
    </xf>
    <xf numFmtId="165" fontId="22" fillId="0" borderId="5" xfId="0" applyFont="1" applyBorder="1" applyAlignment="1">
      <alignment horizontal="right" vertical="top"/>
    </xf>
    <xf numFmtId="165" fontId="18" fillId="0" borderId="13" xfId="0" applyFont="1" applyBorder="1" applyAlignment="1">
      <alignment vertical="top"/>
    </xf>
    <xf numFmtId="165" fontId="18" fillId="0" borderId="13" xfId="0" applyFont="1" applyBorder="1"/>
    <xf numFmtId="165" fontId="21" fillId="0" borderId="3" xfId="22" applyNumberFormat="1" applyBorder="1" applyAlignment="1">
      <alignment vertical="top" wrapText="1"/>
    </xf>
    <xf numFmtId="3" fontId="21" fillId="0" borderId="6" xfId="15" applyNumberFormat="1" applyFont="1" applyBorder="1" applyAlignment="1">
      <alignment horizontal="center" vertical="top"/>
    </xf>
    <xf numFmtId="2" fontId="21" fillId="0" borderId="6" xfId="22" applyNumberFormat="1" applyBorder="1" applyAlignment="1">
      <alignment vertical="top"/>
    </xf>
    <xf numFmtId="2" fontId="21" fillId="0" borderId="10" xfId="22" applyNumberFormat="1" applyBorder="1" applyAlignment="1">
      <alignment vertical="top"/>
    </xf>
    <xf numFmtId="3" fontId="10" fillId="0" borderId="2" xfId="15" applyNumberFormat="1" applyFont="1" applyBorder="1" applyAlignment="1">
      <alignment horizontal="right" vertical="top"/>
    </xf>
    <xf numFmtId="167" fontId="10" fillId="2" borderId="12" xfId="2" applyNumberFormat="1" applyFont="1" applyFill="1" applyBorder="1" applyAlignment="1">
      <alignment horizontal="right"/>
    </xf>
    <xf numFmtId="2" fontId="21" fillId="2" borderId="5" xfId="15" applyNumberFormat="1" applyFont="1" applyFill="1" applyBorder="1" applyAlignment="1">
      <alignment vertical="top"/>
    </xf>
    <xf numFmtId="0" fontId="14" fillId="0" borderId="5" xfId="15" applyBorder="1"/>
    <xf numFmtId="165" fontId="21" fillId="0" borderId="13" xfId="15" applyNumberFormat="1" applyFont="1" applyBorder="1" applyAlignment="1">
      <alignment horizontal="right"/>
    </xf>
    <xf numFmtId="2" fontId="21" fillId="0" borderId="13" xfId="15" applyNumberFormat="1" applyFont="1" applyBorder="1" applyAlignment="1">
      <alignment horizontal="right" vertical="top"/>
    </xf>
    <xf numFmtId="165" fontId="21" fillId="0" borderId="13" xfId="15" applyNumberFormat="1" applyFont="1" applyBorder="1" applyAlignment="1">
      <alignment horizontal="right" vertical="top"/>
    </xf>
    <xf numFmtId="0" fontId="9" fillId="0" borderId="0" xfId="31"/>
    <xf numFmtId="165" fontId="9" fillId="0" borderId="0" xfId="31" applyNumberFormat="1"/>
    <xf numFmtId="165" fontId="9" fillId="0" borderId="0" xfId="31" applyNumberFormat="1" applyAlignment="1">
      <alignment horizontal="center" vertical="top"/>
    </xf>
    <xf numFmtId="165" fontId="9" fillId="0" borderId="0" xfId="31" applyNumberFormat="1" applyAlignment="1">
      <alignment horizontal="right" vertical="top"/>
    </xf>
    <xf numFmtId="174" fontId="21" fillId="0" borderId="2" xfId="31" applyNumberFormat="1" applyFont="1" applyBorder="1" applyAlignment="1">
      <alignment vertical="top" wrapText="1"/>
    </xf>
    <xf numFmtId="1" fontId="16" fillId="0" borderId="0" xfId="31" applyNumberFormat="1" applyFont="1" applyAlignment="1">
      <alignment horizontal="center" vertical="top"/>
    </xf>
    <xf numFmtId="166" fontId="9" fillId="0" borderId="0" xfId="31" applyNumberFormat="1" applyAlignment="1">
      <alignment horizontal="center"/>
    </xf>
    <xf numFmtId="0" fontId="9" fillId="0" borderId="0" xfId="31" applyAlignment="1">
      <alignment horizontal="center"/>
    </xf>
    <xf numFmtId="3" fontId="21" fillId="0" borderId="10" xfId="31" applyNumberFormat="1" applyFont="1" applyBorder="1" applyAlignment="1">
      <alignment horizontal="center" vertical="top"/>
    </xf>
    <xf numFmtId="174" fontId="21" fillId="0" borderId="10" xfId="31" applyNumberFormat="1" applyFont="1" applyBorder="1" applyAlignment="1">
      <alignment vertical="top" wrapText="1"/>
    </xf>
    <xf numFmtId="165" fontId="16" fillId="0" borderId="0" xfId="31" applyNumberFormat="1" applyFont="1" applyAlignment="1">
      <alignment horizontal="left" vertical="top" wrapText="1"/>
    </xf>
    <xf numFmtId="166" fontId="9" fillId="0" borderId="0" xfId="31" applyNumberFormat="1" applyAlignment="1">
      <alignment horizontal="center" vertical="top"/>
    </xf>
    <xf numFmtId="165" fontId="16" fillId="0" borderId="0" xfId="31" applyNumberFormat="1" applyFont="1" applyAlignment="1">
      <alignment horizontal="right" vertical="top"/>
    </xf>
    <xf numFmtId="0" fontId="8" fillId="0" borderId="0" xfId="89"/>
    <xf numFmtId="3" fontId="18" fillId="0" borderId="19" xfId="89" applyNumberFormat="1" applyFont="1" applyBorder="1"/>
    <xf numFmtId="165" fontId="21" fillId="0" borderId="19" xfId="89" applyNumberFormat="1" applyFont="1" applyBorder="1" applyAlignment="1">
      <alignment horizontal="left"/>
    </xf>
    <xf numFmtId="165" fontId="18" fillId="0" borderId="0" xfId="89" applyNumberFormat="1" applyFont="1"/>
    <xf numFmtId="165" fontId="8" fillId="0" borderId="0" xfId="89" applyNumberFormat="1"/>
    <xf numFmtId="166" fontId="8" fillId="0" borderId="0" xfId="89" applyNumberFormat="1"/>
    <xf numFmtId="165" fontId="18" fillId="0" borderId="0" xfId="89" applyNumberFormat="1" applyFont="1" applyAlignment="1">
      <alignment horizontal="left"/>
    </xf>
    <xf numFmtId="3" fontId="21" fillId="0" borderId="2" xfId="89" applyNumberFormat="1" applyFont="1" applyBorder="1" applyAlignment="1">
      <alignment horizontal="center" vertical="top"/>
    </xf>
    <xf numFmtId="174" fontId="21" fillId="0" borderId="2" xfId="89" applyNumberFormat="1" applyFont="1" applyBorder="1" applyAlignment="1">
      <alignment horizontal="left" vertical="top" wrapText="1"/>
    </xf>
    <xf numFmtId="165" fontId="21" fillId="0" borderId="9" xfId="89" applyNumberFormat="1" applyFont="1" applyBorder="1" applyAlignment="1">
      <alignment vertical="top"/>
    </xf>
    <xf numFmtId="0" fontId="40" fillId="0" borderId="0" xfId="89" applyFont="1" applyAlignment="1">
      <alignment vertical="top"/>
    </xf>
    <xf numFmtId="165" fontId="23" fillId="0" borderId="0" xfId="89" applyNumberFormat="1" applyFont="1"/>
    <xf numFmtId="1" fontId="8" fillId="0" borderId="0" xfId="89" applyNumberFormat="1" applyAlignment="1">
      <alignment vertical="top"/>
    </xf>
    <xf numFmtId="165" fontId="8" fillId="0" borderId="0" xfId="89" applyNumberFormat="1" applyAlignment="1">
      <alignment vertical="top"/>
    </xf>
    <xf numFmtId="172" fontId="21" fillId="0" borderId="2" xfId="76" applyBorder="1" applyAlignment="1">
      <alignment vertical="top" wrapText="1"/>
    </xf>
    <xf numFmtId="2" fontId="21" fillId="0" borderId="0" xfId="89" applyNumberFormat="1" applyFont="1" applyAlignment="1">
      <alignment vertical="top"/>
    </xf>
    <xf numFmtId="1" fontId="8" fillId="0" borderId="0" xfId="89" applyNumberFormat="1" applyAlignment="1">
      <alignment horizontal="center" vertical="top"/>
    </xf>
    <xf numFmtId="165" fontId="18" fillId="0" borderId="0" xfId="89" applyNumberFormat="1" applyFont="1" applyAlignment="1">
      <alignment horizontal="center" vertical="top"/>
    </xf>
    <xf numFmtId="165" fontId="8" fillId="0" borderId="0" xfId="89" applyNumberFormat="1" applyAlignment="1">
      <alignment horizontal="center" vertical="top"/>
    </xf>
    <xf numFmtId="165" fontId="8" fillId="0" borderId="0" xfId="89" applyNumberFormat="1" applyAlignment="1">
      <alignment horizontal="right" vertical="top"/>
    </xf>
    <xf numFmtId="165" fontId="8" fillId="0" borderId="0" xfId="89" applyNumberFormat="1" applyAlignment="1">
      <alignment horizontal="left"/>
    </xf>
    <xf numFmtId="165" fontId="8" fillId="0" borderId="0" xfId="89" applyNumberFormat="1" applyAlignment="1">
      <alignment horizontal="left" vertical="top" wrapText="1"/>
    </xf>
    <xf numFmtId="174" fontId="21" fillId="0" borderId="2" xfId="89" applyNumberFormat="1" applyFont="1" applyBorder="1" applyAlignment="1">
      <alignment vertical="top"/>
    </xf>
    <xf numFmtId="165" fontId="21" fillId="0" borderId="0" xfId="89" applyNumberFormat="1" applyFont="1" applyAlignment="1">
      <alignment vertical="top"/>
    </xf>
    <xf numFmtId="165" fontId="22" fillId="0" borderId="0" xfId="89" applyNumberFormat="1" applyFont="1" applyAlignment="1">
      <alignment horizontal="center"/>
    </xf>
    <xf numFmtId="165" fontId="22" fillId="0" borderId="0" xfId="89" applyNumberFormat="1" applyFont="1"/>
    <xf numFmtId="165" fontId="16" fillId="0" borderId="0" xfId="89" applyNumberFormat="1" applyFont="1" applyAlignment="1">
      <alignment horizontal="center"/>
    </xf>
    <xf numFmtId="165" fontId="43" fillId="0" borderId="0" xfId="89" applyNumberFormat="1" applyFont="1" applyAlignment="1">
      <alignment vertical="top"/>
    </xf>
    <xf numFmtId="0" fontId="8" fillId="0" borderId="0" xfId="89" applyAlignment="1">
      <alignment vertical="top"/>
    </xf>
    <xf numFmtId="174" fontId="21" fillId="0" borderId="2" xfId="89" applyNumberFormat="1" applyFont="1" applyBorder="1" applyAlignment="1">
      <alignment vertical="top" wrapText="1"/>
    </xf>
    <xf numFmtId="165" fontId="21" fillId="0" borderId="9" xfId="89" applyNumberFormat="1" applyFont="1" applyBorder="1" applyAlignment="1">
      <alignment vertical="top" wrapText="1"/>
    </xf>
    <xf numFmtId="1" fontId="16" fillId="0" borderId="0" xfId="89" applyNumberFormat="1" applyFont="1" applyAlignment="1">
      <alignment horizontal="center" vertical="top"/>
    </xf>
    <xf numFmtId="165" fontId="26" fillId="0" borderId="0" xfId="89" applyNumberFormat="1" applyFont="1" applyAlignment="1">
      <alignment vertical="top" wrapText="1"/>
    </xf>
    <xf numFmtId="165" fontId="26" fillId="0" borderId="0" xfId="89" applyNumberFormat="1" applyFont="1" applyAlignment="1">
      <alignment horizontal="center" vertical="top" wrapText="1"/>
    </xf>
    <xf numFmtId="166" fontId="26" fillId="0" borderId="0" xfId="89" applyNumberFormat="1" applyFont="1" applyAlignment="1">
      <alignment horizontal="center" vertical="top" wrapText="1"/>
    </xf>
    <xf numFmtId="166" fontId="26" fillId="0" borderId="0" xfId="89" applyNumberFormat="1" applyFont="1" applyAlignment="1">
      <alignment vertical="top" wrapText="1"/>
    </xf>
    <xf numFmtId="166" fontId="8" fillId="0" borderId="0" xfId="89" applyNumberFormat="1" applyAlignment="1">
      <alignment horizontal="center"/>
    </xf>
    <xf numFmtId="0" fontId="8" fillId="0" borderId="0" xfId="89" applyAlignment="1">
      <alignment horizontal="center" vertical="top"/>
    </xf>
    <xf numFmtId="2" fontId="21" fillId="0" borderId="9" xfId="89" applyNumberFormat="1" applyFont="1" applyBorder="1" applyAlignment="1">
      <alignment vertical="top"/>
    </xf>
    <xf numFmtId="1" fontId="16" fillId="0" borderId="0" xfId="89" applyNumberFormat="1" applyFont="1" applyAlignment="1">
      <alignment horizontal="center"/>
    </xf>
    <xf numFmtId="0" fontId="8" fillId="0" borderId="0" xfId="89" applyAlignment="1">
      <alignment horizontal="center"/>
    </xf>
    <xf numFmtId="2" fontId="40" fillId="0" borderId="0" xfId="89" applyNumberFormat="1" applyFont="1" applyAlignment="1">
      <alignment horizontal="center" vertical="top"/>
    </xf>
    <xf numFmtId="165" fontId="16" fillId="0" borderId="0" xfId="89" applyNumberFormat="1" applyFont="1" applyAlignment="1">
      <alignment horizontal="right"/>
    </xf>
    <xf numFmtId="3" fontId="21" fillId="0" borderId="10" xfId="89" applyNumberFormat="1" applyFont="1" applyBorder="1" applyAlignment="1">
      <alignment horizontal="center" vertical="top"/>
    </xf>
    <xf numFmtId="165" fontId="16" fillId="0" borderId="0" xfId="89" applyNumberFormat="1" applyFont="1" applyAlignment="1">
      <alignment horizontal="left" vertical="top" wrapText="1"/>
    </xf>
    <xf numFmtId="166" fontId="8" fillId="0" borderId="0" xfId="89" applyNumberFormat="1" applyAlignment="1">
      <alignment horizontal="center" vertical="top"/>
    </xf>
    <xf numFmtId="165" fontId="16" fillId="0" borderId="0" xfId="89" applyNumberFormat="1" applyFont="1" applyAlignment="1">
      <alignment horizontal="right" vertical="top"/>
    </xf>
    <xf numFmtId="174" fontId="18" fillId="0" borderId="10" xfId="89" applyNumberFormat="1" applyFont="1" applyBorder="1" applyAlignment="1">
      <alignment horizontal="right" vertical="top" wrapText="1"/>
    </xf>
    <xf numFmtId="165" fontId="18" fillId="0" borderId="9" xfId="89" applyNumberFormat="1" applyFont="1" applyBorder="1" applyAlignment="1">
      <alignment vertical="top"/>
    </xf>
    <xf numFmtId="174" fontId="18" fillId="0" borderId="9" xfId="89" applyNumberFormat="1" applyFont="1" applyBorder="1" applyAlignment="1">
      <alignment vertical="top"/>
    </xf>
    <xf numFmtId="165" fontId="18" fillId="0" borderId="20" xfId="89" applyNumberFormat="1" applyFont="1" applyBorder="1" applyAlignment="1">
      <alignment vertical="top"/>
    </xf>
    <xf numFmtId="1" fontId="16" fillId="0" borderId="0" xfId="89" applyNumberFormat="1" applyFont="1" applyAlignment="1">
      <alignment horizontal="right"/>
    </xf>
    <xf numFmtId="165" fontId="22" fillId="0" borderId="0" xfId="89" applyNumberFormat="1" applyFont="1" applyAlignment="1">
      <alignment horizontal="right" wrapText="1"/>
    </xf>
    <xf numFmtId="166" fontId="22" fillId="0" borderId="0" xfId="89" applyNumberFormat="1" applyFont="1" applyAlignment="1">
      <alignment horizontal="right"/>
    </xf>
    <xf numFmtId="3" fontId="21" fillId="0" borderId="2" xfId="89" applyNumberFormat="1" applyFont="1" applyBorder="1" applyAlignment="1">
      <alignment horizontal="right" vertical="top"/>
    </xf>
    <xf numFmtId="174" fontId="21" fillId="0" borderId="0" xfId="89" applyNumberFormat="1" applyFont="1" applyAlignment="1">
      <alignment vertical="top"/>
    </xf>
    <xf numFmtId="165" fontId="21" fillId="0" borderId="2" xfId="76" applyNumberFormat="1" applyBorder="1" applyAlignment="1">
      <alignment vertical="top"/>
    </xf>
    <xf numFmtId="165" fontId="22" fillId="0" borderId="0" xfId="89" applyNumberFormat="1" applyFont="1" applyAlignment="1">
      <alignment horizontal="left"/>
    </xf>
    <xf numFmtId="165" fontId="16" fillId="0" borderId="0" xfId="89" applyNumberFormat="1" applyFont="1" applyAlignment="1">
      <alignment horizontal="left"/>
    </xf>
    <xf numFmtId="3" fontId="8" fillId="0" borderId="2" xfId="89" applyNumberFormat="1" applyBorder="1" applyAlignment="1">
      <alignment horizontal="right" vertical="top"/>
    </xf>
    <xf numFmtId="165" fontId="22" fillId="0" borderId="0" xfId="89" applyNumberFormat="1" applyFont="1" applyAlignment="1">
      <alignment horizontal="right"/>
    </xf>
    <xf numFmtId="165" fontId="42" fillId="0" borderId="0" xfId="89" applyNumberFormat="1" applyFont="1"/>
    <xf numFmtId="165" fontId="21" fillId="0" borderId="12" xfId="89" applyNumberFormat="1" applyFont="1" applyBorder="1" applyAlignment="1">
      <alignment vertical="top"/>
    </xf>
    <xf numFmtId="165" fontId="21" fillId="0" borderId="10" xfId="76" applyNumberFormat="1" applyBorder="1" applyAlignment="1">
      <alignment vertical="top"/>
    </xf>
    <xf numFmtId="165" fontId="16" fillId="0" borderId="0" xfId="89" applyNumberFormat="1" applyFont="1"/>
    <xf numFmtId="3" fontId="8" fillId="0" borderId="12" xfId="89" applyNumberFormat="1" applyBorder="1" applyAlignment="1">
      <alignment horizontal="right" vertical="top"/>
    </xf>
    <xf numFmtId="174" fontId="18" fillId="0" borderId="5" xfId="89" applyNumberFormat="1" applyFont="1" applyBorder="1" applyAlignment="1">
      <alignment horizontal="right" vertical="top" wrapText="1"/>
    </xf>
    <xf numFmtId="170" fontId="21" fillId="0" borderId="2" xfId="76" applyNumberFormat="1" applyBorder="1" applyAlignment="1">
      <alignment vertical="top"/>
    </xf>
    <xf numFmtId="165" fontId="16" fillId="0" borderId="0" xfId="89" applyNumberFormat="1" applyFont="1" applyAlignment="1">
      <alignment wrapText="1"/>
    </xf>
    <xf numFmtId="165" fontId="16" fillId="0" borderId="0" xfId="89" applyNumberFormat="1" applyFont="1" applyAlignment="1">
      <alignment horizontal="center" vertical="top"/>
    </xf>
    <xf numFmtId="3" fontId="21" fillId="0" borderId="5" xfId="89" applyNumberFormat="1" applyFont="1" applyBorder="1" applyAlignment="1">
      <alignment horizontal="center" vertical="top"/>
    </xf>
    <xf numFmtId="174" fontId="18" fillId="0" borderId="5" xfId="89" applyNumberFormat="1" applyFont="1" applyBorder="1" applyAlignment="1">
      <alignment vertical="top"/>
    </xf>
    <xf numFmtId="165" fontId="18" fillId="0" borderId="5" xfId="89" applyNumberFormat="1" applyFont="1" applyBorder="1" applyAlignment="1">
      <alignment vertical="top"/>
    </xf>
    <xf numFmtId="166" fontId="16" fillId="0" borderId="0" xfId="89" applyNumberFormat="1" applyFont="1" applyAlignment="1">
      <alignment horizontal="right"/>
    </xf>
    <xf numFmtId="3" fontId="21" fillId="0" borderId="1" xfId="89" applyNumberFormat="1" applyFont="1" applyBorder="1" applyAlignment="1">
      <alignment horizontal="center" vertical="top"/>
    </xf>
    <xf numFmtId="174" fontId="21" fillId="0" borderId="3" xfId="89" applyNumberFormat="1" applyFont="1" applyBorder="1" applyAlignment="1">
      <alignment vertical="top"/>
    </xf>
    <xf numFmtId="165" fontId="21" fillId="0" borderId="2" xfId="89" applyNumberFormat="1" applyFont="1" applyBorder="1" applyAlignment="1">
      <alignment vertical="top"/>
    </xf>
    <xf numFmtId="165" fontId="21" fillId="0" borderId="1" xfId="89" applyNumberFormat="1" applyFont="1" applyBorder="1" applyAlignment="1">
      <alignment vertical="top"/>
    </xf>
    <xf numFmtId="165" fontId="21" fillId="2" borderId="0" xfId="89" applyNumberFormat="1" applyFont="1" applyFill="1" applyAlignment="1">
      <alignment horizontal="right"/>
    </xf>
    <xf numFmtId="165" fontId="21" fillId="0" borderId="0" xfId="89" applyNumberFormat="1" applyFont="1" applyAlignment="1">
      <alignment horizontal="right"/>
    </xf>
    <xf numFmtId="174" fontId="21" fillId="0" borderId="5" xfId="89" applyNumberFormat="1" applyFont="1" applyBorder="1" applyAlignment="1">
      <alignment horizontal="right"/>
    </xf>
    <xf numFmtId="165" fontId="21" fillId="2" borderId="5" xfId="89" applyNumberFormat="1" applyFont="1" applyFill="1" applyBorder="1" applyAlignment="1">
      <alignment horizontal="right" vertical="top"/>
    </xf>
    <xf numFmtId="0" fontId="39" fillId="5" borderId="0" xfId="76" applyNumberFormat="1" applyFont="1" applyFill="1" applyAlignment="1">
      <alignment horizontal="left" vertical="top" wrapText="1"/>
    </xf>
    <xf numFmtId="0" fontId="42" fillId="0" borderId="0" xfId="89" applyFont="1" applyAlignment="1">
      <alignment vertical="top"/>
    </xf>
    <xf numFmtId="165" fontId="21" fillId="2" borderId="5" xfId="89" quotePrefix="1" applyNumberFormat="1" applyFont="1" applyFill="1" applyBorder="1" applyAlignment="1">
      <alignment horizontal="right" vertical="top"/>
    </xf>
    <xf numFmtId="0" fontId="41" fillId="0" borderId="0" xfId="89" applyFont="1" applyAlignment="1">
      <alignment vertical="top" wrapText="1"/>
    </xf>
    <xf numFmtId="0" fontId="41" fillId="0" borderId="0" xfId="89" applyFont="1" applyAlignment="1">
      <alignment vertical="top"/>
    </xf>
    <xf numFmtId="1" fontId="41" fillId="0" borderId="0" xfId="89" applyNumberFormat="1" applyFont="1" applyAlignment="1">
      <alignment vertical="top"/>
    </xf>
    <xf numFmtId="165" fontId="21" fillId="0" borderId="5" xfId="89" quotePrefix="1" applyNumberFormat="1" applyFont="1" applyBorder="1" applyAlignment="1">
      <alignment horizontal="right"/>
    </xf>
    <xf numFmtId="165" fontId="21" fillId="0" borderId="0" xfId="89" quotePrefix="1" applyNumberFormat="1" applyFont="1" applyAlignment="1">
      <alignment horizontal="right"/>
    </xf>
    <xf numFmtId="3" fontId="21" fillId="0" borderId="1" xfId="89" applyNumberFormat="1" applyFont="1" applyBorder="1" applyAlignment="1">
      <alignment horizontal="center"/>
    </xf>
    <xf numFmtId="174" fontId="21" fillId="0" borderId="14" xfId="89" applyNumberFormat="1" applyFont="1" applyBorder="1"/>
    <xf numFmtId="165" fontId="16" fillId="0" borderId="5" xfId="89" applyNumberFormat="1" applyFont="1" applyBorder="1"/>
    <xf numFmtId="0" fontId="45" fillId="0" borderId="0" xfId="76" applyNumberFormat="1" applyFont="1" applyAlignment="1">
      <alignment vertical="top" wrapText="1"/>
    </xf>
    <xf numFmtId="3" fontId="21" fillId="0" borderId="10" xfId="89" applyNumberFormat="1" applyFont="1" applyBorder="1" applyAlignment="1">
      <alignment horizontal="center"/>
    </xf>
    <xf numFmtId="165" fontId="8" fillId="0" borderId="12" xfId="89" applyNumberFormat="1" applyBorder="1" applyAlignment="1">
      <alignment horizontal="center"/>
    </xf>
    <xf numFmtId="165" fontId="16" fillId="0" borderId="5" xfId="89" applyNumberFormat="1" applyFont="1" applyBorder="1" applyAlignment="1">
      <alignment horizontal="center" vertical="center" wrapText="1"/>
    </xf>
    <xf numFmtId="165" fontId="16" fillId="0" borderId="5" xfId="89" applyNumberFormat="1" applyFont="1" applyBorder="1" applyAlignment="1">
      <alignment vertical="center" wrapText="1"/>
    </xf>
    <xf numFmtId="165" fontId="16" fillId="0" borderId="5" xfId="89" applyNumberFormat="1" applyFont="1" applyBorder="1" applyAlignment="1">
      <alignment horizontal="center" vertical="top" wrapText="1"/>
    </xf>
    <xf numFmtId="165" fontId="16" fillId="0" borderId="5" xfId="89" applyNumberFormat="1" applyFont="1" applyBorder="1" applyAlignment="1">
      <alignment horizontal="center" vertical="center"/>
    </xf>
    <xf numFmtId="0" fontId="8" fillId="0" borderId="0" xfId="89" applyAlignment="1">
      <alignment vertical="top" wrapText="1"/>
    </xf>
    <xf numFmtId="167" fontId="8" fillId="2" borderId="12" xfId="2" applyNumberFormat="1" applyFont="1" applyFill="1" applyBorder="1" applyAlignment="1">
      <alignment horizontal="right"/>
    </xf>
    <xf numFmtId="174" fontId="21" fillId="0" borderId="14" xfId="89" applyNumberFormat="1" applyFont="1" applyBorder="1" applyAlignment="1">
      <alignment vertical="top"/>
    </xf>
    <xf numFmtId="165" fontId="21" fillId="0" borderId="5" xfId="89" applyNumberFormat="1" applyFont="1" applyBorder="1" applyAlignment="1">
      <alignment horizontal="right" vertical="top"/>
    </xf>
    <xf numFmtId="165" fontId="18" fillId="0" borderId="5" xfId="89" applyNumberFormat="1" applyFont="1" applyBorder="1" applyAlignment="1">
      <alignment horizontal="center"/>
    </xf>
    <xf numFmtId="2" fontId="21" fillId="0" borderId="5" xfId="89" applyNumberFormat="1" applyFont="1" applyBorder="1" applyAlignment="1">
      <alignment horizontal="right" vertical="top"/>
    </xf>
    <xf numFmtId="3" fontId="21" fillId="0" borderId="5" xfId="89" applyNumberFormat="1" applyFont="1" applyBorder="1" applyAlignment="1">
      <alignment horizontal="center"/>
    </xf>
    <xf numFmtId="174" fontId="21" fillId="0" borderId="14" xfId="89" applyNumberFormat="1" applyFont="1" applyBorder="1" applyAlignment="1">
      <alignment wrapText="1"/>
    </xf>
    <xf numFmtId="170" fontId="21" fillId="2" borderId="5" xfId="89" applyNumberFormat="1" applyFont="1" applyFill="1" applyBorder="1" applyAlignment="1">
      <alignment horizontal="right" vertical="top"/>
    </xf>
    <xf numFmtId="165" fontId="21" fillId="0" borderId="5" xfId="89" applyNumberFormat="1" applyFont="1" applyBorder="1" applyAlignment="1">
      <alignment horizontal="right"/>
    </xf>
    <xf numFmtId="178" fontId="21" fillId="0" borderId="5" xfId="89" applyNumberFormat="1" applyFont="1" applyBorder="1" applyAlignment="1">
      <alignment horizontal="right"/>
    </xf>
    <xf numFmtId="2" fontId="21" fillId="0" borderId="5" xfId="89" applyNumberFormat="1" applyFont="1" applyBorder="1" applyAlignment="1">
      <alignment horizontal="right"/>
    </xf>
    <xf numFmtId="0" fontId="45" fillId="0" borderId="0" xfId="76" applyNumberFormat="1" applyFont="1" applyAlignment="1">
      <alignment horizontal="left" vertical="top" wrapText="1"/>
    </xf>
    <xf numFmtId="0" fontId="21" fillId="0" borderId="0" xfId="76" applyNumberFormat="1" applyAlignment="1">
      <alignment vertical="top"/>
    </xf>
    <xf numFmtId="174" fontId="21" fillId="0" borderId="0" xfId="89" applyNumberFormat="1" applyFont="1" applyAlignment="1">
      <alignment vertical="top" wrapText="1"/>
    </xf>
    <xf numFmtId="174" fontId="21" fillId="0" borderId="5" xfId="89" applyNumberFormat="1" applyFont="1" applyBorder="1" applyAlignment="1">
      <alignment vertical="top" wrapText="1"/>
    </xf>
    <xf numFmtId="174" fontId="21" fillId="0" borderId="14" xfId="89" applyNumberFormat="1" applyFont="1" applyBorder="1" applyAlignment="1">
      <alignment vertical="top" wrapText="1"/>
    </xf>
    <xf numFmtId="165" fontId="18" fillId="0" borderId="5" xfId="89" applyNumberFormat="1" applyFont="1" applyBorder="1" applyAlignment="1">
      <alignment horizontal="right" vertical="top"/>
    </xf>
    <xf numFmtId="0" fontId="39" fillId="0" borderId="0" xfId="76" applyNumberFormat="1" applyFont="1" applyAlignment="1">
      <alignment horizontal="left" vertical="top" wrapText="1"/>
    </xf>
    <xf numFmtId="2" fontId="21" fillId="0" borderId="5" xfId="89" applyNumberFormat="1" applyFont="1" applyBorder="1" applyAlignment="1">
      <alignment vertical="top"/>
    </xf>
    <xf numFmtId="2" fontId="21" fillId="2" borderId="5" xfId="89" applyNumberFormat="1" applyFont="1" applyFill="1" applyBorder="1" applyAlignment="1">
      <alignment vertical="top"/>
    </xf>
    <xf numFmtId="2" fontId="40" fillId="0" borderId="5" xfId="89" applyNumberFormat="1" applyFont="1" applyBorder="1" applyAlignment="1">
      <alignment vertical="top"/>
    </xf>
    <xf numFmtId="165" fontId="18" fillId="0" borderId="5" xfId="89" applyNumberFormat="1" applyFont="1" applyBorder="1" applyAlignment="1">
      <alignment horizontal="center" vertical="top"/>
    </xf>
    <xf numFmtId="0" fontId="46" fillId="0" borderId="0" xfId="76" applyNumberFormat="1" applyFont="1" applyAlignment="1">
      <alignment horizontal="left" vertical="top"/>
    </xf>
    <xf numFmtId="174" fontId="21" fillId="0" borderId="2" xfId="89" applyNumberFormat="1" applyFont="1" applyBorder="1" applyAlignment="1">
      <alignment horizontal="left" vertical="center" wrapText="1"/>
    </xf>
    <xf numFmtId="2" fontId="40" fillId="0" borderId="5" xfId="89" applyNumberFormat="1" applyFont="1" applyBorder="1"/>
    <xf numFmtId="165" fontId="18" fillId="0" borderId="13" xfId="89" applyNumberFormat="1" applyFont="1" applyBorder="1" applyAlignment="1">
      <alignment horizontal="center"/>
    </xf>
    <xf numFmtId="0" fontId="8" fillId="0" borderId="5" xfId="89" applyBorder="1"/>
    <xf numFmtId="174" fontId="21" fillId="0" borderId="5" xfId="89" applyNumberFormat="1" applyFont="1" applyBorder="1" applyAlignment="1">
      <alignment horizontal="left" vertical="top" wrapText="1"/>
    </xf>
    <xf numFmtId="165" fontId="18" fillId="0" borderId="13" xfId="89" applyNumberFormat="1" applyFont="1" applyBorder="1" applyAlignment="1">
      <alignment horizontal="center" vertical="top"/>
    </xf>
    <xf numFmtId="165" fontId="21" fillId="0" borderId="13" xfId="89" applyNumberFormat="1" applyFont="1" applyBorder="1" applyAlignment="1">
      <alignment horizontal="center"/>
    </xf>
    <xf numFmtId="174" fontId="21" fillId="0" borderId="14" xfId="89" applyNumberFormat="1" applyFont="1" applyBorder="1" applyAlignment="1">
      <alignment horizontal="left" vertical="top" wrapText="1"/>
    </xf>
    <xf numFmtId="165" fontId="21" fillId="0" borderId="13" xfId="89" applyNumberFormat="1" applyFont="1" applyBorder="1" applyAlignment="1">
      <alignment horizontal="center" vertical="top"/>
    </xf>
    <xf numFmtId="174" fontId="18" fillId="0" borderId="14" xfId="89" applyNumberFormat="1" applyFont="1" applyBorder="1"/>
    <xf numFmtId="2" fontId="18" fillId="0" borderId="5" xfId="89" applyNumberFormat="1" applyFont="1" applyBorder="1" applyAlignment="1">
      <alignment horizontal="right"/>
    </xf>
    <xf numFmtId="2" fontId="8" fillId="0" borderId="0" xfId="89" applyNumberFormat="1"/>
    <xf numFmtId="3" fontId="8" fillId="0" borderId="0" xfId="89" applyNumberFormat="1"/>
    <xf numFmtId="165" fontId="8" fillId="0" borderId="0" xfId="89" applyNumberFormat="1" applyAlignment="1">
      <alignment horizontal="right"/>
    </xf>
    <xf numFmtId="165" fontId="18" fillId="0" borderId="0" xfId="89" applyNumberFormat="1" applyFont="1" applyAlignment="1">
      <alignment horizontal="center" vertical="top" wrapText="1"/>
    </xf>
    <xf numFmtId="1" fontId="43" fillId="0" borderId="0" xfId="89" applyNumberFormat="1" applyFont="1" applyAlignment="1">
      <alignment horizontal="center"/>
    </xf>
    <xf numFmtId="165" fontId="43" fillId="0" borderId="0" xfId="89" applyNumberFormat="1" applyFont="1" applyAlignment="1">
      <alignment horizontal="left" wrapText="1"/>
    </xf>
    <xf numFmtId="165" fontId="8" fillId="0" borderId="0" xfId="89" applyNumberFormat="1" applyAlignment="1">
      <alignment horizontal="center"/>
    </xf>
    <xf numFmtId="165" fontId="16" fillId="0" borderId="0" xfId="89" applyNumberFormat="1" applyFont="1" applyAlignment="1">
      <alignment horizontal="left" wrapText="1"/>
    </xf>
    <xf numFmtId="165" fontId="16" fillId="0" borderId="0" xfId="89" applyNumberFormat="1" applyFont="1" applyAlignment="1">
      <alignment vertical="top"/>
    </xf>
    <xf numFmtId="165" fontId="16" fillId="0" borderId="0" xfId="89" applyNumberFormat="1" applyFont="1" applyAlignment="1">
      <alignment horizontal="center" vertical="center"/>
    </xf>
    <xf numFmtId="165" fontId="16" fillId="0" borderId="0" xfId="89" quotePrefix="1" applyNumberFormat="1" applyFont="1" applyAlignment="1">
      <alignment horizontal="center" vertical="center"/>
    </xf>
    <xf numFmtId="165" fontId="22" fillId="0" borderId="0" xfId="89" applyNumberFormat="1" applyFont="1" applyAlignment="1">
      <alignment horizontal="center" vertical="center" wrapText="1"/>
    </xf>
    <xf numFmtId="165" fontId="16" fillId="0" borderId="0" xfId="89" quotePrefix="1" applyNumberFormat="1" applyFont="1" applyAlignment="1">
      <alignment horizontal="center"/>
    </xf>
    <xf numFmtId="0" fontId="8" fillId="0" borderId="0" xfId="89" applyAlignment="1">
      <alignment wrapText="1"/>
    </xf>
    <xf numFmtId="165" fontId="16" fillId="0" borderId="0" xfId="89" applyNumberFormat="1" applyFont="1" applyAlignment="1">
      <alignment vertical="center" wrapText="1"/>
    </xf>
    <xf numFmtId="166" fontId="16" fillId="0" borderId="0" xfId="89" applyNumberFormat="1" applyFont="1" applyAlignment="1">
      <alignment horizontal="right" vertical="center"/>
    </xf>
    <xf numFmtId="165" fontId="16" fillId="0" borderId="0" xfId="89" applyNumberFormat="1" applyFont="1" applyAlignment="1">
      <alignment horizontal="right" vertical="center"/>
    </xf>
    <xf numFmtId="166" fontId="16" fillId="0" borderId="0" xfId="89" applyNumberFormat="1" applyFont="1" applyAlignment="1">
      <alignment horizontal="center" vertical="top"/>
    </xf>
    <xf numFmtId="166" fontId="16" fillId="0" borderId="0" xfId="89" applyNumberFormat="1" applyFont="1" applyAlignment="1">
      <alignment horizontal="center" vertical="center"/>
    </xf>
    <xf numFmtId="165" fontId="8" fillId="0" borderId="0" xfId="89" applyNumberFormat="1" applyAlignment="1">
      <alignment wrapText="1"/>
    </xf>
    <xf numFmtId="165" fontId="8" fillId="0" borderId="0" xfId="89" applyNumberFormat="1" applyAlignment="1">
      <alignment horizontal="center" vertical="center"/>
    </xf>
    <xf numFmtId="0" fontId="8" fillId="0" borderId="0" xfId="89" applyAlignment="1">
      <alignment horizontal="center" vertical="center"/>
    </xf>
    <xf numFmtId="0" fontId="8" fillId="0" borderId="0" xfId="89" applyAlignment="1">
      <alignment horizontal="left" vertical="center"/>
    </xf>
    <xf numFmtId="165" fontId="16" fillId="0" borderId="0" xfId="89" quotePrefix="1" applyNumberFormat="1" applyFont="1" applyAlignment="1">
      <alignment horizontal="left"/>
    </xf>
    <xf numFmtId="1" fontId="47" fillId="0" borderId="0" xfId="89" applyNumberFormat="1" applyFont="1" applyAlignment="1">
      <alignment horizontal="right"/>
    </xf>
    <xf numFmtId="165" fontId="22" fillId="0" borderId="0" xfId="89" applyNumberFormat="1" applyFont="1" applyAlignment="1">
      <alignment horizontal="left" wrapText="1"/>
    </xf>
    <xf numFmtId="2" fontId="21" fillId="0" borderId="13" xfId="89" applyNumberFormat="1" applyFont="1" applyBorder="1" applyAlignment="1">
      <alignment horizontal="right" vertical="top"/>
    </xf>
    <xf numFmtId="174" fontId="21" fillId="0" borderId="19" xfId="89" applyNumberFormat="1" applyFont="1" applyBorder="1" applyAlignment="1">
      <alignment horizontal="right"/>
    </xf>
    <xf numFmtId="3" fontId="18" fillId="0" borderId="0" xfId="89" applyNumberFormat="1" applyFont="1"/>
    <xf numFmtId="174" fontId="21" fillId="0" borderId="0" xfId="89" applyNumberFormat="1" applyFont="1" applyAlignment="1">
      <alignment horizontal="right"/>
    </xf>
    <xf numFmtId="165" fontId="21" fillId="0" borderId="0" xfId="89" applyNumberFormat="1" applyFont="1" applyAlignment="1">
      <alignment horizontal="left"/>
    </xf>
    <xf numFmtId="165" fontId="21" fillId="2" borderId="0" xfId="22" applyNumberFormat="1" applyFill="1" applyAlignment="1">
      <alignment horizontal="right" vertical="center"/>
    </xf>
    <xf numFmtId="165" fontId="37" fillId="0" borderId="19" xfId="89" applyNumberFormat="1" applyFont="1" applyBorder="1" applyAlignment="1">
      <alignment horizontal="right"/>
    </xf>
    <xf numFmtId="0" fontId="7" fillId="0" borderId="0" xfId="89" applyFont="1"/>
    <xf numFmtId="165" fontId="7" fillId="0" borderId="0" xfId="89" applyNumberFormat="1" applyFont="1"/>
    <xf numFmtId="2" fontId="21" fillId="0" borderId="9" xfId="22" applyNumberFormat="1" applyBorder="1" applyAlignment="1">
      <alignment horizontal="center" vertical="top"/>
    </xf>
    <xf numFmtId="2" fontId="21" fillId="0" borderId="2" xfId="22" applyNumberFormat="1" applyBorder="1" applyAlignment="1">
      <alignment horizontal="center" vertical="top"/>
    </xf>
    <xf numFmtId="2" fontId="21" fillId="23" borderId="5" xfId="15" applyNumberFormat="1" applyFont="1" applyFill="1" applyBorder="1" applyAlignment="1">
      <alignment horizontal="right"/>
    </xf>
    <xf numFmtId="165" fontId="21" fillId="23" borderId="5" xfId="15" applyNumberFormat="1" applyFont="1" applyFill="1" applyBorder="1" applyAlignment="1">
      <alignment horizontal="right"/>
    </xf>
    <xf numFmtId="3" fontId="18" fillId="0" borderId="21" xfId="89" applyNumberFormat="1" applyFont="1" applyBorder="1" applyAlignment="1">
      <alignment horizontal="center" vertical="center"/>
    </xf>
    <xf numFmtId="174" fontId="18" fillId="0" borderId="22" xfId="89" applyNumberFormat="1" applyFont="1" applyBorder="1" applyAlignment="1">
      <alignment horizontal="center" vertical="center"/>
    </xf>
    <xf numFmtId="165" fontId="18" fillId="0" borderId="22" xfId="22" applyNumberFormat="1" applyFont="1" applyBorder="1" applyAlignment="1">
      <alignment horizontal="center" vertical="center"/>
    </xf>
    <xf numFmtId="174" fontId="18" fillId="0" borderId="21" xfId="89" applyNumberFormat="1" applyFont="1" applyBorder="1" applyAlignment="1">
      <alignment horizontal="center" vertical="center"/>
    </xf>
    <xf numFmtId="165" fontId="18" fillId="0" borderId="0" xfId="22" applyNumberFormat="1" applyFont="1" applyAlignment="1">
      <alignment vertical="center" wrapText="1"/>
    </xf>
    <xf numFmtId="165" fontId="21" fillId="0" borderId="0" xfId="22" applyNumberFormat="1" applyAlignment="1">
      <alignment vertical="center"/>
    </xf>
    <xf numFmtId="165" fontId="18" fillId="0" borderId="0" xfId="89" applyNumberFormat="1" applyFont="1" applyAlignment="1">
      <alignment horizontal="left" vertical="center"/>
    </xf>
    <xf numFmtId="165" fontId="8" fillId="0" borderId="0" xfId="89" applyNumberFormat="1" applyAlignment="1">
      <alignment vertical="center"/>
    </xf>
    <xf numFmtId="176" fontId="21" fillId="0" borderId="0" xfId="22" applyNumberFormat="1" applyAlignment="1">
      <alignment horizontal="center" vertical="center"/>
    </xf>
    <xf numFmtId="0" fontId="8" fillId="0" borderId="0" xfId="89" applyAlignment="1">
      <alignment vertical="center"/>
    </xf>
    <xf numFmtId="165" fontId="22" fillId="0" borderId="0" xfId="89" applyNumberFormat="1" applyFont="1" applyAlignment="1">
      <alignment horizontal="right" vertical="center"/>
    </xf>
    <xf numFmtId="165" fontId="18" fillId="3" borderId="0" xfId="22" applyNumberFormat="1" applyFont="1" applyFill="1" applyAlignment="1">
      <alignment horizontal="right" vertical="center"/>
    </xf>
    <xf numFmtId="2" fontId="40" fillId="6" borderId="5" xfId="15" applyNumberFormat="1" applyFont="1" applyFill="1" applyBorder="1" applyAlignment="1">
      <alignment vertical="top"/>
    </xf>
    <xf numFmtId="9" fontId="21" fillId="0" borderId="0" xfId="2" applyFont="1" applyFill="1" applyAlignment="1">
      <alignment horizontal="right"/>
    </xf>
    <xf numFmtId="0" fontId="1" fillId="0" borderId="0" xfId="727"/>
    <xf numFmtId="165" fontId="21" fillId="0" borderId="0" xfId="22" applyNumberFormat="1" applyAlignment="1">
      <alignment horizontal="right" vertical="center"/>
    </xf>
    <xf numFmtId="3" fontId="18" fillId="0" borderId="0" xfId="727" applyNumberFormat="1" applyFont="1"/>
    <xf numFmtId="174" fontId="21" fillId="0" borderId="0" xfId="727" applyNumberFormat="1" applyFont="1" applyAlignment="1">
      <alignment horizontal="right"/>
    </xf>
    <xf numFmtId="165" fontId="21" fillId="0" borderId="0" xfId="727" applyNumberFormat="1" applyFont="1" applyAlignment="1">
      <alignment horizontal="left"/>
    </xf>
    <xf numFmtId="165" fontId="18" fillId="0" borderId="0" xfId="727" applyNumberFormat="1" applyFont="1" applyAlignment="1">
      <alignment horizontal="left"/>
    </xf>
    <xf numFmtId="165" fontId="18" fillId="0" borderId="0" xfId="727" applyNumberFormat="1" applyFont="1"/>
    <xf numFmtId="165" fontId="1" fillId="0" borderId="0" xfId="727" applyNumberFormat="1"/>
    <xf numFmtId="166" fontId="1" fillId="0" borderId="0" xfId="727" applyNumberFormat="1"/>
    <xf numFmtId="165" fontId="37" fillId="0" borderId="0" xfId="727" applyNumberFormat="1" applyFont="1" applyAlignment="1">
      <alignment horizontal="right"/>
    </xf>
    <xf numFmtId="3" fontId="18" fillId="0" borderId="20" xfId="727" applyNumberFormat="1" applyFont="1" applyBorder="1"/>
    <xf numFmtId="174" fontId="21" fillId="0" borderId="11" xfId="727" applyNumberFormat="1" applyFont="1" applyBorder="1" applyAlignment="1">
      <alignment horizontal="right"/>
    </xf>
    <xf numFmtId="165" fontId="21" fillId="0" borderId="32" xfId="727" applyNumberFormat="1" applyFont="1" applyBorder="1" applyAlignment="1">
      <alignment horizontal="left"/>
    </xf>
    <xf numFmtId="165" fontId="21" fillId="0" borderId="32" xfId="22" applyNumberFormat="1" applyBorder="1"/>
    <xf numFmtId="3" fontId="18" fillId="0" borderId="9" xfId="727" applyNumberFormat="1" applyFont="1" applyBorder="1"/>
    <xf numFmtId="165" fontId="21" fillId="0" borderId="19" xfId="727" applyNumberFormat="1" applyFont="1" applyBorder="1" applyAlignment="1">
      <alignment horizontal="left"/>
    </xf>
    <xf numFmtId="165" fontId="18" fillId="0" borderId="1" xfId="22" applyNumberFormat="1" applyFont="1" applyBorder="1" applyAlignment="1">
      <alignment horizontal="center"/>
    </xf>
    <xf numFmtId="3" fontId="18" fillId="0" borderId="5" xfId="727" applyNumberFormat="1" applyFont="1" applyBorder="1" applyAlignment="1">
      <alignment horizontal="center" vertical="center"/>
    </xf>
    <xf numFmtId="174" fontId="18" fillId="0" borderId="5" xfId="727" applyNumberFormat="1" applyFont="1" applyBorder="1" applyAlignment="1">
      <alignment horizontal="center" vertical="center"/>
    </xf>
    <xf numFmtId="174" fontId="18" fillId="2" borderId="33" xfId="727" applyNumberFormat="1" applyFont="1" applyFill="1" applyBorder="1" applyAlignment="1">
      <alignment horizontal="center" vertical="center"/>
    </xf>
    <xf numFmtId="165" fontId="18" fillId="2" borderId="34" xfId="22" applyNumberFormat="1" applyFont="1" applyFill="1" applyBorder="1" applyAlignment="1">
      <alignment horizontal="center" vertical="center"/>
    </xf>
    <xf numFmtId="165" fontId="18" fillId="0" borderId="0" xfId="727" applyNumberFormat="1" applyFont="1" applyAlignment="1">
      <alignment horizontal="left" vertical="center"/>
    </xf>
    <xf numFmtId="165" fontId="1" fillId="0" borderId="0" xfId="727" applyNumberFormat="1" applyAlignment="1">
      <alignment vertical="center"/>
    </xf>
    <xf numFmtId="0" fontId="1" fillId="0" borderId="0" xfId="727" applyAlignment="1">
      <alignment vertical="center"/>
    </xf>
    <xf numFmtId="165" fontId="22" fillId="0" borderId="0" xfId="727" applyNumberFormat="1" applyFont="1" applyAlignment="1">
      <alignment horizontal="right" vertical="center"/>
    </xf>
    <xf numFmtId="3" fontId="21" fillId="0" borderId="2" xfId="727" applyNumberFormat="1" applyFont="1" applyBorder="1" applyAlignment="1">
      <alignment horizontal="center" vertical="center"/>
    </xf>
    <xf numFmtId="174" fontId="21" fillId="0" borderId="2" xfId="727" applyNumberFormat="1" applyFont="1" applyBorder="1" applyAlignment="1">
      <alignment horizontal="left" vertical="center" wrapText="1"/>
    </xf>
    <xf numFmtId="165" fontId="21" fillId="0" borderId="9" xfId="727" applyNumberFormat="1" applyFont="1" applyBorder="1" applyAlignment="1">
      <alignment vertical="center"/>
    </xf>
    <xf numFmtId="174" fontId="21" fillId="0" borderId="9" xfId="22" applyNumberFormat="1" applyBorder="1" applyAlignment="1">
      <alignment vertical="center" wrapText="1"/>
    </xf>
    <xf numFmtId="183" fontId="21" fillId="0" borderId="2" xfId="727" applyNumberFormat="1" applyFont="1" applyBorder="1" applyAlignment="1">
      <alignment vertical="center"/>
    </xf>
    <xf numFmtId="0" fontId="40" fillId="0" borderId="0" xfId="727" applyFont="1" applyAlignment="1">
      <alignment vertical="center"/>
    </xf>
    <xf numFmtId="165" fontId="21" fillId="0" borderId="0" xfId="22" applyNumberFormat="1" applyAlignment="1">
      <alignment vertical="center" wrapText="1"/>
    </xf>
    <xf numFmtId="2" fontId="21" fillId="0" borderId="0" xfId="22" applyNumberFormat="1" applyAlignment="1">
      <alignment vertical="center"/>
    </xf>
    <xf numFmtId="165" fontId="23" fillId="0" borderId="0" xfId="727" applyNumberFormat="1" applyFont="1" applyAlignment="1">
      <alignment vertical="center"/>
    </xf>
    <xf numFmtId="1" fontId="1" fillId="0" borderId="0" xfId="727" applyNumberFormat="1" applyAlignment="1">
      <alignment vertical="center"/>
    </xf>
    <xf numFmtId="172" fontId="21" fillId="0" borderId="2" xfId="76" applyBorder="1" applyAlignment="1">
      <alignment vertical="center" wrapText="1"/>
    </xf>
    <xf numFmtId="2" fontId="21" fillId="0" borderId="0" xfId="727" applyNumberFormat="1" applyFont="1" applyAlignment="1">
      <alignment vertical="center"/>
    </xf>
    <xf numFmtId="1" fontId="1" fillId="0" borderId="0" xfId="727" applyNumberFormat="1" applyAlignment="1">
      <alignment horizontal="center" vertical="center"/>
    </xf>
    <xf numFmtId="165" fontId="18" fillId="0" borderId="0" xfId="727" applyNumberFormat="1" applyFont="1" applyAlignment="1">
      <alignment horizontal="center" vertical="center"/>
    </xf>
    <xf numFmtId="165" fontId="1" fillId="0" borderId="0" xfId="727" applyNumberFormat="1" applyAlignment="1">
      <alignment horizontal="center" vertical="center"/>
    </xf>
    <xf numFmtId="165" fontId="1" fillId="0" borderId="0" xfId="727" applyNumberFormat="1" applyAlignment="1">
      <alignment horizontal="right" vertical="center"/>
    </xf>
    <xf numFmtId="165" fontId="1" fillId="0" borderId="0" xfId="727" applyNumberFormat="1" applyAlignment="1">
      <alignment horizontal="left" vertical="center"/>
    </xf>
    <xf numFmtId="2" fontId="21" fillId="0" borderId="0" xfId="22" applyNumberFormat="1" applyAlignment="1">
      <alignment vertical="center" wrapText="1"/>
    </xf>
    <xf numFmtId="166" fontId="21" fillId="0" borderId="0" xfId="22" applyNumberFormat="1" applyAlignment="1">
      <alignment horizontal="center" vertical="center" wrapText="1"/>
    </xf>
    <xf numFmtId="165" fontId="1" fillId="0" borderId="0" xfId="727" applyNumberFormat="1" applyAlignment="1">
      <alignment horizontal="left" vertical="center" wrapText="1"/>
    </xf>
    <xf numFmtId="174" fontId="21" fillId="0" borderId="2" xfId="727" applyNumberFormat="1" applyFont="1" applyBorder="1" applyAlignment="1">
      <alignment vertical="center"/>
    </xf>
    <xf numFmtId="2" fontId="21" fillId="0" borderId="9" xfId="22" applyNumberFormat="1" applyBorder="1" applyAlignment="1">
      <alignment vertical="center"/>
    </xf>
    <xf numFmtId="165" fontId="21" fillId="0" borderId="0" xfId="727" applyNumberFormat="1" applyFont="1" applyAlignment="1">
      <alignment vertical="center"/>
    </xf>
    <xf numFmtId="165" fontId="22" fillId="0" borderId="0" xfId="727" applyNumberFormat="1" applyFont="1" applyAlignment="1">
      <alignment horizontal="center" vertical="center"/>
    </xf>
    <xf numFmtId="165" fontId="22" fillId="0" borderId="0" xfId="727" applyNumberFormat="1" applyFont="1" applyAlignment="1">
      <alignment vertical="center"/>
    </xf>
    <xf numFmtId="165" fontId="16" fillId="0" borderId="0" xfId="727" applyNumberFormat="1" applyFont="1" applyAlignment="1">
      <alignment horizontal="center" vertical="center"/>
    </xf>
    <xf numFmtId="165" fontId="43" fillId="0" borderId="0" xfId="727" applyNumberFormat="1" applyFont="1" applyAlignment="1">
      <alignment vertical="center"/>
    </xf>
    <xf numFmtId="172" fontId="21" fillId="0" borderId="2" xfId="16" applyNumberFormat="1" applyBorder="1" applyAlignment="1">
      <alignment vertical="center" wrapText="1"/>
    </xf>
    <xf numFmtId="174" fontId="21" fillId="0" borderId="2" xfId="727" applyNumberFormat="1" applyFont="1" applyBorder="1" applyAlignment="1">
      <alignment vertical="center" wrapText="1"/>
    </xf>
    <xf numFmtId="165" fontId="21" fillId="0" borderId="9" xfId="727" applyNumberFormat="1" applyFont="1" applyBorder="1" applyAlignment="1">
      <alignment vertical="center" wrapText="1"/>
    </xf>
    <xf numFmtId="2" fontId="21" fillId="0" borderId="9" xfId="22" applyNumberFormat="1" applyBorder="1" applyAlignment="1">
      <alignment vertical="center" wrapText="1"/>
    </xf>
    <xf numFmtId="1" fontId="16" fillId="0" borderId="0" xfId="727" applyNumberFormat="1" applyFont="1" applyAlignment="1">
      <alignment horizontal="center" vertical="center"/>
    </xf>
    <xf numFmtId="165" fontId="26" fillId="0" borderId="0" xfId="727" applyNumberFormat="1" applyFont="1" applyAlignment="1">
      <alignment vertical="center" wrapText="1"/>
    </xf>
    <xf numFmtId="165" fontId="26" fillId="0" borderId="0" xfId="727" applyNumberFormat="1" applyFont="1" applyAlignment="1">
      <alignment horizontal="center" vertical="center" wrapText="1"/>
    </xf>
    <xf numFmtId="166" fontId="26" fillId="0" borderId="0" xfId="727" applyNumberFormat="1" applyFont="1" applyAlignment="1">
      <alignment horizontal="center" vertical="center" wrapText="1"/>
    </xf>
    <xf numFmtId="166" fontId="26" fillId="0" borderId="0" xfId="727" applyNumberFormat="1" applyFont="1" applyAlignment="1">
      <alignment vertical="center" wrapText="1"/>
    </xf>
    <xf numFmtId="166" fontId="1" fillId="0" borderId="0" xfId="727" applyNumberFormat="1" applyAlignment="1">
      <alignment horizontal="center" vertical="center"/>
    </xf>
    <xf numFmtId="0" fontId="1" fillId="0" borderId="0" xfId="727" applyAlignment="1">
      <alignment horizontal="center" vertical="center"/>
    </xf>
    <xf numFmtId="174" fontId="21" fillId="0" borderId="2" xfId="728" applyNumberFormat="1" applyFont="1" applyBorder="1" applyAlignment="1">
      <alignment vertical="center" wrapText="1"/>
    </xf>
    <xf numFmtId="2" fontId="21" fillId="0" borderId="9" xfId="727" applyNumberFormat="1" applyFont="1" applyBorder="1" applyAlignment="1">
      <alignment vertical="center"/>
    </xf>
    <xf numFmtId="165" fontId="16" fillId="0" borderId="0" xfId="727" applyNumberFormat="1" applyFont="1" applyAlignment="1">
      <alignment horizontal="right" vertical="center"/>
    </xf>
    <xf numFmtId="2" fontId="21" fillId="0" borderId="9" xfId="22" applyNumberFormat="1" applyBorder="1" applyAlignment="1">
      <alignment horizontal="center" vertical="center"/>
    </xf>
    <xf numFmtId="165" fontId="18" fillId="0" borderId="0" xfId="22" applyNumberFormat="1" applyFont="1" applyAlignment="1">
      <alignment vertical="center"/>
    </xf>
    <xf numFmtId="165" fontId="16" fillId="0" borderId="0" xfId="727" applyNumberFormat="1" applyFont="1" applyAlignment="1">
      <alignment horizontal="left" vertical="center" wrapText="1"/>
    </xf>
    <xf numFmtId="3" fontId="21" fillId="0" borderId="10" xfId="728" applyNumberFormat="1" applyFont="1" applyBorder="1" applyAlignment="1">
      <alignment horizontal="center" vertical="center"/>
    </xf>
    <xf numFmtId="174" fontId="21" fillId="0" borderId="10" xfId="728" applyNumberFormat="1" applyFont="1" applyBorder="1" applyAlignment="1">
      <alignment vertical="center" wrapText="1"/>
    </xf>
    <xf numFmtId="2" fontId="21" fillId="0" borderId="6" xfId="22" applyNumberFormat="1" applyBorder="1" applyAlignment="1">
      <alignment vertical="center"/>
    </xf>
    <xf numFmtId="1" fontId="16" fillId="0" borderId="0" xfId="728" applyNumberFormat="1" applyFont="1" applyAlignment="1">
      <alignment horizontal="center" vertical="center"/>
    </xf>
    <xf numFmtId="165" fontId="16" fillId="0" borderId="0" xfId="728" applyNumberFormat="1" applyFont="1" applyAlignment="1">
      <alignment horizontal="left" vertical="center" wrapText="1"/>
    </xf>
    <xf numFmtId="165" fontId="1" fillId="0" borderId="0" xfId="728" applyNumberFormat="1" applyAlignment="1">
      <alignment horizontal="center" vertical="center"/>
    </xf>
    <xf numFmtId="166" fontId="1" fillId="0" borderId="0" xfId="728" applyNumberFormat="1" applyAlignment="1">
      <alignment horizontal="center" vertical="center"/>
    </xf>
    <xf numFmtId="165" fontId="1" fillId="0" borderId="0" xfId="728" applyNumberFormat="1" applyAlignment="1">
      <alignment horizontal="right" vertical="center"/>
    </xf>
    <xf numFmtId="0" fontId="1" fillId="0" borderId="0" xfId="728" applyAlignment="1">
      <alignment vertical="center"/>
    </xf>
    <xf numFmtId="165" fontId="16" fillId="0" borderId="0" xfId="728" applyNumberFormat="1" applyFont="1" applyAlignment="1">
      <alignment horizontal="right" vertical="center"/>
    </xf>
    <xf numFmtId="0" fontId="1" fillId="0" borderId="0" xfId="728" applyAlignment="1">
      <alignment horizontal="center" vertical="center"/>
    </xf>
    <xf numFmtId="165" fontId="1" fillId="0" borderId="0" xfId="728" applyNumberFormat="1" applyAlignment="1">
      <alignment vertical="center"/>
    </xf>
    <xf numFmtId="3" fontId="21" fillId="0" borderId="10" xfId="727" applyNumberFormat="1" applyFont="1" applyBorder="1" applyAlignment="1">
      <alignment horizontal="center" vertical="center"/>
    </xf>
    <xf numFmtId="174" fontId="18" fillId="0" borderId="10" xfId="727" applyNumberFormat="1" applyFont="1" applyBorder="1" applyAlignment="1">
      <alignment horizontal="right" vertical="center" wrapText="1"/>
    </xf>
    <xf numFmtId="165" fontId="18" fillId="0" borderId="9" xfId="727" applyNumberFormat="1" applyFont="1" applyBorder="1" applyAlignment="1">
      <alignment vertical="center"/>
    </xf>
    <xf numFmtId="165" fontId="18" fillId="0" borderId="0" xfId="22" applyNumberFormat="1" applyFont="1" applyAlignment="1">
      <alignment horizontal="left" vertical="center"/>
    </xf>
    <xf numFmtId="174" fontId="18" fillId="0" borderId="9" xfId="727" applyNumberFormat="1" applyFont="1" applyBorder="1" applyAlignment="1">
      <alignment vertical="center"/>
    </xf>
    <xf numFmtId="165" fontId="18" fillId="0" borderId="20" xfId="727" applyNumberFormat="1" applyFont="1" applyBorder="1" applyAlignment="1">
      <alignment vertical="center"/>
    </xf>
    <xf numFmtId="2" fontId="18" fillId="0" borderId="20" xfId="22" applyNumberFormat="1" applyFont="1" applyBorder="1" applyAlignment="1">
      <alignment vertical="center"/>
    </xf>
    <xf numFmtId="1" fontId="16" fillId="0" borderId="0" xfId="727" applyNumberFormat="1" applyFont="1" applyAlignment="1">
      <alignment horizontal="right" vertical="center"/>
    </xf>
    <xf numFmtId="165" fontId="22" fillId="0" borderId="0" xfId="727" applyNumberFormat="1" applyFont="1" applyAlignment="1">
      <alignment horizontal="right" vertical="center" wrapText="1"/>
    </xf>
    <xf numFmtId="166" fontId="22" fillId="0" borderId="0" xfId="727" applyNumberFormat="1" applyFont="1" applyAlignment="1">
      <alignment horizontal="right" vertical="center"/>
    </xf>
    <xf numFmtId="3" fontId="21" fillId="0" borderId="2" xfId="727" applyNumberFormat="1" applyFont="1" applyBorder="1" applyAlignment="1">
      <alignment horizontal="right" vertical="center"/>
    </xf>
    <xf numFmtId="174" fontId="21" fillId="0" borderId="0" xfId="727" applyNumberFormat="1" applyFont="1" applyAlignment="1">
      <alignment vertical="center"/>
    </xf>
    <xf numFmtId="165" fontId="21" fillId="0" borderId="2" xfId="76" applyNumberFormat="1" applyBorder="1" applyAlignment="1">
      <alignment vertical="center"/>
    </xf>
    <xf numFmtId="165" fontId="22" fillId="0" borderId="0" xfId="727" applyNumberFormat="1" applyFont="1" applyAlignment="1">
      <alignment horizontal="left" vertical="center"/>
    </xf>
    <xf numFmtId="165" fontId="16" fillId="0" borderId="0" xfId="727" applyNumberFormat="1" applyFont="1" applyAlignment="1">
      <alignment horizontal="left" vertical="center"/>
    </xf>
    <xf numFmtId="3" fontId="1" fillId="0" borderId="2" xfId="727" applyNumberFormat="1" applyBorder="1" applyAlignment="1">
      <alignment horizontal="right" vertical="center"/>
    </xf>
    <xf numFmtId="165" fontId="42" fillId="0" borderId="0" xfId="727" applyNumberFormat="1" applyFont="1" applyAlignment="1">
      <alignment vertical="center"/>
    </xf>
    <xf numFmtId="165" fontId="21" fillId="0" borderId="12" xfId="727" applyNumberFormat="1" applyFont="1" applyBorder="1" applyAlignment="1">
      <alignment vertical="center"/>
    </xf>
    <xf numFmtId="165" fontId="21" fillId="0" borderId="10" xfId="76" applyNumberFormat="1" applyBorder="1" applyAlignment="1">
      <alignment vertical="center"/>
    </xf>
    <xf numFmtId="165" fontId="16" fillId="0" borderId="0" xfId="727" applyNumberFormat="1" applyFont="1" applyAlignment="1">
      <alignment vertical="center"/>
    </xf>
    <xf numFmtId="3" fontId="1" fillId="0" borderId="12" xfId="727" applyNumberFormat="1" applyBorder="1" applyAlignment="1">
      <alignment horizontal="right" vertical="center"/>
    </xf>
    <xf numFmtId="174" fontId="18" fillId="0" borderId="5" xfId="727" applyNumberFormat="1" applyFont="1" applyBorder="1" applyAlignment="1">
      <alignment horizontal="right" vertical="center" wrapText="1"/>
    </xf>
    <xf numFmtId="170" fontId="21" fillId="0" borderId="2" xfId="76" applyNumberFormat="1" applyBorder="1" applyAlignment="1">
      <alignment vertical="center"/>
    </xf>
    <xf numFmtId="176" fontId="21" fillId="0" borderId="0" xfId="22" applyNumberFormat="1" applyAlignment="1">
      <alignment vertical="center"/>
    </xf>
    <xf numFmtId="165" fontId="16" fillId="0" borderId="0" xfId="727" applyNumberFormat="1" applyFont="1" applyAlignment="1">
      <alignment vertical="center" wrapText="1"/>
    </xf>
    <xf numFmtId="3" fontId="21" fillId="0" borderId="5" xfId="727" applyNumberFormat="1" applyFont="1" applyBorder="1" applyAlignment="1">
      <alignment horizontal="center" vertical="center"/>
    </xf>
    <xf numFmtId="174" fontId="18" fillId="0" borderId="5" xfId="727" applyNumberFormat="1" applyFont="1" applyBorder="1" applyAlignment="1">
      <alignment vertical="center"/>
    </xf>
    <xf numFmtId="165" fontId="18" fillId="0" borderId="5" xfId="727" applyNumberFormat="1" applyFont="1" applyBorder="1" applyAlignment="1">
      <alignment vertical="center"/>
    </xf>
    <xf numFmtId="183" fontId="18" fillId="0" borderId="5" xfId="727" applyNumberFormat="1" applyFont="1" applyBorder="1" applyAlignment="1">
      <alignment vertical="center"/>
    </xf>
    <xf numFmtId="166" fontId="16" fillId="0" borderId="0" xfId="727" applyNumberFormat="1" applyFont="1" applyAlignment="1">
      <alignment horizontal="right" vertical="center"/>
    </xf>
    <xf numFmtId="3" fontId="21" fillId="0" borderId="1" xfId="727" applyNumberFormat="1" applyFont="1" applyBorder="1" applyAlignment="1">
      <alignment horizontal="center" vertical="center"/>
    </xf>
    <xf numFmtId="174" fontId="21" fillId="0" borderId="3" xfId="727" applyNumberFormat="1" applyFont="1" applyBorder="1" applyAlignment="1">
      <alignment vertical="center"/>
    </xf>
    <xf numFmtId="165" fontId="21" fillId="0" borderId="2" xfId="727" applyNumberFormat="1" applyFont="1" applyBorder="1" applyAlignment="1">
      <alignment vertical="center"/>
    </xf>
    <xf numFmtId="165" fontId="18" fillId="0" borderId="5" xfId="22" applyNumberFormat="1" applyFont="1" applyBorder="1" applyAlignment="1">
      <alignment vertical="center"/>
    </xf>
    <xf numFmtId="2" fontId="22" fillId="0" borderId="0" xfId="22" applyNumberFormat="1" applyFont="1" applyAlignment="1">
      <alignment vertical="center"/>
    </xf>
    <xf numFmtId="165" fontId="44" fillId="0" borderId="0" xfId="22" applyNumberFormat="1" applyFont="1" applyAlignment="1">
      <alignment vertical="center"/>
    </xf>
    <xf numFmtId="165" fontId="21" fillId="0" borderId="0" xfId="727" applyNumberFormat="1" applyFont="1" applyAlignment="1">
      <alignment horizontal="right"/>
    </xf>
    <xf numFmtId="165" fontId="1" fillId="0" borderId="0" xfId="727" applyNumberFormat="1" applyAlignment="1">
      <alignment horizontal="right"/>
    </xf>
    <xf numFmtId="183" fontId="86" fillId="0" borderId="2" xfId="727" applyNumberFormat="1" applyFont="1" applyBorder="1" applyAlignment="1">
      <alignment vertical="center"/>
    </xf>
    <xf numFmtId="183" fontId="86" fillId="0" borderId="2" xfId="22" applyNumberFormat="1" applyFont="1" applyBorder="1" applyAlignment="1">
      <alignment vertical="center" wrapText="1"/>
    </xf>
    <xf numFmtId="165" fontId="86" fillId="0" borderId="2" xfId="22" applyNumberFormat="1" applyFont="1" applyBorder="1" applyAlignment="1">
      <alignment vertical="center" wrapText="1"/>
    </xf>
    <xf numFmtId="2" fontId="86" fillId="0" borderId="2" xfId="22" applyNumberFormat="1" applyFont="1" applyBorder="1" applyAlignment="1">
      <alignment horizontal="center" vertical="center"/>
    </xf>
    <xf numFmtId="165" fontId="87" fillId="0" borderId="2" xfId="22" applyNumberFormat="1" applyFont="1" applyBorder="1" applyAlignment="1">
      <alignment vertical="center" wrapText="1"/>
    </xf>
    <xf numFmtId="2" fontId="87" fillId="0" borderId="20" xfId="22" applyNumberFormat="1" applyFont="1" applyBorder="1" applyAlignment="1">
      <alignment vertical="center"/>
    </xf>
    <xf numFmtId="165" fontId="86" fillId="0" borderId="10" xfId="22" applyNumberFormat="1" applyFont="1" applyBorder="1" applyAlignment="1">
      <alignment vertical="center" wrapText="1"/>
    </xf>
    <xf numFmtId="183" fontId="87" fillId="0" borderId="5" xfId="727" applyNumberFormat="1" applyFont="1" applyBorder="1" applyAlignment="1">
      <alignment vertical="center"/>
    </xf>
    <xf numFmtId="9" fontId="87" fillId="0" borderId="5" xfId="2" applyFont="1" applyFill="1" applyBorder="1" applyAlignment="1">
      <alignment vertical="center"/>
    </xf>
    <xf numFmtId="10" fontId="87" fillId="0" borderId="5" xfId="2" applyNumberFormat="1" applyFont="1" applyFill="1" applyBorder="1" applyAlignment="1">
      <alignment vertical="center"/>
    </xf>
    <xf numFmtId="165" fontId="18" fillId="0" borderId="0" xfId="0" applyFont="1" applyAlignment="1">
      <alignment horizontal="center"/>
    </xf>
    <xf numFmtId="165" fontId="51" fillId="0" borderId="14" xfId="0" applyFont="1" applyBorder="1" applyAlignment="1">
      <alignment horizontal="left" vertical="top" wrapText="1"/>
    </xf>
    <xf numFmtId="165" fontId="51" fillId="0" borderId="8" xfId="0" applyFont="1" applyBorder="1" applyAlignment="1">
      <alignment horizontal="left" vertical="top" wrapText="1"/>
    </xf>
    <xf numFmtId="165" fontId="51" fillId="0" borderId="13" xfId="0" applyFont="1" applyBorder="1" applyAlignment="1">
      <alignment horizontal="left" vertical="top" wrapText="1"/>
    </xf>
    <xf numFmtId="165" fontId="52" fillId="0" borderId="14" xfId="0" applyFont="1" applyBorder="1" applyAlignment="1">
      <alignment horizontal="center" vertical="center" wrapText="1"/>
    </xf>
    <xf numFmtId="165" fontId="52" fillId="0" borderId="13" xfId="0" applyFont="1" applyBorder="1" applyAlignment="1">
      <alignment horizontal="center" vertical="center" wrapText="1"/>
    </xf>
    <xf numFmtId="165" fontId="21" fillId="0" borderId="0" xfId="0" applyFont="1" applyAlignment="1">
      <alignment horizontal="left" vertical="top" wrapText="1"/>
    </xf>
    <xf numFmtId="165" fontId="21" fillId="0" borderId="0" xfId="0" applyFont="1" applyAlignment="1">
      <alignment horizontal="center" vertical="top" wrapText="1"/>
    </xf>
    <xf numFmtId="165" fontId="18" fillId="0" borderId="0" xfId="0" applyFont="1" applyAlignment="1">
      <alignment horizontal="center" vertical="top"/>
    </xf>
    <xf numFmtId="165" fontId="21" fillId="0" borderId="14" xfId="0" applyFont="1" applyBorder="1" applyAlignment="1">
      <alignment horizontal="center" vertical="center" wrapText="1"/>
    </xf>
    <xf numFmtId="165" fontId="21" fillId="0" borderId="13" xfId="0" applyFont="1" applyBorder="1" applyAlignment="1">
      <alignment horizontal="center" vertical="center" wrapText="1"/>
    </xf>
    <xf numFmtId="165" fontId="21" fillId="0" borderId="20" xfId="0" applyFont="1" applyBorder="1" applyAlignment="1">
      <alignment horizontal="center" vertical="center"/>
    </xf>
    <xf numFmtId="165" fontId="21" fillId="0" borderId="7" xfId="0" applyFont="1" applyBorder="1" applyAlignment="1">
      <alignment horizontal="center" vertical="center"/>
    </xf>
    <xf numFmtId="165" fontId="18" fillId="0" borderId="0" xfId="0" applyFont="1" applyAlignment="1">
      <alignment horizontal="center" vertical="top" wrapText="1"/>
    </xf>
    <xf numFmtId="165" fontId="0" fillId="0" borderId="0" xfId="0" applyAlignment="1">
      <alignment horizontal="center"/>
    </xf>
    <xf numFmtId="165" fontId="25" fillId="0" borderId="0" xfId="0" applyFont="1" applyAlignment="1">
      <alignment horizontal="center"/>
    </xf>
    <xf numFmtId="165" fontId="21" fillId="0" borderId="11" xfId="0" applyFont="1" applyBorder="1" applyAlignment="1">
      <alignment horizontal="justify" vertical="top" wrapText="1"/>
    </xf>
    <xf numFmtId="165" fontId="0" fillId="0" borderId="11" xfId="0" applyBorder="1" applyAlignment="1">
      <alignment horizontal="justify" vertical="top" wrapText="1"/>
    </xf>
    <xf numFmtId="165" fontId="8" fillId="0" borderId="5" xfId="89" applyNumberFormat="1" applyBorder="1" applyAlignment="1">
      <alignment horizontal="center"/>
    </xf>
    <xf numFmtId="165" fontId="16" fillId="0" borderId="5" xfId="89" applyNumberFormat="1" applyFont="1" applyBorder="1" applyAlignment="1">
      <alignment horizontal="center"/>
    </xf>
    <xf numFmtId="165" fontId="24" fillId="0" borderId="0" xfId="22" applyNumberFormat="1" applyFont="1" applyAlignment="1">
      <alignment horizontal="center"/>
    </xf>
    <xf numFmtId="165" fontId="24" fillId="0" borderId="0" xfId="22" applyNumberFormat="1" applyFont="1" applyAlignment="1">
      <alignment horizontal="center" vertical="center" wrapText="1"/>
    </xf>
    <xf numFmtId="165" fontId="18" fillId="0" borderId="0" xfId="22" applyNumberFormat="1" applyFont="1" applyAlignment="1">
      <alignment horizontal="center"/>
    </xf>
    <xf numFmtId="165" fontId="37" fillId="0" borderId="5" xfId="727" applyNumberFormat="1" applyFont="1" applyBorder="1" applyAlignment="1">
      <alignment horizontal="center" vertical="center"/>
    </xf>
    <xf numFmtId="165" fontId="37" fillId="0" borderId="1" xfId="727" applyNumberFormat="1" applyFont="1" applyBorder="1" applyAlignment="1">
      <alignment horizontal="center" vertical="center"/>
    </xf>
    <xf numFmtId="165" fontId="18" fillId="0" borderId="5" xfId="22" applyNumberFormat="1" applyFont="1" applyBorder="1" applyAlignment="1">
      <alignment horizontal="center" vertical="center"/>
    </xf>
    <xf numFmtId="165" fontId="18" fillId="0" borderId="5" xfId="22" applyNumberFormat="1" applyFont="1" applyBorder="1" applyAlignment="1">
      <alignment horizontal="center" vertical="center" wrapText="1"/>
    </xf>
    <xf numFmtId="165" fontId="37" fillId="0" borderId="0" xfId="22" applyNumberFormat="1" applyFont="1" applyAlignment="1">
      <alignment horizontal="center"/>
    </xf>
    <xf numFmtId="165" fontId="14" fillId="0" borderId="5" xfId="15" applyNumberFormat="1" applyBorder="1" applyAlignment="1">
      <alignment horizontal="center"/>
    </xf>
    <xf numFmtId="165" fontId="16" fillId="0" borderId="5" xfId="15" applyNumberFormat="1" applyFont="1" applyBorder="1" applyAlignment="1">
      <alignment horizontal="center"/>
    </xf>
    <xf numFmtId="165" fontId="24" fillId="2" borderId="0" xfId="22" applyNumberFormat="1" applyFont="1" applyFill="1" applyAlignment="1">
      <alignment horizontal="center"/>
    </xf>
    <xf numFmtId="165" fontId="24" fillId="2" borderId="0" xfId="22" applyNumberFormat="1" applyFont="1" applyFill="1" applyAlignment="1">
      <alignment horizontal="center" vertical="center" wrapText="1"/>
    </xf>
    <xf numFmtId="165" fontId="18" fillId="2" borderId="0" xfId="22" applyNumberFormat="1" applyFont="1" applyFill="1" applyAlignment="1">
      <alignment horizontal="center"/>
    </xf>
    <xf numFmtId="10" fontId="87" fillId="0" borderId="5" xfId="2" applyNumberFormat="1" applyFont="1" applyFill="1" applyBorder="1" applyAlignment="1">
      <alignment horizontal="center" vertical="center"/>
    </xf>
    <xf numFmtId="9" fontId="87" fillId="0" borderId="5" xfId="2" applyFont="1" applyFill="1" applyBorder="1" applyAlignment="1">
      <alignment horizontal="center" vertical="center"/>
    </xf>
  </cellXfs>
  <cellStyles count="729">
    <cellStyle name="20% - Accent1 2" xfId="32" xr:uid="{00000000-0005-0000-0000-000000000000}"/>
    <cellStyle name="20% - Accent2 2" xfId="33" xr:uid="{00000000-0005-0000-0000-000001000000}"/>
    <cellStyle name="20% - Accent3 2" xfId="34" xr:uid="{00000000-0005-0000-0000-000002000000}"/>
    <cellStyle name="20% - Accent4 2" xfId="35" xr:uid="{00000000-0005-0000-0000-000003000000}"/>
    <cellStyle name="20% - Accent5 2" xfId="36" xr:uid="{00000000-0005-0000-0000-000004000000}"/>
    <cellStyle name="20% - Accent6 2" xfId="37" xr:uid="{00000000-0005-0000-0000-000005000000}"/>
    <cellStyle name="40% - Accent1 2" xfId="38" xr:uid="{00000000-0005-0000-0000-000006000000}"/>
    <cellStyle name="40% - Accent2 2" xfId="39" xr:uid="{00000000-0005-0000-0000-000007000000}"/>
    <cellStyle name="40% - Accent3 2" xfId="40" xr:uid="{00000000-0005-0000-0000-000008000000}"/>
    <cellStyle name="40% - Accent4 2" xfId="41" xr:uid="{00000000-0005-0000-0000-000009000000}"/>
    <cellStyle name="40% - Accent5 2" xfId="42" xr:uid="{00000000-0005-0000-0000-00000A000000}"/>
    <cellStyle name="40% - Accent6 2" xfId="43" xr:uid="{00000000-0005-0000-0000-00000B000000}"/>
    <cellStyle name="60% - Accent1 2" xfId="44" xr:uid="{00000000-0005-0000-0000-00000C000000}"/>
    <cellStyle name="60% - Accent2 2" xfId="45" xr:uid="{00000000-0005-0000-0000-00000D000000}"/>
    <cellStyle name="60% - Accent3 2" xfId="46" xr:uid="{00000000-0005-0000-0000-00000E000000}"/>
    <cellStyle name="60% - Accent4 2" xfId="47" xr:uid="{00000000-0005-0000-0000-00000F000000}"/>
    <cellStyle name="60% - Accent5 2" xfId="48" xr:uid="{00000000-0005-0000-0000-000010000000}"/>
    <cellStyle name="60% - Accent6 2" xfId="49" xr:uid="{00000000-0005-0000-0000-000011000000}"/>
    <cellStyle name="Accent1 2" xfId="50" xr:uid="{00000000-0005-0000-0000-000012000000}"/>
    <cellStyle name="Accent2 2" xfId="51" xr:uid="{00000000-0005-0000-0000-000013000000}"/>
    <cellStyle name="Accent3 2" xfId="52" xr:uid="{00000000-0005-0000-0000-000014000000}"/>
    <cellStyle name="Accent4 2" xfId="53" xr:uid="{00000000-0005-0000-0000-000015000000}"/>
    <cellStyle name="Accent5 2" xfId="54" xr:uid="{00000000-0005-0000-0000-000016000000}"/>
    <cellStyle name="Accent6 2" xfId="55" xr:uid="{00000000-0005-0000-0000-000017000000}"/>
    <cellStyle name="Bad 2" xfId="56" xr:uid="{00000000-0005-0000-0000-000018000000}"/>
    <cellStyle name="Calculation 2" xfId="57" xr:uid="{00000000-0005-0000-0000-000019000000}"/>
    <cellStyle name="Check Cell 2" xfId="58" xr:uid="{00000000-0005-0000-0000-00001A000000}"/>
    <cellStyle name="Comma" xfId="28" builtinId="3"/>
    <cellStyle name="Comma 2" xfId="30" xr:uid="{00000000-0005-0000-0000-00001C000000}"/>
    <cellStyle name="Comma 2 2" xfId="170" xr:uid="{00000000-0005-0000-0000-00001D000000}"/>
    <cellStyle name="Comma 2 3" xfId="171" xr:uid="{00000000-0005-0000-0000-00001E000000}"/>
    <cellStyle name="Comma 2 4" xfId="172" xr:uid="{00000000-0005-0000-0000-00001F000000}"/>
    <cellStyle name="Comma 3" xfId="29" xr:uid="{00000000-0005-0000-0000-000020000000}"/>
    <cellStyle name="Comma 4" xfId="129" xr:uid="{00000000-0005-0000-0000-000021000000}"/>
    <cellStyle name="Comma 5" xfId="106" xr:uid="{00000000-0005-0000-0000-000022000000}"/>
    <cellStyle name="Excel Built-in Normal" xfId="173" xr:uid="{00000000-0005-0000-0000-000023000000}"/>
    <cellStyle name="Explanatory Text 2" xfId="59" xr:uid="{00000000-0005-0000-0000-000024000000}"/>
    <cellStyle name="Good 2" xfId="60" xr:uid="{00000000-0005-0000-0000-000025000000}"/>
    <cellStyle name="Heading 1 2" xfId="61" xr:uid="{00000000-0005-0000-0000-000026000000}"/>
    <cellStyle name="Heading 2 2" xfId="62" xr:uid="{00000000-0005-0000-0000-000027000000}"/>
    <cellStyle name="Heading 3 2" xfId="63" xr:uid="{00000000-0005-0000-0000-000028000000}"/>
    <cellStyle name="Heading 4 2" xfId="64" xr:uid="{00000000-0005-0000-0000-000029000000}"/>
    <cellStyle name="Hyperlink 2" xfId="174" xr:uid="{00000000-0005-0000-0000-00002B000000}"/>
    <cellStyle name="Hyperlink 2 2" xfId="175" xr:uid="{00000000-0005-0000-0000-00002C000000}"/>
    <cellStyle name="Hyperlink 3" xfId="176" xr:uid="{00000000-0005-0000-0000-00002D000000}"/>
    <cellStyle name="Input 2" xfId="65" xr:uid="{00000000-0005-0000-0000-00002E000000}"/>
    <cellStyle name="Linked Cell 2" xfId="66" xr:uid="{00000000-0005-0000-0000-00002F000000}"/>
    <cellStyle name="Neutral 2" xfId="67" xr:uid="{00000000-0005-0000-0000-000030000000}"/>
    <cellStyle name="Normal" xfId="0" builtinId="0"/>
    <cellStyle name="Normal 10" xfId="8" xr:uid="{00000000-0005-0000-0000-000032000000}"/>
    <cellStyle name="Normal 10 2" xfId="119" xr:uid="{00000000-0005-0000-0000-000033000000}"/>
    <cellStyle name="Normal 10 2 2" xfId="139" xr:uid="{00000000-0005-0000-0000-000034000000}"/>
    <cellStyle name="Normal 10 2 2 2" xfId="177" xr:uid="{00000000-0005-0000-0000-000035000000}"/>
    <cellStyle name="Normal 10 2 2 2 2" xfId="178" xr:uid="{00000000-0005-0000-0000-000036000000}"/>
    <cellStyle name="Normal 10 2 2 2 2 2" xfId="512" xr:uid="{00000000-0005-0000-0000-000037000000}"/>
    <cellStyle name="Normal 10 2 2 2 3" xfId="511" xr:uid="{00000000-0005-0000-0000-000038000000}"/>
    <cellStyle name="Normal 10 2 2 3" xfId="179" xr:uid="{00000000-0005-0000-0000-000039000000}"/>
    <cellStyle name="Normal 10 2 2 3 2" xfId="513" xr:uid="{00000000-0005-0000-0000-00003A000000}"/>
    <cellStyle name="Normal 10 2 2 4" xfId="482" xr:uid="{00000000-0005-0000-0000-00003B000000}"/>
    <cellStyle name="Normal 10 2 3" xfId="180" xr:uid="{00000000-0005-0000-0000-00003C000000}"/>
    <cellStyle name="Normal 10 2 3 2" xfId="181" xr:uid="{00000000-0005-0000-0000-00003D000000}"/>
    <cellStyle name="Normal 10 2 3 2 2" xfId="515" xr:uid="{00000000-0005-0000-0000-00003E000000}"/>
    <cellStyle name="Normal 10 2 3 3" xfId="514" xr:uid="{00000000-0005-0000-0000-00003F000000}"/>
    <cellStyle name="Normal 10 2 4" xfId="182" xr:uid="{00000000-0005-0000-0000-000040000000}"/>
    <cellStyle name="Normal 10 2 4 2" xfId="516" xr:uid="{00000000-0005-0000-0000-000041000000}"/>
    <cellStyle name="Normal 10 2 5" xfId="463" xr:uid="{00000000-0005-0000-0000-000042000000}"/>
    <cellStyle name="Normal 10 3" xfId="96" xr:uid="{00000000-0005-0000-0000-000043000000}"/>
    <cellStyle name="Normal 10 3 2" xfId="183" xr:uid="{00000000-0005-0000-0000-000044000000}"/>
    <cellStyle name="Normal 10 3 2 2" xfId="184" xr:uid="{00000000-0005-0000-0000-000045000000}"/>
    <cellStyle name="Normal 10 3 2 2 2" xfId="518" xr:uid="{00000000-0005-0000-0000-000046000000}"/>
    <cellStyle name="Normal 10 3 2 3" xfId="517" xr:uid="{00000000-0005-0000-0000-000047000000}"/>
    <cellStyle name="Normal 10 3 3" xfId="185" xr:uid="{00000000-0005-0000-0000-000048000000}"/>
    <cellStyle name="Normal 10 3 3 2" xfId="519" xr:uid="{00000000-0005-0000-0000-000049000000}"/>
    <cellStyle name="Normal 10 3 4" xfId="441" xr:uid="{00000000-0005-0000-0000-00004A000000}"/>
    <cellStyle name="Normal 10 4" xfId="140" xr:uid="{00000000-0005-0000-0000-00004B000000}"/>
    <cellStyle name="Normal 10 4 2" xfId="186" xr:uid="{00000000-0005-0000-0000-00004C000000}"/>
    <cellStyle name="Normal 10 4 2 2" xfId="520" xr:uid="{00000000-0005-0000-0000-00004D000000}"/>
    <cellStyle name="Normal 10 4 3" xfId="483" xr:uid="{00000000-0005-0000-0000-00004E000000}"/>
    <cellStyle name="Normal 10 5" xfId="187" xr:uid="{00000000-0005-0000-0000-00004F000000}"/>
    <cellStyle name="Normal 10 5 2" xfId="521" xr:uid="{00000000-0005-0000-0000-000050000000}"/>
    <cellStyle name="Normal 10 6" xfId="188" xr:uid="{00000000-0005-0000-0000-000051000000}"/>
    <cellStyle name="Normal 10 6 2" xfId="522" xr:uid="{00000000-0005-0000-0000-000052000000}"/>
    <cellStyle name="Normal 10 7" xfId="189" xr:uid="{00000000-0005-0000-0000-000053000000}"/>
    <cellStyle name="Normal 10 7 2" xfId="523" xr:uid="{00000000-0005-0000-0000-000054000000}"/>
    <cellStyle name="Normal 10 8" xfId="418" xr:uid="{00000000-0005-0000-0000-000055000000}"/>
    <cellStyle name="Normal 11" xfId="10" xr:uid="{00000000-0005-0000-0000-000056000000}"/>
    <cellStyle name="Normal 11 2" xfId="121" xr:uid="{00000000-0005-0000-0000-000057000000}"/>
    <cellStyle name="Normal 11 2 2" xfId="141" xr:uid="{00000000-0005-0000-0000-000058000000}"/>
    <cellStyle name="Normal 11 2 2 2" xfId="190" xr:uid="{00000000-0005-0000-0000-000059000000}"/>
    <cellStyle name="Normal 11 2 2 2 2" xfId="191" xr:uid="{00000000-0005-0000-0000-00005A000000}"/>
    <cellStyle name="Normal 11 2 2 2 2 2" xfId="525" xr:uid="{00000000-0005-0000-0000-00005B000000}"/>
    <cellStyle name="Normal 11 2 2 2 3" xfId="524" xr:uid="{00000000-0005-0000-0000-00005C000000}"/>
    <cellStyle name="Normal 11 2 2 3" xfId="192" xr:uid="{00000000-0005-0000-0000-00005D000000}"/>
    <cellStyle name="Normal 11 2 2 3 2" xfId="526" xr:uid="{00000000-0005-0000-0000-00005E000000}"/>
    <cellStyle name="Normal 11 2 2 4" xfId="484" xr:uid="{00000000-0005-0000-0000-00005F000000}"/>
    <cellStyle name="Normal 11 2 3" xfId="193" xr:uid="{00000000-0005-0000-0000-000060000000}"/>
    <cellStyle name="Normal 11 2 3 2" xfId="194" xr:uid="{00000000-0005-0000-0000-000061000000}"/>
    <cellStyle name="Normal 11 2 3 2 2" xfId="528" xr:uid="{00000000-0005-0000-0000-000062000000}"/>
    <cellStyle name="Normal 11 2 3 3" xfId="527" xr:uid="{00000000-0005-0000-0000-000063000000}"/>
    <cellStyle name="Normal 11 2 4" xfId="195" xr:uid="{00000000-0005-0000-0000-000064000000}"/>
    <cellStyle name="Normal 11 2 4 2" xfId="529" xr:uid="{00000000-0005-0000-0000-000065000000}"/>
    <cellStyle name="Normal 11 2 5" xfId="465" xr:uid="{00000000-0005-0000-0000-000066000000}"/>
    <cellStyle name="Normal 11 3" xfId="98" xr:uid="{00000000-0005-0000-0000-000067000000}"/>
    <cellStyle name="Normal 11 3 2" xfId="196" xr:uid="{00000000-0005-0000-0000-000068000000}"/>
    <cellStyle name="Normal 11 3 2 2" xfId="197" xr:uid="{00000000-0005-0000-0000-000069000000}"/>
    <cellStyle name="Normal 11 3 2 2 2" xfId="531" xr:uid="{00000000-0005-0000-0000-00006A000000}"/>
    <cellStyle name="Normal 11 3 2 3" xfId="530" xr:uid="{00000000-0005-0000-0000-00006B000000}"/>
    <cellStyle name="Normal 11 3 3" xfId="198" xr:uid="{00000000-0005-0000-0000-00006C000000}"/>
    <cellStyle name="Normal 11 3 3 2" xfId="532" xr:uid="{00000000-0005-0000-0000-00006D000000}"/>
    <cellStyle name="Normal 11 3 4" xfId="443" xr:uid="{00000000-0005-0000-0000-00006E000000}"/>
    <cellStyle name="Normal 11 4" xfId="199" xr:uid="{00000000-0005-0000-0000-00006F000000}"/>
    <cellStyle name="Normal 11 4 2" xfId="200" xr:uid="{00000000-0005-0000-0000-000070000000}"/>
    <cellStyle name="Normal 11 4 2 2" xfId="534" xr:uid="{00000000-0005-0000-0000-000071000000}"/>
    <cellStyle name="Normal 11 4 3" xfId="533" xr:uid="{00000000-0005-0000-0000-000072000000}"/>
    <cellStyle name="Normal 11 5" xfId="201" xr:uid="{00000000-0005-0000-0000-000073000000}"/>
    <cellStyle name="Normal 11 5 2" xfId="535" xr:uid="{00000000-0005-0000-0000-000074000000}"/>
    <cellStyle name="Normal 11 6" xfId="420" xr:uid="{00000000-0005-0000-0000-000075000000}"/>
    <cellStyle name="Normal 12" xfId="9" xr:uid="{00000000-0005-0000-0000-000076000000}"/>
    <cellStyle name="Normal 12 2" xfId="120" xr:uid="{00000000-0005-0000-0000-000077000000}"/>
    <cellStyle name="Normal 12 2 2" xfId="142" xr:uid="{00000000-0005-0000-0000-000078000000}"/>
    <cellStyle name="Normal 12 2 2 2" xfId="143" xr:uid="{00000000-0005-0000-0000-000079000000}"/>
    <cellStyle name="Normal 12 2 2 2 2" xfId="202" xr:uid="{00000000-0005-0000-0000-00007A000000}"/>
    <cellStyle name="Normal 12 2 2 2 2 2" xfId="203" xr:uid="{00000000-0005-0000-0000-00007B000000}"/>
    <cellStyle name="Normal 12 2 2 2 2 2 2" xfId="537" xr:uid="{00000000-0005-0000-0000-00007C000000}"/>
    <cellStyle name="Normal 12 2 2 2 2 3" xfId="536" xr:uid="{00000000-0005-0000-0000-00007D000000}"/>
    <cellStyle name="Normal 12 2 2 2 3" xfId="204" xr:uid="{00000000-0005-0000-0000-00007E000000}"/>
    <cellStyle name="Normal 12 2 2 2 3 2" xfId="538" xr:uid="{00000000-0005-0000-0000-00007F000000}"/>
    <cellStyle name="Normal 12 2 2 2 4" xfId="486" xr:uid="{00000000-0005-0000-0000-000080000000}"/>
    <cellStyle name="Normal 12 2 2 3" xfId="205" xr:uid="{00000000-0005-0000-0000-000081000000}"/>
    <cellStyle name="Normal 12 2 2 3 2" xfId="206" xr:uid="{00000000-0005-0000-0000-000082000000}"/>
    <cellStyle name="Normal 12 2 2 3 2 2" xfId="540" xr:uid="{00000000-0005-0000-0000-000083000000}"/>
    <cellStyle name="Normal 12 2 2 3 3" xfId="539" xr:uid="{00000000-0005-0000-0000-000084000000}"/>
    <cellStyle name="Normal 12 2 2 4" xfId="207" xr:uid="{00000000-0005-0000-0000-000085000000}"/>
    <cellStyle name="Normal 12 2 2 4 2" xfId="541" xr:uid="{00000000-0005-0000-0000-000086000000}"/>
    <cellStyle name="Normal 12 2 2 5" xfId="485" xr:uid="{00000000-0005-0000-0000-000087000000}"/>
    <cellStyle name="Normal 12 2 3" xfId="144" xr:uid="{00000000-0005-0000-0000-000088000000}"/>
    <cellStyle name="Normal 12 2 3 2" xfId="208" xr:uid="{00000000-0005-0000-0000-000089000000}"/>
    <cellStyle name="Normal 12 2 3 2 2" xfId="209" xr:uid="{00000000-0005-0000-0000-00008A000000}"/>
    <cellStyle name="Normal 12 2 3 2 2 2" xfId="543" xr:uid="{00000000-0005-0000-0000-00008B000000}"/>
    <cellStyle name="Normal 12 2 3 2 3" xfId="542" xr:uid="{00000000-0005-0000-0000-00008C000000}"/>
    <cellStyle name="Normal 12 2 3 3" xfId="210" xr:uid="{00000000-0005-0000-0000-00008D000000}"/>
    <cellStyle name="Normal 12 2 3 3 2" xfId="544" xr:uid="{00000000-0005-0000-0000-00008E000000}"/>
    <cellStyle name="Normal 12 2 3 4" xfId="487" xr:uid="{00000000-0005-0000-0000-00008F000000}"/>
    <cellStyle name="Normal 12 2 4" xfId="211" xr:uid="{00000000-0005-0000-0000-000090000000}"/>
    <cellStyle name="Normal 12 2 4 2" xfId="212" xr:uid="{00000000-0005-0000-0000-000091000000}"/>
    <cellStyle name="Normal 12 2 4 2 2" xfId="546" xr:uid="{00000000-0005-0000-0000-000092000000}"/>
    <cellStyle name="Normal 12 2 4 3" xfId="545" xr:uid="{00000000-0005-0000-0000-000093000000}"/>
    <cellStyle name="Normal 12 2 5" xfId="213" xr:uid="{00000000-0005-0000-0000-000094000000}"/>
    <cellStyle name="Normal 12 2 5 2" xfId="547" xr:uid="{00000000-0005-0000-0000-000095000000}"/>
    <cellStyle name="Normal 12 2 6" xfId="464" xr:uid="{00000000-0005-0000-0000-000096000000}"/>
    <cellStyle name="Normal 12 3" xfId="97" xr:uid="{00000000-0005-0000-0000-000097000000}"/>
    <cellStyle name="Normal 12 3 2" xfId="145" xr:uid="{00000000-0005-0000-0000-000098000000}"/>
    <cellStyle name="Normal 12 3 2 2" xfId="214" xr:uid="{00000000-0005-0000-0000-000099000000}"/>
    <cellStyle name="Normal 12 3 2 2 2" xfId="215" xr:uid="{00000000-0005-0000-0000-00009A000000}"/>
    <cellStyle name="Normal 12 3 2 2 2 2" xfId="549" xr:uid="{00000000-0005-0000-0000-00009B000000}"/>
    <cellStyle name="Normal 12 3 2 2 3" xfId="548" xr:uid="{00000000-0005-0000-0000-00009C000000}"/>
    <cellStyle name="Normal 12 3 2 3" xfId="216" xr:uid="{00000000-0005-0000-0000-00009D000000}"/>
    <cellStyle name="Normal 12 3 2 3 2" xfId="550" xr:uid="{00000000-0005-0000-0000-00009E000000}"/>
    <cellStyle name="Normal 12 3 2 4" xfId="488" xr:uid="{00000000-0005-0000-0000-00009F000000}"/>
    <cellStyle name="Normal 12 3 3" xfId="217" xr:uid="{00000000-0005-0000-0000-0000A0000000}"/>
    <cellStyle name="Normal 12 3 3 2" xfId="218" xr:uid="{00000000-0005-0000-0000-0000A1000000}"/>
    <cellStyle name="Normal 12 3 3 2 2" xfId="552" xr:uid="{00000000-0005-0000-0000-0000A2000000}"/>
    <cellStyle name="Normal 12 3 3 3" xfId="551" xr:uid="{00000000-0005-0000-0000-0000A3000000}"/>
    <cellStyle name="Normal 12 3 4" xfId="219" xr:uid="{00000000-0005-0000-0000-0000A4000000}"/>
    <cellStyle name="Normal 12 3 4 2" xfId="553" xr:uid="{00000000-0005-0000-0000-0000A5000000}"/>
    <cellStyle name="Normal 12 3 5" xfId="442" xr:uid="{00000000-0005-0000-0000-0000A6000000}"/>
    <cellStyle name="Normal 12 4" xfId="146" xr:uid="{00000000-0005-0000-0000-0000A7000000}"/>
    <cellStyle name="Normal 12 4 2" xfId="220" xr:uid="{00000000-0005-0000-0000-0000A8000000}"/>
    <cellStyle name="Normal 12 4 2 2" xfId="221" xr:uid="{00000000-0005-0000-0000-0000A9000000}"/>
    <cellStyle name="Normal 12 4 2 2 2" xfId="555" xr:uid="{00000000-0005-0000-0000-0000AA000000}"/>
    <cellStyle name="Normal 12 4 2 3" xfId="554" xr:uid="{00000000-0005-0000-0000-0000AB000000}"/>
    <cellStyle name="Normal 12 4 3" xfId="222" xr:uid="{00000000-0005-0000-0000-0000AC000000}"/>
    <cellStyle name="Normal 12 4 3 2" xfId="556" xr:uid="{00000000-0005-0000-0000-0000AD000000}"/>
    <cellStyle name="Normal 12 4 4" xfId="489" xr:uid="{00000000-0005-0000-0000-0000AE000000}"/>
    <cellStyle name="Normal 12 5" xfId="223" xr:uid="{00000000-0005-0000-0000-0000AF000000}"/>
    <cellStyle name="Normal 12 5 2" xfId="224" xr:uid="{00000000-0005-0000-0000-0000B0000000}"/>
    <cellStyle name="Normal 12 5 2 2" xfId="558" xr:uid="{00000000-0005-0000-0000-0000B1000000}"/>
    <cellStyle name="Normal 12 5 3" xfId="557" xr:uid="{00000000-0005-0000-0000-0000B2000000}"/>
    <cellStyle name="Normal 12 6" xfId="225" xr:uid="{00000000-0005-0000-0000-0000B3000000}"/>
    <cellStyle name="Normal 12 6 2" xfId="559" xr:uid="{00000000-0005-0000-0000-0000B4000000}"/>
    <cellStyle name="Normal 12 7" xfId="419" xr:uid="{00000000-0005-0000-0000-0000B5000000}"/>
    <cellStyle name="Normal 13" xfId="11" xr:uid="{00000000-0005-0000-0000-0000B6000000}"/>
    <cellStyle name="Normal 13 2" xfId="122" xr:uid="{00000000-0005-0000-0000-0000B7000000}"/>
    <cellStyle name="Normal 13 2 2" xfId="147" xr:uid="{00000000-0005-0000-0000-0000B8000000}"/>
    <cellStyle name="Normal 13 2 2 2" xfId="148" xr:uid="{00000000-0005-0000-0000-0000B9000000}"/>
    <cellStyle name="Normal 13 2 2 2 2" xfId="226" xr:uid="{00000000-0005-0000-0000-0000BA000000}"/>
    <cellStyle name="Normal 13 2 2 2 2 2" xfId="227" xr:uid="{00000000-0005-0000-0000-0000BB000000}"/>
    <cellStyle name="Normal 13 2 2 2 2 2 2" xfId="561" xr:uid="{00000000-0005-0000-0000-0000BC000000}"/>
    <cellStyle name="Normal 13 2 2 2 2 3" xfId="560" xr:uid="{00000000-0005-0000-0000-0000BD000000}"/>
    <cellStyle name="Normal 13 2 2 2 3" xfId="228" xr:uid="{00000000-0005-0000-0000-0000BE000000}"/>
    <cellStyle name="Normal 13 2 2 2 3 2" xfId="562" xr:uid="{00000000-0005-0000-0000-0000BF000000}"/>
    <cellStyle name="Normal 13 2 2 2 4" xfId="491" xr:uid="{00000000-0005-0000-0000-0000C0000000}"/>
    <cellStyle name="Normal 13 2 2 3" xfId="229" xr:uid="{00000000-0005-0000-0000-0000C1000000}"/>
    <cellStyle name="Normal 13 2 2 3 2" xfId="230" xr:uid="{00000000-0005-0000-0000-0000C2000000}"/>
    <cellStyle name="Normal 13 2 2 3 2 2" xfId="564" xr:uid="{00000000-0005-0000-0000-0000C3000000}"/>
    <cellStyle name="Normal 13 2 2 3 3" xfId="563" xr:uid="{00000000-0005-0000-0000-0000C4000000}"/>
    <cellStyle name="Normal 13 2 2 4" xfId="231" xr:uid="{00000000-0005-0000-0000-0000C5000000}"/>
    <cellStyle name="Normal 13 2 2 4 2" xfId="565" xr:uid="{00000000-0005-0000-0000-0000C6000000}"/>
    <cellStyle name="Normal 13 2 2 5" xfId="490" xr:uid="{00000000-0005-0000-0000-0000C7000000}"/>
    <cellStyle name="Normal 13 2 3" xfId="149" xr:uid="{00000000-0005-0000-0000-0000C8000000}"/>
    <cellStyle name="Normal 13 2 3 2" xfId="232" xr:uid="{00000000-0005-0000-0000-0000C9000000}"/>
    <cellStyle name="Normal 13 2 3 2 2" xfId="233" xr:uid="{00000000-0005-0000-0000-0000CA000000}"/>
    <cellStyle name="Normal 13 2 3 2 2 2" xfId="567" xr:uid="{00000000-0005-0000-0000-0000CB000000}"/>
    <cellStyle name="Normal 13 2 3 2 3" xfId="566" xr:uid="{00000000-0005-0000-0000-0000CC000000}"/>
    <cellStyle name="Normal 13 2 3 3" xfId="234" xr:uid="{00000000-0005-0000-0000-0000CD000000}"/>
    <cellStyle name="Normal 13 2 3 3 2" xfId="568" xr:uid="{00000000-0005-0000-0000-0000CE000000}"/>
    <cellStyle name="Normal 13 2 3 4" xfId="492" xr:uid="{00000000-0005-0000-0000-0000CF000000}"/>
    <cellStyle name="Normal 13 2 4" xfId="235" xr:uid="{00000000-0005-0000-0000-0000D0000000}"/>
    <cellStyle name="Normal 13 2 4 2" xfId="236" xr:uid="{00000000-0005-0000-0000-0000D1000000}"/>
    <cellStyle name="Normal 13 2 4 2 2" xfId="570" xr:uid="{00000000-0005-0000-0000-0000D2000000}"/>
    <cellStyle name="Normal 13 2 4 3" xfId="569" xr:uid="{00000000-0005-0000-0000-0000D3000000}"/>
    <cellStyle name="Normal 13 2 5" xfId="237" xr:uid="{00000000-0005-0000-0000-0000D4000000}"/>
    <cellStyle name="Normal 13 2 5 2" xfId="571" xr:uid="{00000000-0005-0000-0000-0000D5000000}"/>
    <cellStyle name="Normal 13 2 6" xfId="466" xr:uid="{00000000-0005-0000-0000-0000D6000000}"/>
    <cellStyle name="Normal 13 3" xfId="99" xr:uid="{00000000-0005-0000-0000-0000D7000000}"/>
    <cellStyle name="Normal 13 3 2" xfId="150" xr:uid="{00000000-0005-0000-0000-0000D8000000}"/>
    <cellStyle name="Normal 13 3 2 2" xfId="238" xr:uid="{00000000-0005-0000-0000-0000D9000000}"/>
    <cellStyle name="Normal 13 3 2 2 2" xfId="239" xr:uid="{00000000-0005-0000-0000-0000DA000000}"/>
    <cellStyle name="Normal 13 3 2 2 2 2" xfId="573" xr:uid="{00000000-0005-0000-0000-0000DB000000}"/>
    <cellStyle name="Normal 13 3 2 2 3" xfId="572" xr:uid="{00000000-0005-0000-0000-0000DC000000}"/>
    <cellStyle name="Normal 13 3 2 3" xfId="240" xr:uid="{00000000-0005-0000-0000-0000DD000000}"/>
    <cellStyle name="Normal 13 3 2 3 2" xfId="574" xr:uid="{00000000-0005-0000-0000-0000DE000000}"/>
    <cellStyle name="Normal 13 3 2 4" xfId="493" xr:uid="{00000000-0005-0000-0000-0000DF000000}"/>
    <cellStyle name="Normal 13 3 3" xfId="241" xr:uid="{00000000-0005-0000-0000-0000E0000000}"/>
    <cellStyle name="Normal 13 3 3 2" xfId="242" xr:uid="{00000000-0005-0000-0000-0000E1000000}"/>
    <cellStyle name="Normal 13 3 3 2 2" xfId="576" xr:uid="{00000000-0005-0000-0000-0000E2000000}"/>
    <cellStyle name="Normal 13 3 3 3" xfId="575" xr:uid="{00000000-0005-0000-0000-0000E3000000}"/>
    <cellStyle name="Normal 13 3 4" xfId="243" xr:uid="{00000000-0005-0000-0000-0000E4000000}"/>
    <cellStyle name="Normal 13 3 4 2" xfId="577" xr:uid="{00000000-0005-0000-0000-0000E5000000}"/>
    <cellStyle name="Normal 13 3 5" xfId="444" xr:uid="{00000000-0005-0000-0000-0000E6000000}"/>
    <cellStyle name="Normal 13 4" xfId="151" xr:uid="{00000000-0005-0000-0000-0000E7000000}"/>
    <cellStyle name="Normal 13 4 2" xfId="244" xr:uid="{00000000-0005-0000-0000-0000E8000000}"/>
    <cellStyle name="Normal 13 4 2 2" xfId="245" xr:uid="{00000000-0005-0000-0000-0000E9000000}"/>
    <cellStyle name="Normal 13 4 2 2 2" xfId="579" xr:uid="{00000000-0005-0000-0000-0000EA000000}"/>
    <cellStyle name="Normal 13 4 2 3" xfId="578" xr:uid="{00000000-0005-0000-0000-0000EB000000}"/>
    <cellStyle name="Normal 13 4 3" xfId="246" xr:uid="{00000000-0005-0000-0000-0000EC000000}"/>
    <cellStyle name="Normal 13 4 3 2" xfId="580" xr:uid="{00000000-0005-0000-0000-0000ED000000}"/>
    <cellStyle name="Normal 13 4 4" xfId="494" xr:uid="{00000000-0005-0000-0000-0000EE000000}"/>
    <cellStyle name="Normal 13 5" xfId="247" xr:uid="{00000000-0005-0000-0000-0000EF000000}"/>
    <cellStyle name="Normal 13 5 2" xfId="248" xr:uid="{00000000-0005-0000-0000-0000F0000000}"/>
    <cellStyle name="Normal 13 5 2 2" xfId="582" xr:uid="{00000000-0005-0000-0000-0000F1000000}"/>
    <cellStyle name="Normal 13 5 3" xfId="581" xr:uid="{00000000-0005-0000-0000-0000F2000000}"/>
    <cellStyle name="Normal 13 6" xfId="249" xr:uid="{00000000-0005-0000-0000-0000F3000000}"/>
    <cellStyle name="Normal 13 6 2" xfId="583" xr:uid="{00000000-0005-0000-0000-0000F4000000}"/>
    <cellStyle name="Normal 13 7" xfId="421" xr:uid="{00000000-0005-0000-0000-0000F5000000}"/>
    <cellStyle name="Normal 14" xfId="12" xr:uid="{00000000-0005-0000-0000-0000F6000000}"/>
    <cellStyle name="Normal 14 2" xfId="123" xr:uid="{00000000-0005-0000-0000-0000F7000000}"/>
    <cellStyle name="Normal 14 2 2" xfId="152" xr:uid="{00000000-0005-0000-0000-0000F8000000}"/>
    <cellStyle name="Normal 14 2 2 2" xfId="250" xr:uid="{00000000-0005-0000-0000-0000F9000000}"/>
    <cellStyle name="Normal 14 2 2 2 2" xfId="251" xr:uid="{00000000-0005-0000-0000-0000FA000000}"/>
    <cellStyle name="Normal 14 2 2 2 2 2" xfId="585" xr:uid="{00000000-0005-0000-0000-0000FB000000}"/>
    <cellStyle name="Normal 14 2 2 2 3" xfId="584" xr:uid="{00000000-0005-0000-0000-0000FC000000}"/>
    <cellStyle name="Normal 14 2 2 3" xfId="252" xr:uid="{00000000-0005-0000-0000-0000FD000000}"/>
    <cellStyle name="Normal 14 2 2 3 2" xfId="586" xr:uid="{00000000-0005-0000-0000-0000FE000000}"/>
    <cellStyle name="Normal 14 2 2 4" xfId="495" xr:uid="{00000000-0005-0000-0000-0000FF000000}"/>
    <cellStyle name="Normal 14 2 3" xfId="253" xr:uid="{00000000-0005-0000-0000-000000010000}"/>
    <cellStyle name="Normal 14 2 3 2" xfId="254" xr:uid="{00000000-0005-0000-0000-000001010000}"/>
    <cellStyle name="Normal 14 2 3 2 2" xfId="588" xr:uid="{00000000-0005-0000-0000-000002010000}"/>
    <cellStyle name="Normal 14 2 3 3" xfId="587" xr:uid="{00000000-0005-0000-0000-000003010000}"/>
    <cellStyle name="Normal 14 2 4" xfId="255" xr:uid="{00000000-0005-0000-0000-000004010000}"/>
    <cellStyle name="Normal 14 2 4 2" xfId="589" xr:uid="{00000000-0005-0000-0000-000005010000}"/>
    <cellStyle name="Normal 14 2 5" xfId="467" xr:uid="{00000000-0005-0000-0000-000006010000}"/>
    <cellStyle name="Normal 14 3" xfId="100" xr:uid="{00000000-0005-0000-0000-000007010000}"/>
    <cellStyle name="Normal 14 3 2" xfId="256" xr:uid="{00000000-0005-0000-0000-000008010000}"/>
    <cellStyle name="Normal 14 3 2 2" xfId="257" xr:uid="{00000000-0005-0000-0000-000009010000}"/>
    <cellStyle name="Normal 14 3 2 2 2" xfId="591" xr:uid="{00000000-0005-0000-0000-00000A010000}"/>
    <cellStyle name="Normal 14 3 2 3" xfId="590" xr:uid="{00000000-0005-0000-0000-00000B010000}"/>
    <cellStyle name="Normal 14 3 3" xfId="258" xr:uid="{00000000-0005-0000-0000-00000C010000}"/>
    <cellStyle name="Normal 14 3 3 2" xfId="592" xr:uid="{00000000-0005-0000-0000-00000D010000}"/>
    <cellStyle name="Normal 14 3 4" xfId="445" xr:uid="{00000000-0005-0000-0000-00000E010000}"/>
    <cellStyle name="Normal 14 4" xfId="259" xr:uid="{00000000-0005-0000-0000-00000F010000}"/>
    <cellStyle name="Normal 14 4 2" xfId="260" xr:uid="{00000000-0005-0000-0000-000010010000}"/>
    <cellStyle name="Normal 14 4 2 2" xfId="594" xr:uid="{00000000-0005-0000-0000-000011010000}"/>
    <cellStyle name="Normal 14 4 3" xfId="593" xr:uid="{00000000-0005-0000-0000-000012010000}"/>
    <cellStyle name="Normal 14 5" xfId="261" xr:uid="{00000000-0005-0000-0000-000013010000}"/>
    <cellStyle name="Normal 14 5 2" xfId="595" xr:uid="{00000000-0005-0000-0000-000014010000}"/>
    <cellStyle name="Normal 14 6" xfId="422" xr:uid="{00000000-0005-0000-0000-000015010000}"/>
    <cellStyle name="Normal 15" xfId="19" xr:uid="{00000000-0005-0000-0000-000016010000}"/>
    <cellStyle name="Normal 15 2" xfId="68" xr:uid="{00000000-0005-0000-0000-000017010000}"/>
    <cellStyle name="Normal 15 2 2" xfId="153" xr:uid="{00000000-0005-0000-0000-000018010000}"/>
    <cellStyle name="Normal 15 2 2 2" xfId="262" xr:uid="{00000000-0005-0000-0000-000019010000}"/>
    <cellStyle name="Normal 15 2 2 2 2" xfId="154" xr:uid="{00000000-0005-0000-0000-00001A010000}"/>
    <cellStyle name="Normal 15 2 2 2 2 2" xfId="263" xr:uid="{00000000-0005-0000-0000-00001B010000}"/>
    <cellStyle name="Normal 15 2 2 2 2 2 2" xfId="264" xr:uid="{00000000-0005-0000-0000-00001C010000}"/>
    <cellStyle name="Normal 15 2 2 2 2 2 2 2" xfId="598" xr:uid="{00000000-0005-0000-0000-00001D010000}"/>
    <cellStyle name="Normal 15 2 2 2 2 2 3" xfId="597" xr:uid="{00000000-0005-0000-0000-00001E010000}"/>
    <cellStyle name="Normal 15 2 2 2 2 3" xfId="265" xr:uid="{00000000-0005-0000-0000-00001F010000}"/>
    <cellStyle name="Normal 15 2 2 2 2 3 2" xfId="599" xr:uid="{00000000-0005-0000-0000-000020010000}"/>
    <cellStyle name="Normal 15 2 2 2 2 4" xfId="497" xr:uid="{00000000-0005-0000-0000-000021010000}"/>
    <cellStyle name="Normal 15 2 2 2 3" xfId="266" xr:uid="{00000000-0005-0000-0000-000022010000}"/>
    <cellStyle name="Normal 15 2 2 2 3 2" xfId="600" xr:uid="{00000000-0005-0000-0000-000023010000}"/>
    <cellStyle name="Normal 15 2 2 2 4" xfId="596" xr:uid="{00000000-0005-0000-0000-000024010000}"/>
    <cellStyle name="Normal 15 2 2 3" xfId="267" xr:uid="{00000000-0005-0000-0000-000025010000}"/>
    <cellStyle name="Normal 15 2 2 3 2" xfId="601" xr:uid="{00000000-0005-0000-0000-000026010000}"/>
    <cellStyle name="Normal 15 2 2 4" xfId="496" xr:uid="{00000000-0005-0000-0000-000027010000}"/>
    <cellStyle name="Normal 15 2 3" xfId="268" xr:uid="{00000000-0005-0000-0000-000028010000}"/>
    <cellStyle name="Normal 15 2 3 2" xfId="269" xr:uid="{00000000-0005-0000-0000-000029010000}"/>
    <cellStyle name="Normal 15 2 3 2 2" xfId="603" xr:uid="{00000000-0005-0000-0000-00002A010000}"/>
    <cellStyle name="Normal 15 2 3 3" xfId="602" xr:uid="{00000000-0005-0000-0000-00002B010000}"/>
    <cellStyle name="Normal 15 2 4" xfId="270" xr:uid="{00000000-0005-0000-0000-00002C010000}"/>
    <cellStyle name="Normal 15 2 4 2" xfId="604" xr:uid="{00000000-0005-0000-0000-00002D010000}"/>
    <cellStyle name="Normal 15 2 5" xfId="155" xr:uid="{00000000-0005-0000-0000-00002E010000}"/>
    <cellStyle name="Normal 15 2 5 2" xfId="498" xr:uid="{00000000-0005-0000-0000-00002F010000}"/>
    <cellStyle name="Normal 15 2 6" xfId="156" xr:uid="{00000000-0005-0000-0000-000030010000}"/>
    <cellStyle name="Normal 15 2 6 2" xfId="499" xr:uid="{00000000-0005-0000-0000-000031010000}"/>
    <cellStyle name="Normal 15 3" xfId="21" xr:uid="{00000000-0005-0000-0000-000032010000}"/>
    <cellStyle name="Normal 15 4" xfId="126" xr:uid="{00000000-0005-0000-0000-000033010000}"/>
    <cellStyle name="Normal 15 4 2" xfId="271" xr:uid="{00000000-0005-0000-0000-000034010000}"/>
    <cellStyle name="Normal 15 4 2 2" xfId="272" xr:uid="{00000000-0005-0000-0000-000035010000}"/>
    <cellStyle name="Normal 15 4 2 2 2" xfId="606" xr:uid="{00000000-0005-0000-0000-000036010000}"/>
    <cellStyle name="Normal 15 4 2 3" xfId="605" xr:uid="{00000000-0005-0000-0000-000037010000}"/>
    <cellStyle name="Normal 15 4 3" xfId="273" xr:uid="{00000000-0005-0000-0000-000038010000}"/>
    <cellStyle name="Normal 15 4 3 2" xfId="607" xr:uid="{00000000-0005-0000-0000-000039010000}"/>
    <cellStyle name="Normal 15 4 4" xfId="470" xr:uid="{00000000-0005-0000-0000-00003A010000}"/>
    <cellStyle name="Normal 15 5" xfId="103" xr:uid="{00000000-0005-0000-0000-00003B010000}"/>
    <cellStyle name="Normal 15 5 2" xfId="274" xr:uid="{00000000-0005-0000-0000-00003C010000}"/>
    <cellStyle name="Normal 15 5 2 2" xfId="608" xr:uid="{00000000-0005-0000-0000-00003D010000}"/>
    <cellStyle name="Normal 15 5 3" xfId="448" xr:uid="{00000000-0005-0000-0000-00003E010000}"/>
    <cellStyle name="Normal 15 6" xfId="157" xr:uid="{00000000-0005-0000-0000-00003F010000}"/>
    <cellStyle name="Normal 15 6 2" xfId="500" xr:uid="{00000000-0005-0000-0000-000040010000}"/>
    <cellStyle name="Normal 15 7" xfId="275" xr:uid="{00000000-0005-0000-0000-000041010000}"/>
    <cellStyle name="Normal 15 7 2" xfId="609" xr:uid="{00000000-0005-0000-0000-000042010000}"/>
    <cellStyle name="Normal 15 8" xfId="425" xr:uid="{00000000-0005-0000-0000-000043010000}"/>
    <cellStyle name="Normal 16" xfId="26" xr:uid="{00000000-0005-0000-0000-000044010000}"/>
    <cellStyle name="Normal 16 2" xfId="128" xr:uid="{00000000-0005-0000-0000-000045010000}"/>
    <cellStyle name="Normal 16 2 2" xfId="158" xr:uid="{00000000-0005-0000-0000-000046010000}"/>
    <cellStyle name="Normal 16 2 2 2" xfId="276" xr:uid="{00000000-0005-0000-0000-000047010000}"/>
    <cellStyle name="Normal 16 2 2 2 2" xfId="277" xr:uid="{00000000-0005-0000-0000-000048010000}"/>
    <cellStyle name="Normal 16 2 2 2 2 2" xfId="611" xr:uid="{00000000-0005-0000-0000-000049010000}"/>
    <cellStyle name="Normal 16 2 2 2 3" xfId="610" xr:uid="{00000000-0005-0000-0000-00004A010000}"/>
    <cellStyle name="Normal 16 2 2 3" xfId="278" xr:uid="{00000000-0005-0000-0000-00004B010000}"/>
    <cellStyle name="Normal 16 2 2 3 2" xfId="612" xr:uid="{00000000-0005-0000-0000-00004C010000}"/>
    <cellStyle name="Normal 16 2 2 4" xfId="501" xr:uid="{00000000-0005-0000-0000-00004D010000}"/>
    <cellStyle name="Normal 16 2 3" xfId="279" xr:uid="{00000000-0005-0000-0000-00004E010000}"/>
    <cellStyle name="Normal 16 2 3 2" xfId="280" xr:uid="{00000000-0005-0000-0000-00004F010000}"/>
    <cellStyle name="Normal 16 2 3 2 2" xfId="614" xr:uid="{00000000-0005-0000-0000-000050010000}"/>
    <cellStyle name="Normal 16 2 3 3" xfId="613" xr:uid="{00000000-0005-0000-0000-000051010000}"/>
    <cellStyle name="Normal 16 2 4" xfId="281" xr:uid="{00000000-0005-0000-0000-000052010000}"/>
    <cellStyle name="Normal 16 2 4 2" xfId="615" xr:uid="{00000000-0005-0000-0000-000053010000}"/>
    <cellStyle name="Normal 16 2 5" xfId="472" xr:uid="{00000000-0005-0000-0000-000054010000}"/>
    <cellStyle name="Normal 16 3" xfId="105" xr:uid="{00000000-0005-0000-0000-000055010000}"/>
    <cellStyle name="Normal 16 3 2" xfId="282" xr:uid="{00000000-0005-0000-0000-000056010000}"/>
    <cellStyle name="Normal 16 3 2 2" xfId="283" xr:uid="{00000000-0005-0000-0000-000057010000}"/>
    <cellStyle name="Normal 16 3 2 2 2" xfId="617" xr:uid="{00000000-0005-0000-0000-000058010000}"/>
    <cellStyle name="Normal 16 3 2 3" xfId="616" xr:uid="{00000000-0005-0000-0000-000059010000}"/>
    <cellStyle name="Normal 16 3 3" xfId="284" xr:uid="{00000000-0005-0000-0000-00005A010000}"/>
    <cellStyle name="Normal 16 3 3 2" xfId="618" xr:uid="{00000000-0005-0000-0000-00005B010000}"/>
    <cellStyle name="Normal 16 3 4" xfId="450" xr:uid="{00000000-0005-0000-0000-00005C010000}"/>
    <cellStyle name="Normal 16 4" xfId="159" xr:uid="{00000000-0005-0000-0000-00005D010000}"/>
    <cellStyle name="Normal 16 4 2" xfId="285" xr:uid="{00000000-0005-0000-0000-00005E010000}"/>
    <cellStyle name="Normal 16 4 2 2" xfId="619" xr:uid="{00000000-0005-0000-0000-00005F010000}"/>
    <cellStyle name="Normal 16 5" xfId="286" xr:uid="{00000000-0005-0000-0000-000060010000}"/>
    <cellStyle name="Normal 16 5 2" xfId="620" xr:uid="{00000000-0005-0000-0000-000061010000}"/>
    <cellStyle name="Normal 16 6" xfId="427" xr:uid="{00000000-0005-0000-0000-000062010000}"/>
    <cellStyle name="Normal 17" xfId="20" xr:uid="{00000000-0005-0000-0000-000063010000}"/>
    <cellStyle name="Normal 17 2" xfId="127" xr:uid="{00000000-0005-0000-0000-000064010000}"/>
    <cellStyle name="Normal 17 2 2" xfId="160" xr:uid="{00000000-0005-0000-0000-000065010000}"/>
    <cellStyle name="Normal 17 2 2 2" xfId="287" xr:uid="{00000000-0005-0000-0000-000066010000}"/>
    <cellStyle name="Normal 17 2 2 2 2" xfId="288" xr:uid="{00000000-0005-0000-0000-000067010000}"/>
    <cellStyle name="Normal 17 2 2 2 2 2" xfId="622" xr:uid="{00000000-0005-0000-0000-000068010000}"/>
    <cellStyle name="Normal 17 2 2 2 3" xfId="621" xr:uid="{00000000-0005-0000-0000-000069010000}"/>
    <cellStyle name="Normal 17 2 2 3" xfId="289" xr:uid="{00000000-0005-0000-0000-00006A010000}"/>
    <cellStyle name="Normal 17 2 2 3 2" xfId="623" xr:uid="{00000000-0005-0000-0000-00006B010000}"/>
    <cellStyle name="Normal 17 2 2 4" xfId="502" xr:uid="{00000000-0005-0000-0000-00006C010000}"/>
    <cellStyle name="Normal 17 2 3" xfId="290" xr:uid="{00000000-0005-0000-0000-00006D010000}"/>
    <cellStyle name="Normal 17 2 3 2" xfId="291" xr:uid="{00000000-0005-0000-0000-00006E010000}"/>
    <cellStyle name="Normal 17 2 3 2 2" xfId="625" xr:uid="{00000000-0005-0000-0000-00006F010000}"/>
    <cellStyle name="Normal 17 2 3 3" xfId="624" xr:uid="{00000000-0005-0000-0000-000070010000}"/>
    <cellStyle name="Normal 17 2 4" xfId="292" xr:uid="{00000000-0005-0000-0000-000071010000}"/>
    <cellStyle name="Normal 17 2 4 2" xfId="626" xr:uid="{00000000-0005-0000-0000-000072010000}"/>
    <cellStyle name="Normal 17 2 5" xfId="471" xr:uid="{00000000-0005-0000-0000-000073010000}"/>
    <cellStyle name="Normal 17 3" xfId="104" xr:uid="{00000000-0005-0000-0000-000074010000}"/>
    <cellStyle name="Normal 17 3 2" xfId="293" xr:uid="{00000000-0005-0000-0000-000075010000}"/>
    <cellStyle name="Normal 17 3 2 2" xfId="294" xr:uid="{00000000-0005-0000-0000-000076010000}"/>
    <cellStyle name="Normal 17 3 2 2 2" xfId="628" xr:uid="{00000000-0005-0000-0000-000077010000}"/>
    <cellStyle name="Normal 17 3 2 3" xfId="627" xr:uid="{00000000-0005-0000-0000-000078010000}"/>
    <cellStyle name="Normal 17 3 3" xfId="295" xr:uid="{00000000-0005-0000-0000-000079010000}"/>
    <cellStyle name="Normal 17 3 3 2" xfId="629" xr:uid="{00000000-0005-0000-0000-00007A010000}"/>
    <cellStyle name="Normal 17 3 4" xfId="449" xr:uid="{00000000-0005-0000-0000-00007B010000}"/>
    <cellStyle name="Normal 17 4" xfId="296" xr:uid="{00000000-0005-0000-0000-00007C010000}"/>
    <cellStyle name="Normal 17 4 2" xfId="297" xr:uid="{00000000-0005-0000-0000-00007D010000}"/>
    <cellStyle name="Normal 17 4 2 2" xfId="631" xr:uid="{00000000-0005-0000-0000-00007E010000}"/>
    <cellStyle name="Normal 17 4 3" xfId="630" xr:uid="{00000000-0005-0000-0000-00007F010000}"/>
    <cellStyle name="Normal 17 5" xfId="298" xr:uid="{00000000-0005-0000-0000-000080010000}"/>
    <cellStyle name="Normal 17 5 2" xfId="632" xr:uid="{00000000-0005-0000-0000-000081010000}"/>
    <cellStyle name="Normal 17 6" xfId="426" xr:uid="{00000000-0005-0000-0000-000082010000}"/>
    <cellStyle name="Normal 18" xfId="161" xr:uid="{00000000-0005-0000-0000-000083010000}"/>
    <cellStyle name="Normal 18 2" xfId="299" xr:uid="{00000000-0005-0000-0000-000084010000}"/>
    <cellStyle name="Normal 18 2 4" xfId="300" xr:uid="{00000000-0005-0000-0000-000085010000}"/>
    <cellStyle name="Normal 18 2 4 2" xfId="301" xr:uid="{00000000-0005-0000-0000-000086010000}"/>
    <cellStyle name="Normal 18 2 4 2 2" xfId="302" xr:uid="{00000000-0005-0000-0000-000087010000}"/>
    <cellStyle name="Normal 18 2 4 2 2 2" xfId="635" xr:uid="{00000000-0005-0000-0000-000088010000}"/>
    <cellStyle name="Normal 18 2 4 2 3" xfId="634" xr:uid="{00000000-0005-0000-0000-000089010000}"/>
    <cellStyle name="Normal 18 2 4 3" xfId="303" xr:uid="{00000000-0005-0000-0000-00008A010000}"/>
    <cellStyle name="Normal 18 2 4 3 2" xfId="636" xr:uid="{00000000-0005-0000-0000-00008B010000}"/>
    <cellStyle name="Normal 18 2 4 4" xfId="633" xr:uid="{00000000-0005-0000-0000-00008C010000}"/>
    <cellStyle name="Normal 19" xfId="69" xr:uid="{00000000-0005-0000-0000-00008D010000}"/>
    <cellStyle name="Normal 19 2" xfId="304" xr:uid="{00000000-0005-0000-0000-00008E010000}"/>
    <cellStyle name="Normal 19 2 2" xfId="305" xr:uid="{00000000-0005-0000-0000-00008F010000}"/>
    <cellStyle name="Normal 19 2 2 2" xfId="638" xr:uid="{00000000-0005-0000-0000-000090010000}"/>
    <cellStyle name="Normal 19 2 3" xfId="637" xr:uid="{00000000-0005-0000-0000-000091010000}"/>
    <cellStyle name="Normal 19 3" xfId="306" xr:uid="{00000000-0005-0000-0000-000092010000}"/>
    <cellStyle name="Normal 19 3 2" xfId="639" xr:uid="{00000000-0005-0000-0000-000093010000}"/>
    <cellStyle name="Normal 2" xfId="1" xr:uid="{00000000-0005-0000-0000-000094010000}"/>
    <cellStyle name="Normal 2 10" xfId="25" xr:uid="{00000000-0005-0000-0000-000095010000}"/>
    <cellStyle name="Normal 2 15" xfId="70" xr:uid="{00000000-0005-0000-0000-000096010000}"/>
    <cellStyle name="Normal 2 15 2" xfId="71" xr:uid="{00000000-0005-0000-0000-000097010000}"/>
    <cellStyle name="Normal 2 15 2 2" xfId="72" xr:uid="{00000000-0005-0000-0000-000098010000}"/>
    <cellStyle name="Normal 2 15 2 2 2" xfId="132" xr:uid="{00000000-0005-0000-0000-000099010000}"/>
    <cellStyle name="Normal 2 15 2 2 2 2" xfId="475" xr:uid="{00000000-0005-0000-0000-00009A010000}"/>
    <cellStyle name="Normal 2 15 2 2 3" xfId="109" xr:uid="{00000000-0005-0000-0000-00009B010000}"/>
    <cellStyle name="Normal 2 15 2 2 3 2" xfId="453" xr:uid="{00000000-0005-0000-0000-00009C010000}"/>
    <cellStyle name="Normal 2 15 2 2 4" xfId="430" xr:uid="{00000000-0005-0000-0000-00009D010000}"/>
    <cellStyle name="Normal 2 15 2 3" xfId="131" xr:uid="{00000000-0005-0000-0000-00009E010000}"/>
    <cellStyle name="Normal 2 15 2 3 2" xfId="474" xr:uid="{00000000-0005-0000-0000-00009F010000}"/>
    <cellStyle name="Normal 2 15 2 4" xfId="108" xr:uid="{00000000-0005-0000-0000-0000A0010000}"/>
    <cellStyle name="Normal 2 15 2 4 2" xfId="452" xr:uid="{00000000-0005-0000-0000-0000A1010000}"/>
    <cellStyle name="Normal 2 15 2 5" xfId="429" xr:uid="{00000000-0005-0000-0000-0000A2010000}"/>
    <cellStyle name="Normal 2 2" xfId="13" xr:uid="{00000000-0005-0000-0000-0000A3010000}"/>
    <cellStyle name="Normal 2 2 2" xfId="15" xr:uid="{00000000-0005-0000-0000-0000A4010000}"/>
    <cellStyle name="Normal 2 2 2 2" xfId="31" xr:uid="{00000000-0005-0000-0000-0000A5010000}"/>
    <cellStyle name="Normal 2 2 2 2 2" xfId="73" xr:uid="{00000000-0005-0000-0000-0000A6010000}"/>
    <cellStyle name="Normal 2 2 2 2 2 2" xfId="133" xr:uid="{00000000-0005-0000-0000-0000A7010000}"/>
    <cellStyle name="Normal 2 2 2 2 2 2 2" xfId="307" xr:uid="{00000000-0005-0000-0000-0000A8010000}"/>
    <cellStyle name="Normal 2 2 2 2 2 2 2 2" xfId="640" xr:uid="{00000000-0005-0000-0000-0000A9010000}"/>
    <cellStyle name="Normal 2 2 2 2 2 2 3" xfId="476" xr:uid="{00000000-0005-0000-0000-0000AA010000}"/>
    <cellStyle name="Normal 2 2 2 2 2 3" xfId="110" xr:uid="{00000000-0005-0000-0000-0000AB010000}"/>
    <cellStyle name="Normal 2 2 2 2 2 3 2" xfId="454" xr:uid="{00000000-0005-0000-0000-0000AC010000}"/>
    <cellStyle name="Normal 2 2 2 2 2 4" xfId="431" xr:uid="{00000000-0005-0000-0000-0000AD010000}"/>
    <cellStyle name="Normal 2 2 2 2 3" xfId="130" xr:uid="{00000000-0005-0000-0000-0000AE010000}"/>
    <cellStyle name="Normal 2 2 2 2 3 2" xfId="138" xr:uid="{00000000-0005-0000-0000-0000AF010000}"/>
    <cellStyle name="Normal 2 2 2 2 3 2 2" xfId="481" xr:uid="{00000000-0005-0000-0000-0000B0010000}"/>
    <cellStyle name="Normal 2 2 2 2 3 2 3" xfId="728" xr:uid="{00000000-0005-0000-0000-0000B1010000}"/>
    <cellStyle name="Normal 2 2 2 2 3 3" xfId="473" xr:uid="{00000000-0005-0000-0000-0000B2010000}"/>
    <cellStyle name="Normal 2 2 2 2 4" xfId="107" xr:uid="{00000000-0005-0000-0000-0000B3010000}"/>
    <cellStyle name="Normal 2 2 2 2 4 2" xfId="451" xr:uid="{00000000-0005-0000-0000-0000B4010000}"/>
    <cellStyle name="Normal 2 2 2 2 5" xfId="428" xr:uid="{00000000-0005-0000-0000-0000B5010000}"/>
    <cellStyle name="Normal 2 2 2 3" xfId="74" xr:uid="{00000000-0005-0000-0000-0000B6010000}"/>
    <cellStyle name="Normal 2 2 2 3 2" xfId="134" xr:uid="{00000000-0005-0000-0000-0000B7010000}"/>
    <cellStyle name="Normal 2 2 2 3 2 2" xfId="308" xr:uid="{00000000-0005-0000-0000-0000B8010000}"/>
    <cellStyle name="Normal 2 2 2 3 2 2 2" xfId="641" xr:uid="{00000000-0005-0000-0000-0000B9010000}"/>
    <cellStyle name="Normal 2 2 2 3 2 3" xfId="477" xr:uid="{00000000-0005-0000-0000-0000BA010000}"/>
    <cellStyle name="Normal 2 2 2 3 3" xfId="111" xr:uid="{00000000-0005-0000-0000-0000BB010000}"/>
    <cellStyle name="Normal 2 2 2 3 3 2" xfId="455" xr:uid="{00000000-0005-0000-0000-0000BC010000}"/>
    <cellStyle name="Normal 2 2 2 3 4" xfId="432" xr:uid="{00000000-0005-0000-0000-0000BD010000}"/>
    <cellStyle name="Normal 2 2 2 4" xfId="89" xr:uid="{00000000-0005-0000-0000-0000BE010000}"/>
    <cellStyle name="Normal 2 2 2 4 2" xfId="136" xr:uid="{00000000-0005-0000-0000-0000BF010000}"/>
    <cellStyle name="Normal 2 2 2 4 2 2" xfId="479" xr:uid="{00000000-0005-0000-0000-0000C0010000}"/>
    <cellStyle name="Normal 2 2 2 4 3" xfId="113" xr:uid="{00000000-0005-0000-0000-0000C1010000}"/>
    <cellStyle name="Normal 2 2 2 4 3 2" xfId="457" xr:uid="{00000000-0005-0000-0000-0000C2010000}"/>
    <cellStyle name="Normal 2 2 2 4 4" xfId="137" xr:uid="{00000000-0005-0000-0000-0000C3010000}"/>
    <cellStyle name="Normal 2 2 2 4 4 2" xfId="480" xr:uid="{00000000-0005-0000-0000-0000C4010000}"/>
    <cellStyle name="Normal 2 2 2 4 4 3" xfId="727" xr:uid="{00000000-0005-0000-0000-0000C5010000}"/>
    <cellStyle name="Normal 2 2 2 4 5" xfId="434" xr:uid="{00000000-0005-0000-0000-0000C6010000}"/>
    <cellStyle name="Normal 2 2 2 5" xfId="124" xr:uid="{00000000-0005-0000-0000-0000C7010000}"/>
    <cellStyle name="Normal 2 2 2 5 2" xfId="468" xr:uid="{00000000-0005-0000-0000-0000C8010000}"/>
    <cellStyle name="Normal 2 2 2 6" xfId="101" xr:uid="{00000000-0005-0000-0000-0000C9010000}"/>
    <cellStyle name="Normal 2 2 2 6 2" xfId="446" xr:uid="{00000000-0005-0000-0000-0000CA010000}"/>
    <cellStyle name="Normal 2 2 2 7" xfId="423" xr:uid="{00000000-0005-0000-0000-0000CB010000}"/>
    <cellStyle name="Normal 2 3" xfId="24" xr:uid="{00000000-0005-0000-0000-0000CC010000}"/>
    <cellStyle name="Normal 2 3 2" xfId="309" xr:uid="{00000000-0005-0000-0000-0000CD010000}"/>
    <cellStyle name="Normal 2 3 3" xfId="310" xr:uid="{00000000-0005-0000-0000-0000CE010000}"/>
    <cellStyle name="Normal 2 4" xfId="23" xr:uid="{00000000-0005-0000-0000-0000CF010000}"/>
    <cellStyle name="Normal 2 4 2" xfId="311" xr:uid="{00000000-0005-0000-0000-0000D0010000}"/>
    <cellStyle name="Normal 2 5" xfId="312" xr:uid="{00000000-0005-0000-0000-0000D1010000}"/>
    <cellStyle name="Normal 2 6" xfId="313" xr:uid="{00000000-0005-0000-0000-0000D2010000}"/>
    <cellStyle name="Normal 2 7" xfId="314" xr:uid="{00000000-0005-0000-0000-0000D3010000}"/>
    <cellStyle name="Normal 20" xfId="27" xr:uid="{00000000-0005-0000-0000-0000D4010000}"/>
    <cellStyle name="Normal 21" xfId="315" xr:uid="{00000000-0005-0000-0000-0000D5010000}"/>
    <cellStyle name="Normal 21 2" xfId="316" xr:uid="{00000000-0005-0000-0000-0000D6010000}"/>
    <cellStyle name="Normal 3" xfId="16" xr:uid="{00000000-0005-0000-0000-0000D7010000}"/>
    <cellStyle name="Normal 3 2" xfId="18" xr:uid="{00000000-0005-0000-0000-0000D8010000}"/>
    <cellStyle name="Normal 3 2 2" xfId="75" xr:uid="{00000000-0005-0000-0000-0000D9010000}"/>
    <cellStyle name="Normal 3 2 2 2" xfId="317" xr:uid="{00000000-0005-0000-0000-0000DA010000}"/>
    <cellStyle name="Normal 3 2 3" xfId="76" xr:uid="{00000000-0005-0000-0000-0000DB010000}"/>
    <cellStyle name="Normal 3 3" xfId="162" xr:uid="{00000000-0005-0000-0000-0000DC010000}"/>
    <cellStyle name="Normal 3 3 2" xfId="163" xr:uid="{00000000-0005-0000-0000-0000DD010000}"/>
    <cellStyle name="Normal 3 3 2 2" xfId="164" xr:uid="{00000000-0005-0000-0000-0000DE010000}"/>
    <cellStyle name="Normal 3 3 2 2 2" xfId="318" xr:uid="{00000000-0005-0000-0000-0000DF010000}"/>
    <cellStyle name="Normal 3 3 2 2 2 2" xfId="319" xr:uid="{00000000-0005-0000-0000-0000E0010000}"/>
    <cellStyle name="Normal 3 3 2 2 2 2 2" xfId="643" xr:uid="{00000000-0005-0000-0000-0000E1010000}"/>
    <cellStyle name="Normal 3 3 2 2 2 3" xfId="642" xr:uid="{00000000-0005-0000-0000-0000E2010000}"/>
    <cellStyle name="Normal 3 3 2 2 3" xfId="320" xr:uid="{00000000-0005-0000-0000-0000E3010000}"/>
    <cellStyle name="Normal 3 3 2 2 3 2" xfId="644" xr:uid="{00000000-0005-0000-0000-0000E4010000}"/>
    <cellStyle name="Normal 3 3 2 2 4" xfId="505" xr:uid="{00000000-0005-0000-0000-0000E5010000}"/>
    <cellStyle name="Normal 3 3 2 3" xfId="321" xr:uid="{00000000-0005-0000-0000-0000E6010000}"/>
    <cellStyle name="Normal 3 3 2 3 2" xfId="322" xr:uid="{00000000-0005-0000-0000-0000E7010000}"/>
    <cellStyle name="Normal 3 3 2 3 2 2" xfId="646" xr:uid="{00000000-0005-0000-0000-0000E8010000}"/>
    <cellStyle name="Normal 3 3 2 3 3" xfId="645" xr:uid="{00000000-0005-0000-0000-0000E9010000}"/>
    <cellStyle name="Normal 3 3 2 4" xfId="323" xr:uid="{00000000-0005-0000-0000-0000EA010000}"/>
    <cellStyle name="Normal 3 3 2 4 2" xfId="647" xr:uid="{00000000-0005-0000-0000-0000EB010000}"/>
    <cellStyle name="Normal 3 3 2 5" xfId="504" xr:uid="{00000000-0005-0000-0000-0000EC010000}"/>
    <cellStyle name="Normal 3 3 3" xfId="165" xr:uid="{00000000-0005-0000-0000-0000ED010000}"/>
    <cellStyle name="Normal 3 3 3 2" xfId="324" xr:uid="{00000000-0005-0000-0000-0000EE010000}"/>
    <cellStyle name="Normal 3 3 3 2 2" xfId="325" xr:uid="{00000000-0005-0000-0000-0000EF010000}"/>
    <cellStyle name="Normal 3 3 3 2 2 2" xfId="649" xr:uid="{00000000-0005-0000-0000-0000F0010000}"/>
    <cellStyle name="Normal 3 3 3 2 3" xfId="648" xr:uid="{00000000-0005-0000-0000-0000F1010000}"/>
    <cellStyle name="Normal 3 3 3 3" xfId="326" xr:uid="{00000000-0005-0000-0000-0000F2010000}"/>
    <cellStyle name="Normal 3 3 3 3 2" xfId="650" xr:uid="{00000000-0005-0000-0000-0000F3010000}"/>
    <cellStyle name="Normal 3 3 3 4" xfId="506" xr:uid="{00000000-0005-0000-0000-0000F4010000}"/>
    <cellStyle name="Normal 3 3 4" xfId="327" xr:uid="{00000000-0005-0000-0000-0000F5010000}"/>
    <cellStyle name="Normal 3 3 4 2" xfId="328" xr:uid="{00000000-0005-0000-0000-0000F6010000}"/>
    <cellStyle name="Normal 3 3 4 2 2" xfId="652" xr:uid="{00000000-0005-0000-0000-0000F7010000}"/>
    <cellStyle name="Normal 3 3 4 3" xfId="651" xr:uid="{00000000-0005-0000-0000-0000F8010000}"/>
    <cellStyle name="Normal 3 3 5" xfId="329" xr:uid="{00000000-0005-0000-0000-0000F9010000}"/>
    <cellStyle name="Normal 3 3 6" xfId="330" xr:uid="{00000000-0005-0000-0000-0000FA010000}"/>
    <cellStyle name="Normal 3 3 6 2" xfId="653" xr:uid="{00000000-0005-0000-0000-0000FB010000}"/>
    <cellStyle name="Normal 3 3 7" xfId="503" xr:uid="{00000000-0005-0000-0000-0000FC010000}"/>
    <cellStyle name="Normal 3 4" xfId="331" xr:uid="{00000000-0005-0000-0000-0000FD010000}"/>
    <cellStyle name="Normal 3 5" xfId="332" xr:uid="{00000000-0005-0000-0000-0000FE010000}"/>
    <cellStyle name="Normal 3 6" xfId="333" xr:uid="{00000000-0005-0000-0000-0000FF010000}"/>
    <cellStyle name="Normal 4" xfId="17" xr:uid="{00000000-0005-0000-0000-000000020000}"/>
    <cellStyle name="Normal 4 2" xfId="125" xr:uid="{00000000-0005-0000-0000-000001020000}"/>
    <cellStyle name="Normal 4 2 2" xfId="166" xr:uid="{00000000-0005-0000-0000-000002020000}"/>
    <cellStyle name="Normal 4 2 2 2" xfId="334" xr:uid="{00000000-0005-0000-0000-000003020000}"/>
    <cellStyle name="Normal 4 2 2 2 2" xfId="335" xr:uid="{00000000-0005-0000-0000-000004020000}"/>
    <cellStyle name="Normal 4 2 2 2 2 2" xfId="655" xr:uid="{00000000-0005-0000-0000-000005020000}"/>
    <cellStyle name="Normal 4 2 2 2 3" xfId="654" xr:uid="{00000000-0005-0000-0000-000006020000}"/>
    <cellStyle name="Normal 4 2 2 3" xfId="336" xr:uid="{00000000-0005-0000-0000-000007020000}"/>
    <cellStyle name="Normal 4 2 2 3 2" xfId="656" xr:uid="{00000000-0005-0000-0000-000008020000}"/>
    <cellStyle name="Normal 4 2 2 4" xfId="507" xr:uid="{00000000-0005-0000-0000-000009020000}"/>
    <cellStyle name="Normal 4 2 3" xfId="337" xr:uid="{00000000-0005-0000-0000-00000A020000}"/>
    <cellStyle name="Normal 4 2 3 2" xfId="338" xr:uid="{00000000-0005-0000-0000-00000B020000}"/>
    <cellStyle name="Normal 4 2 3 2 2" xfId="658" xr:uid="{00000000-0005-0000-0000-00000C020000}"/>
    <cellStyle name="Normal 4 2 3 3" xfId="657" xr:uid="{00000000-0005-0000-0000-00000D020000}"/>
    <cellStyle name="Normal 4 2 4" xfId="339" xr:uid="{00000000-0005-0000-0000-00000E020000}"/>
    <cellStyle name="Normal 4 2 4 2" xfId="659" xr:uid="{00000000-0005-0000-0000-00000F020000}"/>
    <cellStyle name="Normal 4 2 5" xfId="469" xr:uid="{00000000-0005-0000-0000-000010020000}"/>
    <cellStyle name="Normal 4 3" xfId="102" xr:uid="{00000000-0005-0000-0000-000011020000}"/>
    <cellStyle name="Normal 4 3 2" xfId="340" xr:uid="{00000000-0005-0000-0000-000012020000}"/>
    <cellStyle name="Normal 4 3 2 2" xfId="341" xr:uid="{00000000-0005-0000-0000-000013020000}"/>
    <cellStyle name="Normal 4 3 2 2 2" xfId="661" xr:uid="{00000000-0005-0000-0000-000014020000}"/>
    <cellStyle name="Normal 4 3 2 3" xfId="660" xr:uid="{00000000-0005-0000-0000-000015020000}"/>
    <cellStyle name="Normal 4 3 3" xfId="342" xr:uid="{00000000-0005-0000-0000-000016020000}"/>
    <cellStyle name="Normal 4 3 3 2" xfId="662" xr:uid="{00000000-0005-0000-0000-000017020000}"/>
    <cellStyle name="Normal 4 3 4" xfId="447" xr:uid="{00000000-0005-0000-0000-000018020000}"/>
    <cellStyle name="Normal 4 4" xfId="343" xr:uid="{00000000-0005-0000-0000-000019020000}"/>
    <cellStyle name="Normal 4 4 2" xfId="344" xr:uid="{00000000-0005-0000-0000-00001A020000}"/>
    <cellStyle name="Normal 4 4 2 2" xfId="664" xr:uid="{00000000-0005-0000-0000-00001B020000}"/>
    <cellStyle name="Normal 4 4 3" xfId="663" xr:uid="{00000000-0005-0000-0000-00001C020000}"/>
    <cellStyle name="Normal 4 5" xfId="345" xr:uid="{00000000-0005-0000-0000-00001D020000}"/>
    <cellStyle name="Normal 4 5 2" xfId="346" xr:uid="{00000000-0005-0000-0000-00001E020000}"/>
    <cellStyle name="Normal 4 5 2 2" xfId="666" xr:uid="{00000000-0005-0000-0000-00001F020000}"/>
    <cellStyle name="Normal 4 5 3" xfId="665" xr:uid="{00000000-0005-0000-0000-000020020000}"/>
    <cellStyle name="Normal 4 6" xfId="347" xr:uid="{00000000-0005-0000-0000-000021020000}"/>
    <cellStyle name="Normal 4 7" xfId="424" xr:uid="{00000000-0005-0000-0000-000022020000}"/>
    <cellStyle name="Normal 5" xfId="3" xr:uid="{00000000-0005-0000-0000-000023020000}"/>
    <cellStyle name="Normal 5 2" xfId="77" xr:uid="{00000000-0005-0000-0000-000024020000}"/>
    <cellStyle name="Normal 5 2 2" xfId="167" xr:uid="{00000000-0005-0000-0000-000025020000}"/>
    <cellStyle name="Normal 5 2 2 2" xfId="348" xr:uid="{00000000-0005-0000-0000-000026020000}"/>
    <cellStyle name="Normal 5 2 2 2 2" xfId="349" xr:uid="{00000000-0005-0000-0000-000027020000}"/>
    <cellStyle name="Normal 5 2 2 2 2 2" xfId="668" xr:uid="{00000000-0005-0000-0000-000028020000}"/>
    <cellStyle name="Normal 5 2 2 2 3" xfId="667" xr:uid="{00000000-0005-0000-0000-000029020000}"/>
    <cellStyle name="Normal 5 2 2 3" xfId="350" xr:uid="{00000000-0005-0000-0000-00002A020000}"/>
    <cellStyle name="Normal 5 2 2 3 2" xfId="669" xr:uid="{00000000-0005-0000-0000-00002B020000}"/>
    <cellStyle name="Normal 5 2 2 4" xfId="508" xr:uid="{00000000-0005-0000-0000-00002C020000}"/>
    <cellStyle name="Normal 5 2 3" xfId="351" xr:uid="{00000000-0005-0000-0000-00002D020000}"/>
    <cellStyle name="Normal 5 2 3 2" xfId="352" xr:uid="{00000000-0005-0000-0000-00002E020000}"/>
    <cellStyle name="Normal 5 2 3 2 2" xfId="671" xr:uid="{00000000-0005-0000-0000-00002F020000}"/>
    <cellStyle name="Normal 5 2 3 3" xfId="670" xr:uid="{00000000-0005-0000-0000-000030020000}"/>
    <cellStyle name="Normal 5 2 4" xfId="353" xr:uid="{00000000-0005-0000-0000-000031020000}"/>
    <cellStyle name="Normal 5 2 4 2" xfId="672" xr:uid="{00000000-0005-0000-0000-000032020000}"/>
    <cellStyle name="Normal 5 3" xfId="114" xr:uid="{00000000-0005-0000-0000-000033020000}"/>
    <cellStyle name="Normal 5 3 2" xfId="354" xr:uid="{00000000-0005-0000-0000-000034020000}"/>
    <cellStyle name="Normal 5 3 2 2" xfId="355" xr:uid="{00000000-0005-0000-0000-000035020000}"/>
    <cellStyle name="Normal 5 3 2 2 2" xfId="674" xr:uid="{00000000-0005-0000-0000-000036020000}"/>
    <cellStyle name="Normal 5 3 2 3" xfId="673" xr:uid="{00000000-0005-0000-0000-000037020000}"/>
    <cellStyle name="Normal 5 3 3" xfId="356" xr:uid="{00000000-0005-0000-0000-000038020000}"/>
    <cellStyle name="Normal 5 3 3 2" xfId="675" xr:uid="{00000000-0005-0000-0000-000039020000}"/>
    <cellStyle name="Normal 5 3 4" xfId="458" xr:uid="{00000000-0005-0000-0000-00003A020000}"/>
    <cellStyle name="Normal 5 4" xfId="91" xr:uid="{00000000-0005-0000-0000-00003B020000}"/>
    <cellStyle name="Normal 5 4 2" xfId="357" xr:uid="{00000000-0005-0000-0000-00003C020000}"/>
    <cellStyle name="Normal 5 4 2 2" xfId="676" xr:uid="{00000000-0005-0000-0000-00003D020000}"/>
    <cellStyle name="Normal 5 4 3" xfId="436" xr:uid="{00000000-0005-0000-0000-00003E020000}"/>
    <cellStyle name="Normal 5 5" xfId="358" xr:uid="{00000000-0005-0000-0000-00003F020000}"/>
    <cellStyle name="Normal 5 5 2" xfId="359" xr:uid="{00000000-0005-0000-0000-000040020000}"/>
    <cellStyle name="Normal 5 5 2 2" xfId="678" xr:uid="{00000000-0005-0000-0000-000041020000}"/>
    <cellStyle name="Normal 5 5 3" xfId="677" xr:uid="{00000000-0005-0000-0000-000042020000}"/>
    <cellStyle name="Normal 5 6" xfId="360" xr:uid="{00000000-0005-0000-0000-000043020000}"/>
    <cellStyle name="Normal 5 6 2" xfId="361" xr:uid="{00000000-0005-0000-0000-000044020000}"/>
    <cellStyle name="Normal 5 6 2 2" xfId="680" xr:uid="{00000000-0005-0000-0000-000045020000}"/>
    <cellStyle name="Normal 5 6 3" xfId="679" xr:uid="{00000000-0005-0000-0000-000046020000}"/>
    <cellStyle name="Normal 5 7" xfId="362" xr:uid="{00000000-0005-0000-0000-000047020000}"/>
    <cellStyle name="Normal 5 8" xfId="413" xr:uid="{00000000-0005-0000-0000-000048020000}"/>
    <cellStyle name="Normal 6" xfId="5" xr:uid="{00000000-0005-0000-0000-000049020000}"/>
    <cellStyle name="Normal 6 2" xfId="78" xr:uid="{00000000-0005-0000-0000-00004A020000}"/>
    <cellStyle name="Normal 6 2 2" xfId="168" xr:uid="{00000000-0005-0000-0000-00004B020000}"/>
    <cellStyle name="Normal 6 2 2 2" xfId="363" xr:uid="{00000000-0005-0000-0000-00004C020000}"/>
    <cellStyle name="Normal 6 2 2 2 2" xfId="364" xr:uid="{00000000-0005-0000-0000-00004D020000}"/>
    <cellStyle name="Normal 6 2 2 2 2 2" xfId="682" xr:uid="{00000000-0005-0000-0000-00004E020000}"/>
    <cellStyle name="Normal 6 2 2 2 3" xfId="681" xr:uid="{00000000-0005-0000-0000-00004F020000}"/>
    <cellStyle name="Normal 6 2 2 3" xfId="365" xr:uid="{00000000-0005-0000-0000-000050020000}"/>
    <cellStyle name="Normal 6 2 2 3 2" xfId="683" xr:uid="{00000000-0005-0000-0000-000051020000}"/>
    <cellStyle name="Normal 6 2 2 4" xfId="509" xr:uid="{00000000-0005-0000-0000-000052020000}"/>
    <cellStyle name="Normal 6 2 3" xfId="366" xr:uid="{00000000-0005-0000-0000-000053020000}"/>
    <cellStyle name="Normal 6 2 3 2" xfId="367" xr:uid="{00000000-0005-0000-0000-000054020000}"/>
    <cellStyle name="Normal 6 2 3 2 2" xfId="685" xr:uid="{00000000-0005-0000-0000-000055020000}"/>
    <cellStyle name="Normal 6 2 3 3" xfId="684" xr:uid="{00000000-0005-0000-0000-000056020000}"/>
    <cellStyle name="Normal 6 2 4" xfId="368" xr:uid="{00000000-0005-0000-0000-000057020000}"/>
    <cellStyle name="Normal 6 2 4 2" xfId="686" xr:uid="{00000000-0005-0000-0000-000058020000}"/>
    <cellStyle name="Normal 6 3" xfId="116" xr:uid="{00000000-0005-0000-0000-000059020000}"/>
    <cellStyle name="Normal 6 3 2" xfId="369" xr:uid="{00000000-0005-0000-0000-00005A020000}"/>
    <cellStyle name="Normal 6 3 2 2" xfId="370" xr:uid="{00000000-0005-0000-0000-00005B020000}"/>
    <cellStyle name="Normal 6 3 2 2 2" xfId="688" xr:uid="{00000000-0005-0000-0000-00005C020000}"/>
    <cellStyle name="Normal 6 3 2 3" xfId="687" xr:uid="{00000000-0005-0000-0000-00005D020000}"/>
    <cellStyle name="Normal 6 3 3" xfId="371" xr:uid="{00000000-0005-0000-0000-00005E020000}"/>
    <cellStyle name="Normal 6 3 3 2" xfId="689" xr:uid="{00000000-0005-0000-0000-00005F020000}"/>
    <cellStyle name="Normal 6 3 4" xfId="460" xr:uid="{00000000-0005-0000-0000-000060020000}"/>
    <cellStyle name="Normal 6 4" xfId="79" xr:uid="{00000000-0005-0000-0000-000061020000}"/>
    <cellStyle name="Normal 6 5" xfId="93" xr:uid="{00000000-0005-0000-0000-000062020000}"/>
    <cellStyle name="Normal 6 5 2" xfId="372" xr:uid="{00000000-0005-0000-0000-000063020000}"/>
    <cellStyle name="Normal 6 5 2 2" xfId="690" xr:uid="{00000000-0005-0000-0000-000064020000}"/>
    <cellStyle name="Normal 6 5 3" xfId="438" xr:uid="{00000000-0005-0000-0000-000065020000}"/>
    <cellStyle name="Normal 6 6" xfId="373" xr:uid="{00000000-0005-0000-0000-000066020000}"/>
    <cellStyle name="Normal 6 6 2" xfId="374" xr:uid="{00000000-0005-0000-0000-000067020000}"/>
    <cellStyle name="Normal 6 6 2 2" xfId="692" xr:uid="{00000000-0005-0000-0000-000068020000}"/>
    <cellStyle name="Normal 6 6 3" xfId="691" xr:uid="{00000000-0005-0000-0000-000069020000}"/>
    <cellStyle name="Normal 6 7" xfId="415" xr:uid="{00000000-0005-0000-0000-00006A020000}"/>
    <cellStyle name="Normal 7" xfId="6" xr:uid="{00000000-0005-0000-0000-00006B020000}"/>
    <cellStyle name="Normal 7 2" xfId="117" xr:uid="{00000000-0005-0000-0000-00006C020000}"/>
    <cellStyle name="Normal 7 2 2" xfId="169" xr:uid="{00000000-0005-0000-0000-00006D020000}"/>
    <cellStyle name="Normal 7 2 2 2" xfId="375" xr:uid="{00000000-0005-0000-0000-00006E020000}"/>
    <cellStyle name="Normal 7 2 2 2 2" xfId="376" xr:uid="{00000000-0005-0000-0000-00006F020000}"/>
    <cellStyle name="Normal 7 2 2 2 2 2" xfId="694" xr:uid="{00000000-0005-0000-0000-000070020000}"/>
    <cellStyle name="Normal 7 2 2 2 3" xfId="693" xr:uid="{00000000-0005-0000-0000-000071020000}"/>
    <cellStyle name="Normal 7 2 2 3" xfId="377" xr:uid="{00000000-0005-0000-0000-000072020000}"/>
    <cellStyle name="Normal 7 2 2 3 2" xfId="695" xr:uid="{00000000-0005-0000-0000-000073020000}"/>
    <cellStyle name="Normal 7 2 2 4" xfId="510" xr:uid="{00000000-0005-0000-0000-000074020000}"/>
    <cellStyle name="Normal 7 2 3" xfId="378" xr:uid="{00000000-0005-0000-0000-000075020000}"/>
    <cellStyle name="Normal 7 2 3 2" xfId="379" xr:uid="{00000000-0005-0000-0000-000076020000}"/>
    <cellStyle name="Normal 7 2 3 2 2" xfId="697" xr:uid="{00000000-0005-0000-0000-000077020000}"/>
    <cellStyle name="Normal 7 2 3 3" xfId="696" xr:uid="{00000000-0005-0000-0000-000078020000}"/>
    <cellStyle name="Normal 7 2 4" xfId="380" xr:uid="{00000000-0005-0000-0000-000079020000}"/>
    <cellStyle name="Normal 7 2 4 2" xfId="698" xr:uid="{00000000-0005-0000-0000-00007A020000}"/>
    <cellStyle name="Normal 7 2 5" xfId="461" xr:uid="{00000000-0005-0000-0000-00007B020000}"/>
    <cellStyle name="Normal 7 3" xfId="94" xr:uid="{00000000-0005-0000-0000-00007C020000}"/>
    <cellStyle name="Normal 7 3 2" xfId="381" xr:uid="{00000000-0005-0000-0000-00007D020000}"/>
    <cellStyle name="Normal 7 3 2 2" xfId="382" xr:uid="{00000000-0005-0000-0000-00007E020000}"/>
    <cellStyle name="Normal 7 3 2 2 2" xfId="700" xr:uid="{00000000-0005-0000-0000-00007F020000}"/>
    <cellStyle name="Normal 7 3 2 3" xfId="699" xr:uid="{00000000-0005-0000-0000-000080020000}"/>
    <cellStyle name="Normal 7 3 3" xfId="383" xr:uid="{00000000-0005-0000-0000-000081020000}"/>
    <cellStyle name="Normal 7 3 3 2" xfId="701" xr:uid="{00000000-0005-0000-0000-000082020000}"/>
    <cellStyle name="Normal 7 3 4" xfId="439" xr:uid="{00000000-0005-0000-0000-000083020000}"/>
    <cellStyle name="Normal 7 4" xfId="384" xr:uid="{00000000-0005-0000-0000-000084020000}"/>
    <cellStyle name="Normal 7 4 2" xfId="385" xr:uid="{00000000-0005-0000-0000-000085020000}"/>
    <cellStyle name="Normal 7 4 2 2" xfId="703" xr:uid="{00000000-0005-0000-0000-000086020000}"/>
    <cellStyle name="Normal 7 4 3" xfId="702" xr:uid="{00000000-0005-0000-0000-000087020000}"/>
    <cellStyle name="Normal 7 5" xfId="386" xr:uid="{00000000-0005-0000-0000-000088020000}"/>
    <cellStyle name="Normal 7 5 2" xfId="387" xr:uid="{00000000-0005-0000-0000-000089020000}"/>
    <cellStyle name="Normal 7 5 2 2" xfId="705" xr:uid="{00000000-0005-0000-0000-00008A020000}"/>
    <cellStyle name="Normal 7 5 3" xfId="704" xr:uid="{00000000-0005-0000-0000-00008B020000}"/>
    <cellStyle name="Normal 7 6" xfId="388" xr:uid="{00000000-0005-0000-0000-00008C020000}"/>
    <cellStyle name="Normal 7 7" xfId="416" xr:uid="{00000000-0005-0000-0000-00008D020000}"/>
    <cellStyle name="Normal 8" xfId="4" xr:uid="{00000000-0005-0000-0000-00008E020000}"/>
    <cellStyle name="Normal 8 2" xfId="90" xr:uid="{00000000-0005-0000-0000-00008F020000}"/>
    <cellStyle name="Normal 8 2 2" xfId="115" xr:uid="{00000000-0005-0000-0000-000090020000}"/>
    <cellStyle name="Normal 8 2 2 2" xfId="389" xr:uid="{00000000-0005-0000-0000-000091020000}"/>
    <cellStyle name="Normal 8 2 2 2 2" xfId="390" xr:uid="{00000000-0005-0000-0000-000092020000}"/>
    <cellStyle name="Normal 8 2 2 2 2 2" xfId="707" xr:uid="{00000000-0005-0000-0000-000093020000}"/>
    <cellStyle name="Normal 8 2 2 2 3" xfId="706" xr:uid="{00000000-0005-0000-0000-000094020000}"/>
    <cellStyle name="Normal 8 2 2 3" xfId="391" xr:uid="{00000000-0005-0000-0000-000095020000}"/>
    <cellStyle name="Normal 8 2 2 3 2" xfId="708" xr:uid="{00000000-0005-0000-0000-000096020000}"/>
    <cellStyle name="Normal 8 2 2 4" xfId="459" xr:uid="{00000000-0005-0000-0000-000097020000}"/>
    <cellStyle name="Normal 8 2 3" xfId="392" xr:uid="{00000000-0005-0000-0000-000098020000}"/>
    <cellStyle name="Normal 8 2 3 2" xfId="393" xr:uid="{00000000-0005-0000-0000-000099020000}"/>
    <cellStyle name="Normal 8 2 3 2 2" xfId="710" xr:uid="{00000000-0005-0000-0000-00009A020000}"/>
    <cellStyle name="Normal 8 2 3 3" xfId="709" xr:uid="{00000000-0005-0000-0000-00009B020000}"/>
    <cellStyle name="Normal 8 2 4" xfId="394" xr:uid="{00000000-0005-0000-0000-00009C020000}"/>
    <cellStyle name="Normal 8 2 4 2" xfId="711" xr:uid="{00000000-0005-0000-0000-00009D020000}"/>
    <cellStyle name="Normal 8 2 5" xfId="435" xr:uid="{00000000-0005-0000-0000-00009E020000}"/>
    <cellStyle name="Normal 8 3" xfId="92" xr:uid="{00000000-0005-0000-0000-00009F020000}"/>
    <cellStyle name="Normal 8 3 2" xfId="395" xr:uid="{00000000-0005-0000-0000-0000A0020000}"/>
    <cellStyle name="Normal 8 3 2 2" xfId="396" xr:uid="{00000000-0005-0000-0000-0000A1020000}"/>
    <cellStyle name="Normal 8 3 2 2 2" xfId="713" xr:uid="{00000000-0005-0000-0000-0000A2020000}"/>
    <cellStyle name="Normal 8 3 2 3" xfId="712" xr:uid="{00000000-0005-0000-0000-0000A3020000}"/>
    <cellStyle name="Normal 8 3 3" xfId="397" xr:uid="{00000000-0005-0000-0000-0000A4020000}"/>
    <cellStyle name="Normal 8 3 3 2" xfId="714" xr:uid="{00000000-0005-0000-0000-0000A5020000}"/>
    <cellStyle name="Normal 8 3 4" xfId="437" xr:uid="{00000000-0005-0000-0000-0000A6020000}"/>
    <cellStyle name="Normal 8 4" xfId="398" xr:uid="{00000000-0005-0000-0000-0000A7020000}"/>
    <cellStyle name="Normal 8 4 2" xfId="399" xr:uid="{00000000-0005-0000-0000-0000A8020000}"/>
    <cellStyle name="Normal 8 4 2 2" xfId="715" xr:uid="{00000000-0005-0000-0000-0000A9020000}"/>
    <cellStyle name="Normal 8 5" xfId="400" xr:uid="{00000000-0005-0000-0000-0000AA020000}"/>
    <cellStyle name="Normal 8 5 2" xfId="401" xr:uid="{00000000-0005-0000-0000-0000AB020000}"/>
    <cellStyle name="Normal 8 5 2 2" xfId="717" xr:uid="{00000000-0005-0000-0000-0000AC020000}"/>
    <cellStyle name="Normal 8 5 3" xfId="716" xr:uid="{00000000-0005-0000-0000-0000AD020000}"/>
    <cellStyle name="Normal 8 6" xfId="414" xr:uid="{00000000-0005-0000-0000-0000AE020000}"/>
    <cellStyle name="Normal 9" xfId="7" xr:uid="{00000000-0005-0000-0000-0000AF020000}"/>
    <cellStyle name="Normal 9 2" xfId="80" xr:uid="{00000000-0005-0000-0000-0000B0020000}"/>
    <cellStyle name="Normal 9 2 2" xfId="81" xr:uid="{00000000-0005-0000-0000-0000B1020000}"/>
    <cellStyle name="Normal 9 2 2 2" xfId="135" xr:uid="{00000000-0005-0000-0000-0000B2020000}"/>
    <cellStyle name="Normal 9 2 2 2 2" xfId="402" xr:uid="{00000000-0005-0000-0000-0000B3020000}"/>
    <cellStyle name="Normal 9 2 2 2 2 2" xfId="718" xr:uid="{00000000-0005-0000-0000-0000B4020000}"/>
    <cellStyle name="Normal 9 2 2 2 3" xfId="478" xr:uid="{00000000-0005-0000-0000-0000B5020000}"/>
    <cellStyle name="Normal 9 2 2 3" xfId="112" xr:uid="{00000000-0005-0000-0000-0000B6020000}"/>
    <cellStyle name="Normal 9 2 2 3 2" xfId="456" xr:uid="{00000000-0005-0000-0000-0000B7020000}"/>
    <cellStyle name="Normal 9 2 2 4" xfId="433" xr:uid="{00000000-0005-0000-0000-0000B8020000}"/>
    <cellStyle name="Normal 9 2 3" xfId="403" xr:uid="{00000000-0005-0000-0000-0000B9020000}"/>
    <cellStyle name="Normal 9 2 3 2" xfId="404" xr:uid="{00000000-0005-0000-0000-0000BA020000}"/>
    <cellStyle name="Normal 9 2 3 2 2" xfId="720" xr:uid="{00000000-0005-0000-0000-0000BB020000}"/>
    <cellStyle name="Normal 9 2 3 3" xfId="719" xr:uid="{00000000-0005-0000-0000-0000BC020000}"/>
    <cellStyle name="Normal 9 2 4" xfId="405" xr:uid="{00000000-0005-0000-0000-0000BD020000}"/>
    <cellStyle name="Normal 9 2 4 2" xfId="721" xr:uid="{00000000-0005-0000-0000-0000BE020000}"/>
    <cellStyle name="Normal 9 3" xfId="118" xr:uid="{00000000-0005-0000-0000-0000BF020000}"/>
    <cellStyle name="Normal 9 3 2" xfId="406" xr:uid="{00000000-0005-0000-0000-0000C0020000}"/>
    <cellStyle name="Normal 9 3 2 2" xfId="407" xr:uid="{00000000-0005-0000-0000-0000C1020000}"/>
    <cellStyle name="Normal 9 3 2 2 2" xfId="723" xr:uid="{00000000-0005-0000-0000-0000C2020000}"/>
    <cellStyle name="Normal 9 3 2 3" xfId="722" xr:uid="{00000000-0005-0000-0000-0000C3020000}"/>
    <cellStyle name="Normal 9 3 3" xfId="408" xr:uid="{00000000-0005-0000-0000-0000C4020000}"/>
    <cellStyle name="Normal 9 3 3 2" xfId="724" xr:uid="{00000000-0005-0000-0000-0000C5020000}"/>
    <cellStyle name="Normal 9 3 4" xfId="462" xr:uid="{00000000-0005-0000-0000-0000C6020000}"/>
    <cellStyle name="Normal 9 4" xfId="95" xr:uid="{00000000-0005-0000-0000-0000C7020000}"/>
    <cellStyle name="Normal 9 4 2" xfId="409" xr:uid="{00000000-0005-0000-0000-0000C8020000}"/>
    <cellStyle name="Normal 9 4 2 2" xfId="725" xr:uid="{00000000-0005-0000-0000-0000C9020000}"/>
    <cellStyle name="Normal 9 4 3" xfId="440" xr:uid="{00000000-0005-0000-0000-0000CA020000}"/>
    <cellStyle name="Normal 9 5" xfId="410" xr:uid="{00000000-0005-0000-0000-0000CB020000}"/>
    <cellStyle name="Normal 9 5 2" xfId="726" xr:uid="{00000000-0005-0000-0000-0000CC020000}"/>
    <cellStyle name="Normal 9 6" xfId="417" xr:uid="{00000000-0005-0000-0000-0000CD020000}"/>
    <cellStyle name="Normal_Sheet2" xfId="22" xr:uid="{00000000-0005-0000-0000-0000CF020000}"/>
    <cellStyle name="Note 2" xfId="82" xr:uid="{00000000-0005-0000-0000-0000D0020000}"/>
    <cellStyle name="Output 2" xfId="83" xr:uid="{00000000-0005-0000-0000-0000D1020000}"/>
    <cellStyle name="Per cent 2" xfId="411" xr:uid="{00000000-0005-0000-0000-0000D2020000}"/>
    <cellStyle name="Per cent 2 2" xfId="412" xr:uid="{00000000-0005-0000-0000-0000D3020000}"/>
    <cellStyle name="Percent" xfId="2" builtinId="5"/>
    <cellStyle name="Percent 10" xfId="84" xr:uid="{00000000-0005-0000-0000-0000D5020000}"/>
    <cellStyle name="Percent 2" xfId="85" xr:uid="{00000000-0005-0000-0000-0000D6020000}"/>
    <cellStyle name="Percent 3" xfId="14" xr:uid="{00000000-0005-0000-0000-0000D7020000}"/>
    <cellStyle name="Title 2" xfId="86" xr:uid="{00000000-0005-0000-0000-0000D8020000}"/>
    <cellStyle name="Total 2" xfId="87" xr:uid="{00000000-0005-0000-0000-0000D9020000}"/>
    <cellStyle name="Warning Text 2" xfId="88" xr:uid="{00000000-0005-0000-0000-0000DA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7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'Pi Chart'!$F$8:$F$14</c:f>
              <c:strCache>
                <c:ptCount val="7"/>
                <c:pt idx="0">
                  <c:v>Mechanical</c:v>
                </c:pt>
                <c:pt idx="1">
                  <c:v>U&amp;S</c:v>
                </c:pt>
                <c:pt idx="2">
                  <c:v>Electrical &amp; PC&amp;A</c:v>
                </c:pt>
                <c:pt idx="3">
                  <c:v>Structure</c:v>
                </c:pt>
                <c:pt idx="4">
                  <c:v>CIVIL </c:v>
                </c:pt>
                <c:pt idx="5">
                  <c:v>Spares</c:v>
                </c:pt>
                <c:pt idx="6">
                  <c:v>Refractory</c:v>
                </c:pt>
              </c:strCache>
            </c:strRef>
          </c:cat>
          <c:val>
            <c:numRef>
              <c:f>'Pi Chart'!$G$8:$G$14</c:f>
              <c:numCache>
                <c:formatCode>0.00_)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FC-4447-ACC5-C6C366437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428625</xdr:colOff>
      <xdr:row>39</xdr:row>
      <xdr:rowOff>238125</xdr:rowOff>
    </xdr:from>
    <xdr:to>
      <xdr:col>24</xdr:col>
      <xdr:colOff>428625</xdr:colOff>
      <xdr:row>41</xdr:row>
      <xdr:rowOff>0</xdr:rowOff>
    </xdr:to>
    <xdr:sp macro="" textlink="">
      <xdr:nvSpPr>
        <xdr:cNvPr id="20597" name="Line 1">
          <a:extLst>
            <a:ext uri="{FF2B5EF4-FFF2-40B4-BE49-F238E27FC236}">
              <a16:creationId xmlns:a16="http://schemas.microsoft.com/office/drawing/2014/main" id="{00000000-0008-0000-0500-000075500000}"/>
            </a:ext>
          </a:extLst>
        </xdr:cNvPr>
        <xdr:cNvSpPr>
          <a:spLocks noChangeShapeType="1"/>
        </xdr:cNvSpPr>
      </xdr:nvSpPr>
      <xdr:spPr bwMode="auto">
        <a:xfrm>
          <a:off x="24564975" y="9896475"/>
          <a:ext cx="0" cy="2571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24</xdr:col>
      <xdr:colOff>438150</xdr:colOff>
      <xdr:row>2</xdr:row>
      <xdr:rowOff>238125</xdr:rowOff>
    </xdr:from>
    <xdr:to>
      <xdr:col>24</xdr:col>
      <xdr:colOff>438150</xdr:colOff>
      <xdr:row>4</xdr:row>
      <xdr:rowOff>0</xdr:rowOff>
    </xdr:to>
    <xdr:sp macro="" textlink="">
      <xdr:nvSpPr>
        <xdr:cNvPr id="20599" name="Line 3">
          <a:extLst>
            <a:ext uri="{FF2B5EF4-FFF2-40B4-BE49-F238E27FC236}">
              <a16:creationId xmlns:a16="http://schemas.microsoft.com/office/drawing/2014/main" id="{00000000-0008-0000-0500-000077500000}"/>
            </a:ext>
          </a:extLst>
        </xdr:cNvPr>
        <xdr:cNvSpPr>
          <a:spLocks noChangeShapeType="1"/>
        </xdr:cNvSpPr>
      </xdr:nvSpPr>
      <xdr:spPr bwMode="auto">
        <a:xfrm>
          <a:off x="24574500" y="733425"/>
          <a:ext cx="0" cy="2571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24</xdr:col>
      <xdr:colOff>371475</xdr:colOff>
      <xdr:row>2</xdr:row>
      <xdr:rowOff>228600</xdr:rowOff>
    </xdr:from>
    <xdr:to>
      <xdr:col>25</xdr:col>
      <xdr:colOff>1085850</xdr:colOff>
      <xdr:row>2</xdr:row>
      <xdr:rowOff>228600</xdr:rowOff>
    </xdr:to>
    <xdr:sp macro="" textlink="">
      <xdr:nvSpPr>
        <xdr:cNvPr id="20600" name="Line 4">
          <a:extLst>
            <a:ext uri="{FF2B5EF4-FFF2-40B4-BE49-F238E27FC236}">
              <a16:creationId xmlns:a16="http://schemas.microsoft.com/office/drawing/2014/main" id="{00000000-0008-0000-0500-000078500000}"/>
            </a:ext>
          </a:extLst>
        </xdr:cNvPr>
        <xdr:cNvSpPr>
          <a:spLocks noChangeShapeType="1"/>
        </xdr:cNvSpPr>
      </xdr:nvSpPr>
      <xdr:spPr bwMode="auto">
        <a:xfrm>
          <a:off x="24507825" y="723900"/>
          <a:ext cx="1562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438150</xdr:colOff>
      <xdr:row>16</xdr:row>
      <xdr:rowOff>228600</xdr:rowOff>
    </xdr:from>
    <xdr:to>
      <xdr:col>26</xdr:col>
      <xdr:colOff>371475</xdr:colOff>
      <xdr:row>16</xdr:row>
      <xdr:rowOff>238125</xdr:rowOff>
    </xdr:to>
    <xdr:sp macro="" textlink="">
      <xdr:nvSpPr>
        <xdr:cNvPr id="20601" name="Line 5">
          <a:extLst>
            <a:ext uri="{FF2B5EF4-FFF2-40B4-BE49-F238E27FC236}">
              <a16:creationId xmlns:a16="http://schemas.microsoft.com/office/drawing/2014/main" id="{00000000-0008-0000-0500-000079500000}"/>
            </a:ext>
          </a:extLst>
        </xdr:cNvPr>
        <xdr:cNvSpPr>
          <a:spLocks noChangeShapeType="1"/>
        </xdr:cNvSpPr>
      </xdr:nvSpPr>
      <xdr:spPr bwMode="auto">
        <a:xfrm>
          <a:off x="24574500" y="4191000"/>
          <a:ext cx="18764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438150</xdr:colOff>
      <xdr:row>17</xdr:row>
      <xdr:rowOff>0</xdr:rowOff>
    </xdr:from>
    <xdr:to>
      <xdr:col>24</xdr:col>
      <xdr:colOff>438150</xdr:colOff>
      <xdr:row>18</xdr:row>
      <xdr:rowOff>9525</xdr:rowOff>
    </xdr:to>
    <xdr:sp macro="" textlink="">
      <xdr:nvSpPr>
        <xdr:cNvPr id="20602" name="Line 6">
          <a:extLst>
            <a:ext uri="{FF2B5EF4-FFF2-40B4-BE49-F238E27FC236}">
              <a16:creationId xmlns:a16="http://schemas.microsoft.com/office/drawing/2014/main" id="{00000000-0008-0000-0500-00007A500000}"/>
            </a:ext>
          </a:extLst>
        </xdr:cNvPr>
        <xdr:cNvSpPr>
          <a:spLocks noChangeShapeType="1"/>
        </xdr:cNvSpPr>
      </xdr:nvSpPr>
      <xdr:spPr bwMode="auto">
        <a:xfrm>
          <a:off x="24574500" y="4210050"/>
          <a:ext cx="0" cy="2571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24</xdr:col>
      <xdr:colOff>409575</xdr:colOff>
      <xdr:row>39</xdr:row>
      <xdr:rowOff>219075</xdr:rowOff>
    </xdr:from>
    <xdr:to>
      <xdr:col>25</xdr:col>
      <xdr:colOff>228600</xdr:colOff>
      <xdr:row>39</xdr:row>
      <xdr:rowOff>219075</xdr:rowOff>
    </xdr:to>
    <xdr:sp macro="" textlink="">
      <xdr:nvSpPr>
        <xdr:cNvPr id="20603" name="Line 7">
          <a:extLst>
            <a:ext uri="{FF2B5EF4-FFF2-40B4-BE49-F238E27FC236}">
              <a16:creationId xmlns:a16="http://schemas.microsoft.com/office/drawing/2014/main" id="{00000000-0008-0000-0500-00007B500000}"/>
            </a:ext>
          </a:extLst>
        </xdr:cNvPr>
        <xdr:cNvSpPr>
          <a:spLocks noChangeShapeType="1"/>
        </xdr:cNvSpPr>
      </xdr:nvSpPr>
      <xdr:spPr bwMode="auto">
        <a:xfrm>
          <a:off x="24545925" y="9877425"/>
          <a:ext cx="66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276225</xdr:colOff>
      <xdr:row>12</xdr:row>
      <xdr:rowOff>95250</xdr:rowOff>
    </xdr:from>
    <xdr:to>
      <xdr:col>13</xdr:col>
      <xdr:colOff>276225</xdr:colOff>
      <xdr:row>26</xdr:row>
      <xdr:rowOff>171450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L128"/>
  <sheetViews>
    <sheetView topLeftCell="A82" workbookViewId="0">
      <selection activeCell="G113" sqref="G113"/>
    </sheetView>
  </sheetViews>
  <sheetFormatPr defaultRowHeight="15" x14ac:dyDescent="0.2"/>
  <cols>
    <col min="1" max="1" width="5.6640625" style="4" customWidth="1"/>
    <col min="2" max="2" width="31.44140625" style="4" customWidth="1"/>
    <col min="3" max="3" width="10.33203125" style="4" customWidth="1"/>
    <col min="4" max="4" width="8" style="4" customWidth="1"/>
    <col min="5" max="5" width="9" style="4" customWidth="1"/>
    <col min="6" max="6" width="8.21875" style="4" customWidth="1"/>
    <col min="7" max="7" width="8" style="4" customWidth="1"/>
    <col min="8" max="8" width="15.33203125" style="4" customWidth="1"/>
    <col min="9" max="9" width="15" style="4" customWidth="1"/>
    <col min="10" max="10" width="14.6640625" style="4" customWidth="1"/>
    <col min="11" max="256" width="8.88671875" style="4"/>
    <col min="257" max="257" width="5.6640625" style="4" customWidth="1"/>
    <col min="258" max="258" width="24" style="4" customWidth="1"/>
    <col min="259" max="259" width="10.77734375" style="4" customWidth="1"/>
    <col min="260" max="260" width="13.5546875" style="4" customWidth="1"/>
    <col min="261" max="261" width="12.109375" style="4" customWidth="1"/>
    <col min="262" max="262" width="11.5546875" style="4" customWidth="1"/>
    <col min="263" max="263" width="11.44140625" style="4" customWidth="1"/>
    <col min="264" max="264" width="15.33203125" style="4" customWidth="1"/>
    <col min="265" max="265" width="15" style="4" customWidth="1"/>
    <col min="266" max="266" width="27" style="4" customWidth="1"/>
    <col min="267" max="512" width="8.88671875" style="4"/>
    <col min="513" max="513" width="5.6640625" style="4" customWidth="1"/>
    <col min="514" max="514" width="24" style="4" customWidth="1"/>
    <col min="515" max="515" width="10.77734375" style="4" customWidth="1"/>
    <col min="516" max="516" width="13.5546875" style="4" customWidth="1"/>
    <col min="517" max="517" width="12.109375" style="4" customWidth="1"/>
    <col min="518" max="518" width="11.5546875" style="4" customWidth="1"/>
    <col min="519" max="519" width="11.44140625" style="4" customWidth="1"/>
    <col min="520" max="520" width="15.33203125" style="4" customWidth="1"/>
    <col min="521" max="521" width="15" style="4" customWidth="1"/>
    <col min="522" max="522" width="27" style="4" customWidth="1"/>
    <col min="523" max="768" width="8.88671875" style="4"/>
    <col min="769" max="769" width="5.6640625" style="4" customWidth="1"/>
    <col min="770" max="770" width="24" style="4" customWidth="1"/>
    <col min="771" max="771" width="10.77734375" style="4" customWidth="1"/>
    <col min="772" max="772" width="13.5546875" style="4" customWidth="1"/>
    <col min="773" max="773" width="12.109375" style="4" customWidth="1"/>
    <col min="774" max="774" width="11.5546875" style="4" customWidth="1"/>
    <col min="775" max="775" width="11.44140625" style="4" customWidth="1"/>
    <col min="776" max="776" width="15.33203125" style="4" customWidth="1"/>
    <col min="777" max="777" width="15" style="4" customWidth="1"/>
    <col min="778" max="778" width="27" style="4" customWidth="1"/>
    <col min="779" max="1024" width="8.88671875" style="4"/>
    <col min="1025" max="1025" width="5.6640625" style="4" customWidth="1"/>
    <col min="1026" max="1026" width="24" style="4" customWidth="1"/>
    <col min="1027" max="1027" width="10.77734375" style="4" customWidth="1"/>
    <col min="1028" max="1028" width="13.5546875" style="4" customWidth="1"/>
    <col min="1029" max="1029" width="12.109375" style="4" customWidth="1"/>
    <col min="1030" max="1030" width="11.5546875" style="4" customWidth="1"/>
    <col min="1031" max="1031" width="11.44140625" style="4" customWidth="1"/>
    <col min="1032" max="1032" width="15.33203125" style="4" customWidth="1"/>
    <col min="1033" max="1033" width="15" style="4" customWidth="1"/>
    <col min="1034" max="1034" width="27" style="4" customWidth="1"/>
    <col min="1035" max="1280" width="8.88671875" style="4"/>
    <col min="1281" max="1281" width="5.6640625" style="4" customWidth="1"/>
    <col min="1282" max="1282" width="24" style="4" customWidth="1"/>
    <col min="1283" max="1283" width="10.77734375" style="4" customWidth="1"/>
    <col min="1284" max="1284" width="13.5546875" style="4" customWidth="1"/>
    <col min="1285" max="1285" width="12.109375" style="4" customWidth="1"/>
    <col min="1286" max="1286" width="11.5546875" style="4" customWidth="1"/>
    <col min="1287" max="1287" width="11.44140625" style="4" customWidth="1"/>
    <col min="1288" max="1288" width="15.33203125" style="4" customWidth="1"/>
    <col min="1289" max="1289" width="15" style="4" customWidth="1"/>
    <col min="1290" max="1290" width="27" style="4" customWidth="1"/>
    <col min="1291" max="1536" width="8.88671875" style="4"/>
    <col min="1537" max="1537" width="5.6640625" style="4" customWidth="1"/>
    <col min="1538" max="1538" width="24" style="4" customWidth="1"/>
    <col min="1539" max="1539" width="10.77734375" style="4" customWidth="1"/>
    <col min="1540" max="1540" width="13.5546875" style="4" customWidth="1"/>
    <col min="1541" max="1541" width="12.109375" style="4" customWidth="1"/>
    <col min="1542" max="1542" width="11.5546875" style="4" customWidth="1"/>
    <col min="1543" max="1543" width="11.44140625" style="4" customWidth="1"/>
    <col min="1544" max="1544" width="15.33203125" style="4" customWidth="1"/>
    <col min="1545" max="1545" width="15" style="4" customWidth="1"/>
    <col min="1546" max="1546" width="27" style="4" customWidth="1"/>
    <col min="1547" max="1792" width="8.88671875" style="4"/>
    <col min="1793" max="1793" width="5.6640625" style="4" customWidth="1"/>
    <col min="1794" max="1794" width="24" style="4" customWidth="1"/>
    <col min="1795" max="1795" width="10.77734375" style="4" customWidth="1"/>
    <col min="1796" max="1796" width="13.5546875" style="4" customWidth="1"/>
    <col min="1797" max="1797" width="12.109375" style="4" customWidth="1"/>
    <col min="1798" max="1798" width="11.5546875" style="4" customWidth="1"/>
    <col min="1799" max="1799" width="11.44140625" style="4" customWidth="1"/>
    <col min="1800" max="1800" width="15.33203125" style="4" customWidth="1"/>
    <col min="1801" max="1801" width="15" style="4" customWidth="1"/>
    <col min="1802" max="1802" width="27" style="4" customWidth="1"/>
    <col min="1803" max="2048" width="8.88671875" style="4"/>
    <col min="2049" max="2049" width="5.6640625" style="4" customWidth="1"/>
    <col min="2050" max="2050" width="24" style="4" customWidth="1"/>
    <col min="2051" max="2051" width="10.77734375" style="4" customWidth="1"/>
    <col min="2052" max="2052" width="13.5546875" style="4" customWidth="1"/>
    <col min="2053" max="2053" width="12.109375" style="4" customWidth="1"/>
    <col min="2054" max="2054" width="11.5546875" style="4" customWidth="1"/>
    <col min="2055" max="2055" width="11.44140625" style="4" customWidth="1"/>
    <col min="2056" max="2056" width="15.33203125" style="4" customWidth="1"/>
    <col min="2057" max="2057" width="15" style="4" customWidth="1"/>
    <col min="2058" max="2058" width="27" style="4" customWidth="1"/>
    <col min="2059" max="2304" width="8.88671875" style="4"/>
    <col min="2305" max="2305" width="5.6640625" style="4" customWidth="1"/>
    <col min="2306" max="2306" width="24" style="4" customWidth="1"/>
    <col min="2307" max="2307" width="10.77734375" style="4" customWidth="1"/>
    <col min="2308" max="2308" width="13.5546875" style="4" customWidth="1"/>
    <col min="2309" max="2309" width="12.109375" style="4" customWidth="1"/>
    <col min="2310" max="2310" width="11.5546875" style="4" customWidth="1"/>
    <col min="2311" max="2311" width="11.44140625" style="4" customWidth="1"/>
    <col min="2312" max="2312" width="15.33203125" style="4" customWidth="1"/>
    <col min="2313" max="2313" width="15" style="4" customWidth="1"/>
    <col min="2314" max="2314" width="27" style="4" customWidth="1"/>
    <col min="2315" max="2560" width="8.88671875" style="4"/>
    <col min="2561" max="2561" width="5.6640625" style="4" customWidth="1"/>
    <col min="2562" max="2562" width="24" style="4" customWidth="1"/>
    <col min="2563" max="2563" width="10.77734375" style="4" customWidth="1"/>
    <col min="2564" max="2564" width="13.5546875" style="4" customWidth="1"/>
    <col min="2565" max="2565" width="12.109375" style="4" customWidth="1"/>
    <col min="2566" max="2566" width="11.5546875" style="4" customWidth="1"/>
    <col min="2567" max="2567" width="11.44140625" style="4" customWidth="1"/>
    <col min="2568" max="2568" width="15.33203125" style="4" customWidth="1"/>
    <col min="2569" max="2569" width="15" style="4" customWidth="1"/>
    <col min="2570" max="2570" width="27" style="4" customWidth="1"/>
    <col min="2571" max="2816" width="8.88671875" style="4"/>
    <col min="2817" max="2817" width="5.6640625" style="4" customWidth="1"/>
    <col min="2818" max="2818" width="24" style="4" customWidth="1"/>
    <col min="2819" max="2819" width="10.77734375" style="4" customWidth="1"/>
    <col min="2820" max="2820" width="13.5546875" style="4" customWidth="1"/>
    <col min="2821" max="2821" width="12.109375" style="4" customWidth="1"/>
    <col min="2822" max="2822" width="11.5546875" style="4" customWidth="1"/>
    <col min="2823" max="2823" width="11.44140625" style="4" customWidth="1"/>
    <col min="2824" max="2824" width="15.33203125" style="4" customWidth="1"/>
    <col min="2825" max="2825" width="15" style="4" customWidth="1"/>
    <col min="2826" max="2826" width="27" style="4" customWidth="1"/>
    <col min="2827" max="3072" width="8.88671875" style="4"/>
    <col min="3073" max="3073" width="5.6640625" style="4" customWidth="1"/>
    <col min="3074" max="3074" width="24" style="4" customWidth="1"/>
    <col min="3075" max="3075" width="10.77734375" style="4" customWidth="1"/>
    <col min="3076" max="3076" width="13.5546875" style="4" customWidth="1"/>
    <col min="3077" max="3077" width="12.109375" style="4" customWidth="1"/>
    <col min="3078" max="3078" width="11.5546875" style="4" customWidth="1"/>
    <col min="3079" max="3079" width="11.44140625" style="4" customWidth="1"/>
    <col min="3080" max="3080" width="15.33203125" style="4" customWidth="1"/>
    <col min="3081" max="3081" width="15" style="4" customWidth="1"/>
    <col min="3082" max="3082" width="27" style="4" customWidth="1"/>
    <col min="3083" max="3328" width="8.88671875" style="4"/>
    <col min="3329" max="3329" width="5.6640625" style="4" customWidth="1"/>
    <col min="3330" max="3330" width="24" style="4" customWidth="1"/>
    <col min="3331" max="3331" width="10.77734375" style="4" customWidth="1"/>
    <col min="3332" max="3332" width="13.5546875" style="4" customWidth="1"/>
    <col min="3333" max="3333" width="12.109375" style="4" customWidth="1"/>
    <col min="3334" max="3334" width="11.5546875" style="4" customWidth="1"/>
    <col min="3335" max="3335" width="11.44140625" style="4" customWidth="1"/>
    <col min="3336" max="3336" width="15.33203125" style="4" customWidth="1"/>
    <col min="3337" max="3337" width="15" style="4" customWidth="1"/>
    <col min="3338" max="3338" width="27" style="4" customWidth="1"/>
    <col min="3339" max="3584" width="8.88671875" style="4"/>
    <col min="3585" max="3585" width="5.6640625" style="4" customWidth="1"/>
    <col min="3586" max="3586" width="24" style="4" customWidth="1"/>
    <col min="3587" max="3587" width="10.77734375" style="4" customWidth="1"/>
    <col min="3588" max="3588" width="13.5546875" style="4" customWidth="1"/>
    <col min="3589" max="3589" width="12.109375" style="4" customWidth="1"/>
    <col min="3590" max="3590" width="11.5546875" style="4" customWidth="1"/>
    <col min="3591" max="3591" width="11.44140625" style="4" customWidth="1"/>
    <col min="3592" max="3592" width="15.33203125" style="4" customWidth="1"/>
    <col min="3593" max="3593" width="15" style="4" customWidth="1"/>
    <col min="3594" max="3594" width="27" style="4" customWidth="1"/>
    <col min="3595" max="3840" width="8.88671875" style="4"/>
    <col min="3841" max="3841" width="5.6640625" style="4" customWidth="1"/>
    <col min="3842" max="3842" width="24" style="4" customWidth="1"/>
    <col min="3843" max="3843" width="10.77734375" style="4" customWidth="1"/>
    <col min="3844" max="3844" width="13.5546875" style="4" customWidth="1"/>
    <col min="3845" max="3845" width="12.109375" style="4" customWidth="1"/>
    <col min="3846" max="3846" width="11.5546875" style="4" customWidth="1"/>
    <col min="3847" max="3847" width="11.44140625" style="4" customWidth="1"/>
    <col min="3848" max="3848" width="15.33203125" style="4" customWidth="1"/>
    <col min="3849" max="3849" width="15" style="4" customWidth="1"/>
    <col min="3850" max="3850" width="27" style="4" customWidth="1"/>
    <col min="3851" max="4096" width="8.88671875" style="4"/>
    <col min="4097" max="4097" width="5.6640625" style="4" customWidth="1"/>
    <col min="4098" max="4098" width="24" style="4" customWidth="1"/>
    <col min="4099" max="4099" width="10.77734375" style="4" customWidth="1"/>
    <col min="4100" max="4100" width="13.5546875" style="4" customWidth="1"/>
    <col min="4101" max="4101" width="12.109375" style="4" customWidth="1"/>
    <col min="4102" max="4102" width="11.5546875" style="4" customWidth="1"/>
    <col min="4103" max="4103" width="11.44140625" style="4" customWidth="1"/>
    <col min="4104" max="4104" width="15.33203125" style="4" customWidth="1"/>
    <col min="4105" max="4105" width="15" style="4" customWidth="1"/>
    <col min="4106" max="4106" width="27" style="4" customWidth="1"/>
    <col min="4107" max="4352" width="8.88671875" style="4"/>
    <col min="4353" max="4353" width="5.6640625" style="4" customWidth="1"/>
    <col min="4354" max="4354" width="24" style="4" customWidth="1"/>
    <col min="4355" max="4355" width="10.77734375" style="4" customWidth="1"/>
    <col min="4356" max="4356" width="13.5546875" style="4" customWidth="1"/>
    <col min="4357" max="4357" width="12.109375" style="4" customWidth="1"/>
    <col min="4358" max="4358" width="11.5546875" style="4" customWidth="1"/>
    <col min="4359" max="4359" width="11.44140625" style="4" customWidth="1"/>
    <col min="4360" max="4360" width="15.33203125" style="4" customWidth="1"/>
    <col min="4361" max="4361" width="15" style="4" customWidth="1"/>
    <col min="4362" max="4362" width="27" style="4" customWidth="1"/>
    <col min="4363" max="4608" width="8.88671875" style="4"/>
    <col min="4609" max="4609" width="5.6640625" style="4" customWidth="1"/>
    <col min="4610" max="4610" width="24" style="4" customWidth="1"/>
    <col min="4611" max="4611" width="10.77734375" style="4" customWidth="1"/>
    <col min="4612" max="4612" width="13.5546875" style="4" customWidth="1"/>
    <col min="4613" max="4613" width="12.109375" style="4" customWidth="1"/>
    <col min="4614" max="4614" width="11.5546875" style="4" customWidth="1"/>
    <col min="4615" max="4615" width="11.44140625" style="4" customWidth="1"/>
    <col min="4616" max="4616" width="15.33203125" style="4" customWidth="1"/>
    <col min="4617" max="4617" width="15" style="4" customWidth="1"/>
    <col min="4618" max="4618" width="27" style="4" customWidth="1"/>
    <col min="4619" max="4864" width="8.88671875" style="4"/>
    <col min="4865" max="4865" width="5.6640625" style="4" customWidth="1"/>
    <col min="4866" max="4866" width="24" style="4" customWidth="1"/>
    <col min="4867" max="4867" width="10.77734375" style="4" customWidth="1"/>
    <col min="4868" max="4868" width="13.5546875" style="4" customWidth="1"/>
    <col min="4869" max="4869" width="12.109375" style="4" customWidth="1"/>
    <col min="4870" max="4870" width="11.5546875" style="4" customWidth="1"/>
    <col min="4871" max="4871" width="11.44140625" style="4" customWidth="1"/>
    <col min="4872" max="4872" width="15.33203125" style="4" customWidth="1"/>
    <col min="4873" max="4873" width="15" style="4" customWidth="1"/>
    <col min="4874" max="4874" width="27" style="4" customWidth="1"/>
    <col min="4875" max="5120" width="8.88671875" style="4"/>
    <col min="5121" max="5121" width="5.6640625" style="4" customWidth="1"/>
    <col min="5122" max="5122" width="24" style="4" customWidth="1"/>
    <col min="5123" max="5123" width="10.77734375" style="4" customWidth="1"/>
    <col min="5124" max="5124" width="13.5546875" style="4" customWidth="1"/>
    <col min="5125" max="5125" width="12.109375" style="4" customWidth="1"/>
    <col min="5126" max="5126" width="11.5546875" style="4" customWidth="1"/>
    <col min="5127" max="5127" width="11.44140625" style="4" customWidth="1"/>
    <col min="5128" max="5128" width="15.33203125" style="4" customWidth="1"/>
    <col min="5129" max="5129" width="15" style="4" customWidth="1"/>
    <col min="5130" max="5130" width="27" style="4" customWidth="1"/>
    <col min="5131" max="5376" width="8.88671875" style="4"/>
    <col min="5377" max="5377" width="5.6640625" style="4" customWidth="1"/>
    <col min="5378" max="5378" width="24" style="4" customWidth="1"/>
    <col min="5379" max="5379" width="10.77734375" style="4" customWidth="1"/>
    <col min="5380" max="5380" width="13.5546875" style="4" customWidth="1"/>
    <col min="5381" max="5381" width="12.109375" style="4" customWidth="1"/>
    <col min="5382" max="5382" width="11.5546875" style="4" customWidth="1"/>
    <col min="5383" max="5383" width="11.44140625" style="4" customWidth="1"/>
    <col min="5384" max="5384" width="15.33203125" style="4" customWidth="1"/>
    <col min="5385" max="5385" width="15" style="4" customWidth="1"/>
    <col min="5386" max="5386" width="27" style="4" customWidth="1"/>
    <col min="5387" max="5632" width="8.88671875" style="4"/>
    <col min="5633" max="5633" width="5.6640625" style="4" customWidth="1"/>
    <col min="5634" max="5634" width="24" style="4" customWidth="1"/>
    <col min="5635" max="5635" width="10.77734375" style="4" customWidth="1"/>
    <col min="5636" max="5636" width="13.5546875" style="4" customWidth="1"/>
    <col min="5637" max="5637" width="12.109375" style="4" customWidth="1"/>
    <col min="5638" max="5638" width="11.5546875" style="4" customWidth="1"/>
    <col min="5639" max="5639" width="11.44140625" style="4" customWidth="1"/>
    <col min="5640" max="5640" width="15.33203125" style="4" customWidth="1"/>
    <col min="5641" max="5641" width="15" style="4" customWidth="1"/>
    <col min="5642" max="5642" width="27" style="4" customWidth="1"/>
    <col min="5643" max="5888" width="8.88671875" style="4"/>
    <col min="5889" max="5889" width="5.6640625" style="4" customWidth="1"/>
    <col min="5890" max="5890" width="24" style="4" customWidth="1"/>
    <col min="5891" max="5891" width="10.77734375" style="4" customWidth="1"/>
    <col min="5892" max="5892" width="13.5546875" style="4" customWidth="1"/>
    <col min="5893" max="5893" width="12.109375" style="4" customWidth="1"/>
    <col min="5894" max="5894" width="11.5546875" style="4" customWidth="1"/>
    <col min="5895" max="5895" width="11.44140625" style="4" customWidth="1"/>
    <col min="5896" max="5896" width="15.33203125" style="4" customWidth="1"/>
    <col min="5897" max="5897" width="15" style="4" customWidth="1"/>
    <col min="5898" max="5898" width="27" style="4" customWidth="1"/>
    <col min="5899" max="6144" width="8.88671875" style="4"/>
    <col min="6145" max="6145" width="5.6640625" style="4" customWidth="1"/>
    <col min="6146" max="6146" width="24" style="4" customWidth="1"/>
    <col min="6147" max="6147" width="10.77734375" style="4" customWidth="1"/>
    <col min="6148" max="6148" width="13.5546875" style="4" customWidth="1"/>
    <col min="6149" max="6149" width="12.109375" style="4" customWidth="1"/>
    <col min="6150" max="6150" width="11.5546875" style="4" customWidth="1"/>
    <col min="6151" max="6151" width="11.44140625" style="4" customWidth="1"/>
    <col min="6152" max="6152" width="15.33203125" style="4" customWidth="1"/>
    <col min="6153" max="6153" width="15" style="4" customWidth="1"/>
    <col min="6154" max="6154" width="27" style="4" customWidth="1"/>
    <col min="6155" max="6400" width="8.88671875" style="4"/>
    <col min="6401" max="6401" width="5.6640625" style="4" customWidth="1"/>
    <col min="6402" max="6402" width="24" style="4" customWidth="1"/>
    <col min="6403" max="6403" width="10.77734375" style="4" customWidth="1"/>
    <col min="6404" max="6404" width="13.5546875" style="4" customWidth="1"/>
    <col min="6405" max="6405" width="12.109375" style="4" customWidth="1"/>
    <col min="6406" max="6406" width="11.5546875" style="4" customWidth="1"/>
    <col min="6407" max="6407" width="11.44140625" style="4" customWidth="1"/>
    <col min="6408" max="6408" width="15.33203125" style="4" customWidth="1"/>
    <col min="6409" max="6409" width="15" style="4" customWidth="1"/>
    <col min="6410" max="6410" width="27" style="4" customWidth="1"/>
    <col min="6411" max="6656" width="8.88671875" style="4"/>
    <col min="6657" max="6657" width="5.6640625" style="4" customWidth="1"/>
    <col min="6658" max="6658" width="24" style="4" customWidth="1"/>
    <col min="6659" max="6659" width="10.77734375" style="4" customWidth="1"/>
    <col min="6660" max="6660" width="13.5546875" style="4" customWidth="1"/>
    <col min="6661" max="6661" width="12.109375" style="4" customWidth="1"/>
    <col min="6662" max="6662" width="11.5546875" style="4" customWidth="1"/>
    <col min="6663" max="6663" width="11.44140625" style="4" customWidth="1"/>
    <col min="6664" max="6664" width="15.33203125" style="4" customWidth="1"/>
    <col min="6665" max="6665" width="15" style="4" customWidth="1"/>
    <col min="6666" max="6666" width="27" style="4" customWidth="1"/>
    <col min="6667" max="6912" width="8.88671875" style="4"/>
    <col min="6913" max="6913" width="5.6640625" style="4" customWidth="1"/>
    <col min="6914" max="6914" width="24" style="4" customWidth="1"/>
    <col min="6915" max="6915" width="10.77734375" style="4" customWidth="1"/>
    <col min="6916" max="6916" width="13.5546875" style="4" customWidth="1"/>
    <col min="6917" max="6917" width="12.109375" style="4" customWidth="1"/>
    <col min="6918" max="6918" width="11.5546875" style="4" customWidth="1"/>
    <col min="6919" max="6919" width="11.44140625" style="4" customWidth="1"/>
    <col min="6920" max="6920" width="15.33203125" style="4" customWidth="1"/>
    <col min="6921" max="6921" width="15" style="4" customWidth="1"/>
    <col min="6922" max="6922" width="27" style="4" customWidth="1"/>
    <col min="6923" max="7168" width="8.88671875" style="4"/>
    <col min="7169" max="7169" width="5.6640625" style="4" customWidth="1"/>
    <col min="7170" max="7170" width="24" style="4" customWidth="1"/>
    <col min="7171" max="7171" width="10.77734375" style="4" customWidth="1"/>
    <col min="7172" max="7172" width="13.5546875" style="4" customWidth="1"/>
    <col min="7173" max="7173" width="12.109375" style="4" customWidth="1"/>
    <col min="7174" max="7174" width="11.5546875" style="4" customWidth="1"/>
    <col min="7175" max="7175" width="11.44140625" style="4" customWidth="1"/>
    <col min="7176" max="7176" width="15.33203125" style="4" customWidth="1"/>
    <col min="7177" max="7177" width="15" style="4" customWidth="1"/>
    <col min="7178" max="7178" width="27" style="4" customWidth="1"/>
    <col min="7179" max="7424" width="8.88671875" style="4"/>
    <col min="7425" max="7425" width="5.6640625" style="4" customWidth="1"/>
    <col min="7426" max="7426" width="24" style="4" customWidth="1"/>
    <col min="7427" max="7427" width="10.77734375" style="4" customWidth="1"/>
    <col min="7428" max="7428" width="13.5546875" style="4" customWidth="1"/>
    <col min="7429" max="7429" width="12.109375" style="4" customWidth="1"/>
    <col min="7430" max="7430" width="11.5546875" style="4" customWidth="1"/>
    <col min="7431" max="7431" width="11.44140625" style="4" customWidth="1"/>
    <col min="7432" max="7432" width="15.33203125" style="4" customWidth="1"/>
    <col min="7433" max="7433" width="15" style="4" customWidth="1"/>
    <col min="7434" max="7434" width="27" style="4" customWidth="1"/>
    <col min="7435" max="7680" width="8.88671875" style="4"/>
    <col min="7681" max="7681" width="5.6640625" style="4" customWidth="1"/>
    <col min="7682" max="7682" width="24" style="4" customWidth="1"/>
    <col min="7683" max="7683" width="10.77734375" style="4" customWidth="1"/>
    <col min="7684" max="7684" width="13.5546875" style="4" customWidth="1"/>
    <col min="7685" max="7685" width="12.109375" style="4" customWidth="1"/>
    <col min="7686" max="7686" width="11.5546875" style="4" customWidth="1"/>
    <col min="7687" max="7687" width="11.44140625" style="4" customWidth="1"/>
    <col min="7688" max="7688" width="15.33203125" style="4" customWidth="1"/>
    <col min="7689" max="7689" width="15" style="4" customWidth="1"/>
    <col min="7690" max="7690" width="27" style="4" customWidth="1"/>
    <col min="7691" max="7936" width="8.88671875" style="4"/>
    <col min="7937" max="7937" width="5.6640625" style="4" customWidth="1"/>
    <col min="7938" max="7938" width="24" style="4" customWidth="1"/>
    <col min="7939" max="7939" width="10.77734375" style="4" customWidth="1"/>
    <col min="7940" max="7940" width="13.5546875" style="4" customWidth="1"/>
    <col min="7941" max="7941" width="12.109375" style="4" customWidth="1"/>
    <col min="7942" max="7942" width="11.5546875" style="4" customWidth="1"/>
    <col min="7943" max="7943" width="11.44140625" style="4" customWidth="1"/>
    <col min="7944" max="7944" width="15.33203125" style="4" customWidth="1"/>
    <col min="7945" max="7945" width="15" style="4" customWidth="1"/>
    <col min="7946" max="7946" width="27" style="4" customWidth="1"/>
    <col min="7947" max="8192" width="8.88671875" style="4"/>
    <col min="8193" max="8193" width="5.6640625" style="4" customWidth="1"/>
    <col min="8194" max="8194" width="24" style="4" customWidth="1"/>
    <col min="8195" max="8195" width="10.77734375" style="4" customWidth="1"/>
    <col min="8196" max="8196" width="13.5546875" style="4" customWidth="1"/>
    <col min="8197" max="8197" width="12.109375" style="4" customWidth="1"/>
    <col min="8198" max="8198" width="11.5546875" style="4" customWidth="1"/>
    <col min="8199" max="8199" width="11.44140625" style="4" customWidth="1"/>
    <col min="8200" max="8200" width="15.33203125" style="4" customWidth="1"/>
    <col min="8201" max="8201" width="15" style="4" customWidth="1"/>
    <col min="8202" max="8202" width="27" style="4" customWidth="1"/>
    <col min="8203" max="8448" width="8.88671875" style="4"/>
    <col min="8449" max="8449" width="5.6640625" style="4" customWidth="1"/>
    <col min="8450" max="8450" width="24" style="4" customWidth="1"/>
    <col min="8451" max="8451" width="10.77734375" style="4" customWidth="1"/>
    <col min="8452" max="8452" width="13.5546875" style="4" customWidth="1"/>
    <col min="8453" max="8453" width="12.109375" style="4" customWidth="1"/>
    <col min="8454" max="8454" width="11.5546875" style="4" customWidth="1"/>
    <col min="8455" max="8455" width="11.44140625" style="4" customWidth="1"/>
    <col min="8456" max="8456" width="15.33203125" style="4" customWidth="1"/>
    <col min="8457" max="8457" width="15" style="4" customWidth="1"/>
    <col min="8458" max="8458" width="27" style="4" customWidth="1"/>
    <col min="8459" max="8704" width="8.88671875" style="4"/>
    <col min="8705" max="8705" width="5.6640625" style="4" customWidth="1"/>
    <col min="8706" max="8706" width="24" style="4" customWidth="1"/>
    <col min="8707" max="8707" width="10.77734375" style="4" customWidth="1"/>
    <col min="8708" max="8708" width="13.5546875" style="4" customWidth="1"/>
    <col min="8709" max="8709" width="12.109375" style="4" customWidth="1"/>
    <col min="8710" max="8710" width="11.5546875" style="4" customWidth="1"/>
    <col min="8711" max="8711" width="11.44140625" style="4" customWidth="1"/>
    <col min="8712" max="8712" width="15.33203125" style="4" customWidth="1"/>
    <col min="8713" max="8713" width="15" style="4" customWidth="1"/>
    <col min="8714" max="8714" width="27" style="4" customWidth="1"/>
    <col min="8715" max="8960" width="8.88671875" style="4"/>
    <col min="8961" max="8961" width="5.6640625" style="4" customWidth="1"/>
    <col min="8962" max="8962" width="24" style="4" customWidth="1"/>
    <col min="8963" max="8963" width="10.77734375" style="4" customWidth="1"/>
    <col min="8964" max="8964" width="13.5546875" style="4" customWidth="1"/>
    <col min="8965" max="8965" width="12.109375" style="4" customWidth="1"/>
    <col min="8966" max="8966" width="11.5546875" style="4" customWidth="1"/>
    <col min="8967" max="8967" width="11.44140625" style="4" customWidth="1"/>
    <col min="8968" max="8968" width="15.33203125" style="4" customWidth="1"/>
    <col min="8969" max="8969" width="15" style="4" customWidth="1"/>
    <col min="8970" max="8970" width="27" style="4" customWidth="1"/>
    <col min="8971" max="9216" width="8.88671875" style="4"/>
    <col min="9217" max="9217" width="5.6640625" style="4" customWidth="1"/>
    <col min="9218" max="9218" width="24" style="4" customWidth="1"/>
    <col min="9219" max="9219" width="10.77734375" style="4" customWidth="1"/>
    <col min="9220" max="9220" width="13.5546875" style="4" customWidth="1"/>
    <col min="9221" max="9221" width="12.109375" style="4" customWidth="1"/>
    <col min="9222" max="9222" width="11.5546875" style="4" customWidth="1"/>
    <col min="9223" max="9223" width="11.44140625" style="4" customWidth="1"/>
    <col min="9224" max="9224" width="15.33203125" style="4" customWidth="1"/>
    <col min="9225" max="9225" width="15" style="4" customWidth="1"/>
    <col min="9226" max="9226" width="27" style="4" customWidth="1"/>
    <col min="9227" max="9472" width="8.88671875" style="4"/>
    <col min="9473" max="9473" width="5.6640625" style="4" customWidth="1"/>
    <col min="9474" max="9474" width="24" style="4" customWidth="1"/>
    <col min="9475" max="9475" width="10.77734375" style="4" customWidth="1"/>
    <col min="9476" max="9476" width="13.5546875" style="4" customWidth="1"/>
    <col min="9477" max="9477" width="12.109375" style="4" customWidth="1"/>
    <col min="9478" max="9478" width="11.5546875" style="4" customWidth="1"/>
    <col min="9479" max="9479" width="11.44140625" style="4" customWidth="1"/>
    <col min="9480" max="9480" width="15.33203125" style="4" customWidth="1"/>
    <col min="9481" max="9481" width="15" style="4" customWidth="1"/>
    <col min="9482" max="9482" width="27" style="4" customWidth="1"/>
    <col min="9483" max="9728" width="8.88671875" style="4"/>
    <col min="9729" max="9729" width="5.6640625" style="4" customWidth="1"/>
    <col min="9730" max="9730" width="24" style="4" customWidth="1"/>
    <col min="9731" max="9731" width="10.77734375" style="4" customWidth="1"/>
    <col min="9732" max="9732" width="13.5546875" style="4" customWidth="1"/>
    <col min="9733" max="9733" width="12.109375" style="4" customWidth="1"/>
    <col min="9734" max="9734" width="11.5546875" style="4" customWidth="1"/>
    <col min="9735" max="9735" width="11.44140625" style="4" customWidth="1"/>
    <col min="9736" max="9736" width="15.33203125" style="4" customWidth="1"/>
    <col min="9737" max="9737" width="15" style="4" customWidth="1"/>
    <col min="9738" max="9738" width="27" style="4" customWidth="1"/>
    <col min="9739" max="9984" width="8.88671875" style="4"/>
    <col min="9985" max="9985" width="5.6640625" style="4" customWidth="1"/>
    <col min="9986" max="9986" width="24" style="4" customWidth="1"/>
    <col min="9987" max="9987" width="10.77734375" style="4" customWidth="1"/>
    <col min="9988" max="9988" width="13.5546875" style="4" customWidth="1"/>
    <col min="9989" max="9989" width="12.109375" style="4" customWidth="1"/>
    <col min="9990" max="9990" width="11.5546875" style="4" customWidth="1"/>
    <col min="9991" max="9991" width="11.44140625" style="4" customWidth="1"/>
    <col min="9992" max="9992" width="15.33203125" style="4" customWidth="1"/>
    <col min="9993" max="9993" width="15" style="4" customWidth="1"/>
    <col min="9994" max="9994" width="27" style="4" customWidth="1"/>
    <col min="9995" max="10240" width="8.88671875" style="4"/>
    <col min="10241" max="10241" width="5.6640625" style="4" customWidth="1"/>
    <col min="10242" max="10242" width="24" style="4" customWidth="1"/>
    <col min="10243" max="10243" width="10.77734375" style="4" customWidth="1"/>
    <col min="10244" max="10244" width="13.5546875" style="4" customWidth="1"/>
    <col min="10245" max="10245" width="12.109375" style="4" customWidth="1"/>
    <col min="10246" max="10246" width="11.5546875" style="4" customWidth="1"/>
    <col min="10247" max="10247" width="11.44140625" style="4" customWidth="1"/>
    <col min="10248" max="10248" width="15.33203125" style="4" customWidth="1"/>
    <col min="10249" max="10249" width="15" style="4" customWidth="1"/>
    <col min="10250" max="10250" width="27" style="4" customWidth="1"/>
    <col min="10251" max="10496" width="8.88671875" style="4"/>
    <col min="10497" max="10497" width="5.6640625" style="4" customWidth="1"/>
    <col min="10498" max="10498" width="24" style="4" customWidth="1"/>
    <col min="10499" max="10499" width="10.77734375" style="4" customWidth="1"/>
    <col min="10500" max="10500" width="13.5546875" style="4" customWidth="1"/>
    <col min="10501" max="10501" width="12.109375" style="4" customWidth="1"/>
    <col min="10502" max="10502" width="11.5546875" style="4" customWidth="1"/>
    <col min="10503" max="10503" width="11.44140625" style="4" customWidth="1"/>
    <col min="10504" max="10504" width="15.33203125" style="4" customWidth="1"/>
    <col min="10505" max="10505" width="15" style="4" customWidth="1"/>
    <col min="10506" max="10506" width="27" style="4" customWidth="1"/>
    <col min="10507" max="10752" width="8.88671875" style="4"/>
    <col min="10753" max="10753" width="5.6640625" style="4" customWidth="1"/>
    <col min="10754" max="10754" width="24" style="4" customWidth="1"/>
    <col min="10755" max="10755" width="10.77734375" style="4" customWidth="1"/>
    <col min="10756" max="10756" width="13.5546875" style="4" customWidth="1"/>
    <col min="10757" max="10757" width="12.109375" style="4" customWidth="1"/>
    <col min="10758" max="10758" width="11.5546875" style="4" customWidth="1"/>
    <col min="10759" max="10759" width="11.44140625" style="4" customWidth="1"/>
    <col min="10760" max="10760" width="15.33203125" style="4" customWidth="1"/>
    <col min="10761" max="10761" width="15" style="4" customWidth="1"/>
    <col min="10762" max="10762" width="27" style="4" customWidth="1"/>
    <col min="10763" max="11008" width="8.88671875" style="4"/>
    <col min="11009" max="11009" width="5.6640625" style="4" customWidth="1"/>
    <col min="11010" max="11010" width="24" style="4" customWidth="1"/>
    <col min="11011" max="11011" width="10.77734375" style="4" customWidth="1"/>
    <col min="11012" max="11012" width="13.5546875" style="4" customWidth="1"/>
    <col min="11013" max="11013" width="12.109375" style="4" customWidth="1"/>
    <col min="11014" max="11014" width="11.5546875" style="4" customWidth="1"/>
    <col min="11015" max="11015" width="11.44140625" style="4" customWidth="1"/>
    <col min="11016" max="11016" width="15.33203125" style="4" customWidth="1"/>
    <col min="11017" max="11017" width="15" style="4" customWidth="1"/>
    <col min="11018" max="11018" width="27" style="4" customWidth="1"/>
    <col min="11019" max="11264" width="8.88671875" style="4"/>
    <col min="11265" max="11265" width="5.6640625" style="4" customWidth="1"/>
    <col min="11266" max="11266" width="24" style="4" customWidth="1"/>
    <col min="11267" max="11267" width="10.77734375" style="4" customWidth="1"/>
    <col min="11268" max="11268" width="13.5546875" style="4" customWidth="1"/>
    <col min="11269" max="11269" width="12.109375" style="4" customWidth="1"/>
    <col min="11270" max="11270" width="11.5546875" style="4" customWidth="1"/>
    <col min="11271" max="11271" width="11.44140625" style="4" customWidth="1"/>
    <col min="11272" max="11272" width="15.33203125" style="4" customWidth="1"/>
    <col min="11273" max="11273" width="15" style="4" customWidth="1"/>
    <col min="11274" max="11274" width="27" style="4" customWidth="1"/>
    <col min="11275" max="11520" width="8.88671875" style="4"/>
    <col min="11521" max="11521" width="5.6640625" style="4" customWidth="1"/>
    <col min="11522" max="11522" width="24" style="4" customWidth="1"/>
    <col min="11523" max="11523" width="10.77734375" style="4" customWidth="1"/>
    <col min="11524" max="11524" width="13.5546875" style="4" customWidth="1"/>
    <col min="11525" max="11525" width="12.109375" style="4" customWidth="1"/>
    <col min="11526" max="11526" width="11.5546875" style="4" customWidth="1"/>
    <col min="11527" max="11527" width="11.44140625" style="4" customWidth="1"/>
    <col min="11528" max="11528" width="15.33203125" style="4" customWidth="1"/>
    <col min="11529" max="11529" width="15" style="4" customWidth="1"/>
    <col min="11530" max="11530" width="27" style="4" customWidth="1"/>
    <col min="11531" max="11776" width="8.88671875" style="4"/>
    <col min="11777" max="11777" width="5.6640625" style="4" customWidth="1"/>
    <col min="11778" max="11778" width="24" style="4" customWidth="1"/>
    <col min="11779" max="11779" width="10.77734375" style="4" customWidth="1"/>
    <col min="11780" max="11780" width="13.5546875" style="4" customWidth="1"/>
    <col min="11781" max="11781" width="12.109375" style="4" customWidth="1"/>
    <col min="11782" max="11782" width="11.5546875" style="4" customWidth="1"/>
    <col min="11783" max="11783" width="11.44140625" style="4" customWidth="1"/>
    <col min="11784" max="11784" width="15.33203125" style="4" customWidth="1"/>
    <col min="11785" max="11785" width="15" style="4" customWidth="1"/>
    <col min="11786" max="11786" width="27" style="4" customWidth="1"/>
    <col min="11787" max="12032" width="8.88671875" style="4"/>
    <col min="12033" max="12033" width="5.6640625" style="4" customWidth="1"/>
    <col min="12034" max="12034" width="24" style="4" customWidth="1"/>
    <col min="12035" max="12035" width="10.77734375" style="4" customWidth="1"/>
    <col min="12036" max="12036" width="13.5546875" style="4" customWidth="1"/>
    <col min="12037" max="12037" width="12.109375" style="4" customWidth="1"/>
    <col min="12038" max="12038" width="11.5546875" style="4" customWidth="1"/>
    <col min="12039" max="12039" width="11.44140625" style="4" customWidth="1"/>
    <col min="12040" max="12040" width="15.33203125" style="4" customWidth="1"/>
    <col min="12041" max="12041" width="15" style="4" customWidth="1"/>
    <col min="12042" max="12042" width="27" style="4" customWidth="1"/>
    <col min="12043" max="12288" width="8.88671875" style="4"/>
    <col min="12289" max="12289" width="5.6640625" style="4" customWidth="1"/>
    <col min="12290" max="12290" width="24" style="4" customWidth="1"/>
    <col min="12291" max="12291" width="10.77734375" style="4" customWidth="1"/>
    <col min="12292" max="12292" width="13.5546875" style="4" customWidth="1"/>
    <col min="12293" max="12293" width="12.109375" style="4" customWidth="1"/>
    <col min="12294" max="12294" width="11.5546875" style="4" customWidth="1"/>
    <col min="12295" max="12295" width="11.44140625" style="4" customWidth="1"/>
    <col min="12296" max="12296" width="15.33203125" style="4" customWidth="1"/>
    <col min="12297" max="12297" width="15" style="4" customWidth="1"/>
    <col min="12298" max="12298" width="27" style="4" customWidth="1"/>
    <col min="12299" max="12544" width="8.88671875" style="4"/>
    <col min="12545" max="12545" width="5.6640625" style="4" customWidth="1"/>
    <col min="12546" max="12546" width="24" style="4" customWidth="1"/>
    <col min="12547" max="12547" width="10.77734375" style="4" customWidth="1"/>
    <col min="12548" max="12548" width="13.5546875" style="4" customWidth="1"/>
    <col min="12549" max="12549" width="12.109375" style="4" customWidth="1"/>
    <col min="12550" max="12550" width="11.5546875" style="4" customWidth="1"/>
    <col min="12551" max="12551" width="11.44140625" style="4" customWidth="1"/>
    <col min="12552" max="12552" width="15.33203125" style="4" customWidth="1"/>
    <col min="12553" max="12553" width="15" style="4" customWidth="1"/>
    <col min="12554" max="12554" width="27" style="4" customWidth="1"/>
    <col min="12555" max="12800" width="8.88671875" style="4"/>
    <col min="12801" max="12801" width="5.6640625" style="4" customWidth="1"/>
    <col min="12802" max="12802" width="24" style="4" customWidth="1"/>
    <col min="12803" max="12803" width="10.77734375" style="4" customWidth="1"/>
    <col min="12804" max="12804" width="13.5546875" style="4" customWidth="1"/>
    <col min="12805" max="12805" width="12.109375" style="4" customWidth="1"/>
    <col min="12806" max="12806" width="11.5546875" style="4" customWidth="1"/>
    <col min="12807" max="12807" width="11.44140625" style="4" customWidth="1"/>
    <col min="12808" max="12808" width="15.33203125" style="4" customWidth="1"/>
    <col min="12809" max="12809" width="15" style="4" customWidth="1"/>
    <col min="12810" max="12810" width="27" style="4" customWidth="1"/>
    <col min="12811" max="13056" width="8.88671875" style="4"/>
    <col min="13057" max="13057" width="5.6640625" style="4" customWidth="1"/>
    <col min="13058" max="13058" width="24" style="4" customWidth="1"/>
    <col min="13059" max="13059" width="10.77734375" style="4" customWidth="1"/>
    <col min="13060" max="13060" width="13.5546875" style="4" customWidth="1"/>
    <col min="13061" max="13061" width="12.109375" style="4" customWidth="1"/>
    <col min="13062" max="13062" width="11.5546875" style="4" customWidth="1"/>
    <col min="13063" max="13063" width="11.44140625" style="4" customWidth="1"/>
    <col min="13064" max="13064" width="15.33203125" style="4" customWidth="1"/>
    <col min="13065" max="13065" width="15" style="4" customWidth="1"/>
    <col min="13066" max="13066" width="27" style="4" customWidth="1"/>
    <col min="13067" max="13312" width="8.88671875" style="4"/>
    <col min="13313" max="13313" width="5.6640625" style="4" customWidth="1"/>
    <col min="13314" max="13314" width="24" style="4" customWidth="1"/>
    <col min="13315" max="13315" width="10.77734375" style="4" customWidth="1"/>
    <col min="13316" max="13316" width="13.5546875" style="4" customWidth="1"/>
    <col min="13317" max="13317" width="12.109375" style="4" customWidth="1"/>
    <col min="13318" max="13318" width="11.5546875" style="4" customWidth="1"/>
    <col min="13319" max="13319" width="11.44140625" style="4" customWidth="1"/>
    <col min="13320" max="13320" width="15.33203125" style="4" customWidth="1"/>
    <col min="13321" max="13321" width="15" style="4" customWidth="1"/>
    <col min="13322" max="13322" width="27" style="4" customWidth="1"/>
    <col min="13323" max="13568" width="8.88671875" style="4"/>
    <col min="13569" max="13569" width="5.6640625" style="4" customWidth="1"/>
    <col min="13570" max="13570" width="24" style="4" customWidth="1"/>
    <col min="13571" max="13571" width="10.77734375" style="4" customWidth="1"/>
    <col min="13572" max="13572" width="13.5546875" style="4" customWidth="1"/>
    <col min="13573" max="13573" width="12.109375" style="4" customWidth="1"/>
    <col min="13574" max="13574" width="11.5546875" style="4" customWidth="1"/>
    <col min="13575" max="13575" width="11.44140625" style="4" customWidth="1"/>
    <col min="13576" max="13576" width="15.33203125" style="4" customWidth="1"/>
    <col min="13577" max="13577" width="15" style="4" customWidth="1"/>
    <col min="13578" max="13578" width="27" style="4" customWidth="1"/>
    <col min="13579" max="13824" width="8.88671875" style="4"/>
    <col min="13825" max="13825" width="5.6640625" style="4" customWidth="1"/>
    <col min="13826" max="13826" width="24" style="4" customWidth="1"/>
    <col min="13827" max="13827" width="10.77734375" style="4" customWidth="1"/>
    <col min="13828" max="13828" width="13.5546875" style="4" customWidth="1"/>
    <col min="13829" max="13829" width="12.109375" style="4" customWidth="1"/>
    <col min="13830" max="13830" width="11.5546875" style="4" customWidth="1"/>
    <col min="13831" max="13831" width="11.44140625" style="4" customWidth="1"/>
    <col min="13832" max="13832" width="15.33203125" style="4" customWidth="1"/>
    <col min="13833" max="13833" width="15" style="4" customWidth="1"/>
    <col min="13834" max="13834" width="27" style="4" customWidth="1"/>
    <col min="13835" max="14080" width="8.88671875" style="4"/>
    <col min="14081" max="14081" width="5.6640625" style="4" customWidth="1"/>
    <col min="14082" max="14082" width="24" style="4" customWidth="1"/>
    <col min="14083" max="14083" width="10.77734375" style="4" customWidth="1"/>
    <col min="14084" max="14084" width="13.5546875" style="4" customWidth="1"/>
    <col min="14085" max="14085" width="12.109375" style="4" customWidth="1"/>
    <col min="14086" max="14086" width="11.5546875" style="4" customWidth="1"/>
    <col min="14087" max="14087" width="11.44140625" style="4" customWidth="1"/>
    <col min="14088" max="14088" width="15.33203125" style="4" customWidth="1"/>
    <col min="14089" max="14089" width="15" style="4" customWidth="1"/>
    <col min="14090" max="14090" width="27" style="4" customWidth="1"/>
    <col min="14091" max="14336" width="8.88671875" style="4"/>
    <col min="14337" max="14337" width="5.6640625" style="4" customWidth="1"/>
    <col min="14338" max="14338" width="24" style="4" customWidth="1"/>
    <col min="14339" max="14339" width="10.77734375" style="4" customWidth="1"/>
    <col min="14340" max="14340" width="13.5546875" style="4" customWidth="1"/>
    <col min="14341" max="14341" width="12.109375" style="4" customWidth="1"/>
    <col min="14342" max="14342" width="11.5546875" style="4" customWidth="1"/>
    <col min="14343" max="14343" width="11.44140625" style="4" customWidth="1"/>
    <col min="14344" max="14344" width="15.33203125" style="4" customWidth="1"/>
    <col min="14345" max="14345" width="15" style="4" customWidth="1"/>
    <col min="14346" max="14346" width="27" style="4" customWidth="1"/>
    <col min="14347" max="14592" width="8.88671875" style="4"/>
    <col min="14593" max="14593" width="5.6640625" style="4" customWidth="1"/>
    <col min="14594" max="14594" width="24" style="4" customWidth="1"/>
    <col min="14595" max="14595" width="10.77734375" style="4" customWidth="1"/>
    <col min="14596" max="14596" width="13.5546875" style="4" customWidth="1"/>
    <col min="14597" max="14597" width="12.109375" style="4" customWidth="1"/>
    <col min="14598" max="14598" width="11.5546875" style="4" customWidth="1"/>
    <col min="14599" max="14599" width="11.44140625" style="4" customWidth="1"/>
    <col min="14600" max="14600" width="15.33203125" style="4" customWidth="1"/>
    <col min="14601" max="14601" width="15" style="4" customWidth="1"/>
    <col min="14602" max="14602" width="27" style="4" customWidth="1"/>
    <col min="14603" max="14848" width="8.88671875" style="4"/>
    <col min="14849" max="14849" width="5.6640625" style="4" customWidth="1"/>
    <col min="14850" max="14850" width="24" style="4" customWidth="1"/>
    <col min="14851" max="14851" width="10.77734375" style="4" customWidth="1"/>
    <col min="14852" max="14852" width="13.5546875" style="4" customWidth="1"/>
    <col min="14853" max="14853" width="12.109375" style="4" customWidth="1"/>
    <col min="14854" max="14854" width="11.5546875" style="4" customWidth="1"/>
    <col min="14855" max="14855" width="11.44140625" style="4" customWidth="1"/>
    <col min="14856" max="14856" width="15.33203125" style="4" customWidth="1"/>
    <col min="14857" max="14857" width="15" style="4" customWidth="1"/>
    <col min="14858" max="14858" width="27" style="4" customWidth="1"/>
    <col min="14859" max="15104" width="8.88671875" style="4"/>
    <col min="15105" max="15105" width="5.6640625" style="4" customWidth="1"/>
    <col min="15106" max="15106" width="24" style="4" customWidth="1"/>
    <col min="15107" max="15107" width="10.77734375" style="4" customWidth="1"/>
    <col min="15108" max="15108" width="13.5546875" style="4" customWidth="1"/>
    <col min="15109" max="15109" width="12.109375" style="4" customWidth="1"/>
    <col min="15110" max="15110" width="11.5546875" style="4" customWidth="1"/>
    <col min="15111" max="15111" width="11.44140625" style="4" customWidth="1"/>
    <col min="15112" max="15112" width="15.33203125" style="4" customWidth="1"/>
    <col min="15113" max="15113" width="15" style="4" customWidth="1"/>
    <col min="15114" max="15114" width="27" style="4" customWidth="1"/>
    <col min="15115" max="15360" width="8.88671875" style="4"/>
    <col min="15361" max="15361" width="5.6640625" style="4" customWidth="1"/>
    <col min="15362" max="15362" width="24" style="4" customWidth="1"/>
    <col min="15363" max="15363" width="10.77734375" style="4" customWidth="1"/>
    <col min="15364" max="15364" width="13.5546875" style="4" customWidth="1"/>
    <col min="15365" max="15365" width="12.109375" style="4" customWidth="1"/>
    <col min="15366" max="15366" width="11.5546875" style="4" customWidth="1"/>
    <col min="15367" max="15367" width="11.44140625" style="4" customWidth="1"/>
    <col min="15368" max="15368" width="15.33203125" style="4" customWidth="1"/>
    <col min="15369" max="15369" width="15" style="4" customWidth="1"/>
    <col min="15370" max="15370" width="27" style="4" customWidth="1"/>
    <col min="15371" max="15616" width="8.88671875" style="4"/>
    <col min="15617" max="15617" width="5.6640625" style="4" customWidth="1"/>
    <col min="15618" max="15618" width="24" style="4" customWidth="1"/>
    <col min="15619" max="15619" width="10.77734375" style="4" customWidth="1"/>
    <col min="15620" max="15620" width="13.5546875" style="4" customWidth="1"/>
    <col min="15621" max="15621" width="12.109375" style="4" customWidth="1"/>
    <col min="15622" max="15622" width="11.5546875" style="4" customWidth="1"/>
    <col min="15623" max="15623" width="11.44140625" style="4" customWidth="1"/>
    <col min="15624" max="15624" width="15.33203125" style="4" customWidth="1"/>
    <col min="15625" max="15625" width="15" style="4" customWidth="1"/>
    <col min="15626" max="15626" width="27" style="4" customWidth="1"/>
    <col min="15627" max="15872" width="8.88671875" style="4"/>
    <col min="15873" max="15873" width="5.6640625" style="4" customWidth="1"/>
    <col min="15874" max="15874" width="24" style="4" customWidth="1"/>
    <col min="15875" max="15875" width="10.77734375" style="4" customWidth="1"/>
    <col min="15876" max="15876" width="13.5546875" style="4" customWidth="1"/>
    <col min="15877" max="15877" width="12.109375" style="4" customWidth="1"/>
    <col min="15878" max="15878" width="11.5546875" style="4" customWidth="1"/>
    <col min="15879" max="15879" width="11.44140625" style="4" customWidth="1"/>
    <col min="15880" max="15880" width="15.33203125" style="4" customWidth="1"/>
    <col min="15881" max="15881" width="15" style="4" customWidth="1"/>
    <col min="15882" max="15882" width="27" style="4" customWidth="1"/>
    <col min="15883" max="16128" width="8.88671875" style="4"/>
    <col min="16129" max="16129" width="5.6640625" style="4" customWidth="1"/>
    <col min="16130" max="16130" width="24" style="4" customWidth="1"/>
    <col min="16131" max="16131" width="10.77734375" style="4" customWidth="1"/>
    <col min="16132" max="16132" width="13.5546875" style="4" customWidth="1"/>
    <col min="16133" max="16133" width="12.109375" style="4" customWidth="1"/>
    <col min="16134" max="16134" width="11.5546875" style="4" customWidth="1"/>
    <col min="16135" max="16135" width="11.44140625" style="4" customWidth="1"/>
    <col min="16136" max="16136" width="15.33203125" style="4" customWidth="1"/>
    <col min="16137" max="16137" width="15" style="4" customWidth="1"/>
    <col min="16138" max="16138" width="27" style="4" customWidth="1"/>
    <col min="16139" max="16384" width="8.88671875" style="4"/>
  </cols>
  <sheetData>
    <row r="1" spans="1:10" ht="15.75" x14ac:dyDescent="0.25">
      <c r="I1" s="106" t="s">
        <v>233</v>
      </c>
    </row>
    <row r="2" spans="1:10" ht="15" customHeight="1" x14ac:dyDescent="0.25">
      <c r="A2" s="805" t="e">
        <f>#REF!</f>
        <v>#REF!</v>
      </c>
      <c r="B2" s="805"/>
      <c r="C2" s="805"/>
      <c r="D2" s="805"/>
      <c r="E2" s="805"/>
      <c r="F2" s="805"/>
      <c r="G2" s="805"/>
      <c r="H2" s="1"/>
    </row>
    <row r="3" spans="1:10" ht="15" customHeight="1" x14ac:dyDescent="0.25">
      <c r="A3" s="805" t="e">
        <f>#REF!</f>
        <v>#REF!</v>
      </c>
      <c r="B3" s="805"/>
      <c r="C3" s="805"/>
      <c r="D3" s="805"/>
      <c r="E3" s="805"/>
      <c r="F3" s="805"/>
      <c r="G3" s="805"/>
      <c r="H3" s="3"/>
    </row>
    <row r="4" spans="1:10" ht="41.25" customHeight="1" x14ac:dyDescent="0.25">
      <c r="A4" s="818" t="e">
        <f>#REF!</f>
        <v>#REF!</v>
      </c>
      <c r="B4" s="818"/>
      <c r="C4" s="818"/>
      <c r="D4" s="818"/>
      <c r="E4" s="818"/>
      <c r="F4" s="818"/>
      <c r="G4" s="818"/>
      <c r="H4" s="1"/>
      <c r="I4" s="2"/>
      <c r="J4" s="2"/>
    </row>
    <row r="5" spans="1:10" ht="15" customHeight="1" x14ac:dyDescent="0.25">
      <c r="A5" s="805" t="s">
        <v>234</v>
      </c>
      <c r="B5" s="805"/>
      <c r="C5" s="805"/>
      <c r="D5" s="805"/>
      <c r="E5" s="805"/>
      <c r="F5" s="805"/>
      <c r="G5" s="805"/>
      <c r="H5" s="1"/>
      <c r="I5" s="319"/>
      <c r="J5" s="319"/>
    </row>
    <row r="6" spans="1:10" ht="15.75" x14ac:dyDescent="0.25">
      <c r="A6" s="3" t="s">
        <v>20</v>
      </c>
      <c r="B6" s="1" t="s">
        <v>235</v>
      </c>
      <c r="G6" s="5"/>
    </row>
    <row r="7" spans="1:10" s="105" customFormat="1" ht="49.5" customHeight="1" x14ac:dyDescent="0.2">
      <c r="A7" s="320" t="s">
        <v>131</v>
      </c>
      <c r="B7" s="321" t="s">
        <v>116</v>
      </c>
      <c r="C7" s="321" t="s">
        <v>29</v>
      </c>
      <c r="D7" s="814" t="s">
        <v>305</v>
      </c>
      <c r="E7" s="815"/>
      <c r="F7" s="816" t="s">
        <v>236</v>
      </c>
      <c r="G7" s="817"/>
      <c r="H7" s="321" t="s">
        <v>144</v>
      </c>
      <c r="I7" s="88"/>
      <c r="J7" s="88"/>
    </row>
    <row r="8" spans="1:10" s="108" customFormat="1" ht="18.75" customHeight="1" x14ac:dyDescent="0.2">
      <c r="A8" s="316"/>
      <c r="B8" s="324"/>
      <c r="C8" s="324"/>
      <c r="D8" s="412" t="s">
        <v>306</v>
      </c>
      <c r="E8" s="413" t="s">
        <v>237</v>
      </c>
      <c r="F8" s="413" t="s">
        <v>306</v>
      </c>
      <c r="G8" s="413" t="s">
        <v>237</v>
      </c>
      <c r="H8" s="324"/>
      <c r="I8" s="88"/>
      <c r="J8" s="88"/>
    </row>
    <row r="9" spans="1:10" s="108" customFormat="1" ht="30" x14ac:dyDescent="0.2">
      <c r="A9" s="430">
        <v>1</v>
      </c>
      <c r="B9" s="420" t="s">
        <v>369</v>
      </c>
      <c r="C9" s="413" t="s">
        <v>240</v>
      </c>
      <c r="D9" s="421">
        <v>350</v>
      </c>
      <c r="E9" s="421">
        <v>350</v>
      </c>
      <c r="F9" s="421">
        <v>350</v>
      </c>
      <c r="G9" s="415">
        <v>350</v>
      </c>
      <c r="H9" s="413"/>
      <c r="I9" s="431"/>
      <c r="J9" s="431"/>
    </row>
    <row r="10" spans="1:10" s="108" customFormat="1" ht="25.5" customHeight="1" x14ac:dyDescent="0.2">
      <c r="A10" s="416">
        <v>2</v>
      </c>
      <c r="B10" s="323" t="s">
        <v>304</v>
      </c>
      <c r="C10" s="324" t="s">
        <v>231</v>
      </c>
      <c r="D10" s="317">
        <f>C41</f>
        <v>3035</v>
      </c>
      <c r="E10" s="317">
        <f>D41</f>
        <v>2930</v>
      </c>
      <c r="F10" s="317">
        <f>(D10+D10*(F11-D11)*0.025)</f>
        <v>3223.92875</v>
      </c>
      <c r="G10" s="417">
        <f>(E10+E10*(G11-E11)*0.025)</f>
        <v>3055.99</v>
      </c>
      <c r="H10" s="432" t="s">
        <v>354</v>
      </c>
      <c r="I10" s="100"/>
      <c r="J10" s="100"/>
    </row>
    <row r="11" spans="1:10" s="108" customFormat="1" x14ac:dyDescent="0.2">
      <c r="A11" s="416">
        <v>3</v>
      </c>
      <c r="B11" s="316" t="s">
        <v>239</v>
      </c>
      <c r="C11" s="324" t="s">
        <v>27</v>
      </c>
      <c r="D11" s="325">
        <f>C43</f>
        <v>0.51</v>
      </c>
      <c r="E11" s="325">
        <f>D43</f>
        <v>1.28</v>
      </c>
      <c r="F11" s="326">
        <f>E43</f>
        <v>3</v>
      </c>
      <c r="G11" s="418">
        <f>F43</f>
        <v>3</v>
      </c>
      <c r="H11" s="324"/>
    </row>
    <row r="12" spans="1:10" s="108" customFormat="1" ht="33.75" customHeight="1" x14ac:dyDescent="0.2">
      <c r="A12" s="416">
        <v>4</v>
      </c>
      <c r="B12" s="323" t="s">
        <v>241</v>
      </c>
      <c r="C12" s="324" t="s">
        <v>242</v>
      </c>
      <c r="D12" s="317">
        <f>C42</f>
        <v>55</v>
      </c>
      <c r="E12" s="317">
        <f>D42</f>
        <v>48</v>
      </c>
      <c r="F12" s="327">
        <f>E42</f>
        <v>100</v>
      </c>
      <c r="G12" s="328">
        <f>F42</f>
        <v>100</v>
      </c>
      <c r="H12" s="324"/>
    </row>
    <row r="13" spans="1:10" s="108" customFormat="1" ht="35.25" customHeight="1" x14ac:dyDescent="0.2">
      <c r="A13" s="419">
        <v>5</v>
      </c>
      <c r="B13" s="330" t="s">
        <v>243</v>
      </c>
      <c r="C13" s="322" t="s">
        <v>232</v>
      </c>
      <c r="D13" s="331">
        <f>D12*D9*D10/1000</f>
        <v>58423.75</v>
      </c>
      <c r="E13" s="331">
        <f>E12*E9*E10/1000</f>
        <v>49224</v>
      </c>
      <c r="F13" s="329">
        <f>+F10*F9*F12/1000</f>
        <v>112837.50625000001</v>
      </c>
      <c r="G13" s="332">
        <f>+G10*G9*G12/1000</f>
        <v>106959.65</v>
      </c>
      <c r="H13" s="322"/>
    </row>
    <row r="14" spans="1:10" s="105" customFormat="1" ht="19.5" customHeight="1" x14ac:dyDescent="0.2">
      <c r="A14" s="333" t="s">
        <v>21</v>
      </c>
      <c r="B14" s="334" t="s">
        <v>244</v>
      </c>
      <c r="C14" s="335"/>
      <c r="D14" s="336"/>
      <c r="E14" s="336"/>
      <c r="F14" s="337"/>
      <c r="G14" s="337"/>
      <c r="H14" s="337"/>
    </row>
    <row r="15" spans="1:10" s="108" customFormat="1" ht="32.25" customHeight="1" x14ac:dyDescent="0.2">
      <c r="A15" s="423" t="s">
        <v>131</v>
      </c>
      <c r="B15" s="423" t="s">
        <v>116</v>
      </c>
      <c r="C15" s="424" t="s">
        <v>346</v>
      </c>
      <c r="D15" s="424" t="s">
        <v>347</v>
      </c>
      <c r="E15" s="424" t="s">
        <v>348</v>
      </c>
      <c r="F15" s="812"/>
      <c r="G15" s="812"/>
      <c r="H15" s="100"/>
      <c r="I15" s="813"/>
      <c r="J15" s="813"/>
    </row>
    <row r="16" spans="1:10" s="108" customFormat="1" ht="71.25" customHeight="1" x14ac:dyDescent="0.2">
      <c r="A16" s="422">
        <v>1</v>
      </c>
      <c r="B16" s="78" t="s">
        <v>349</v>
      </c>
      <c r="C16" s="327">
        <f>C65</f>
        <v>15379.37</v>
      </c>
      <c r="D16" s="327">
        <f>((F13+G13)*0.85-(D13+E13)*0.8)</f>
        <v>100709.38281249997</v>
      </c>
      <c r="E16" s="316">
        <f>C16*D16/10^7</f>
        <v>154.88468607450778</v>
      </c>
      <c r="F16" s="414"/>
      <c r="I16" s="811"/>
      <c r="J16" s="811"/>
    </row>
    <row r="17" spans="1:10" s="105" customFormat="1" ht="18.75" customHeight="1" x14ac:dyDescent="0.2">
      <c r="A17" s="340"/>
      <c r="B17" s="341" t="s">
        <v>252</v>
      </c>
      <c r="C17" s="342"/>
      <c r="D17" s="342"/>
      <c r="E17" s="341">
        <f>E16</f>
        <v>154.88468607450778</v>
      </c>
      <c r="F17"/>
      <c r="G17"/>
      <c r="H17"/>
    </row>
    <row r="18" spans="1:10" ht="15.75" x14ac:dyDescent="0.25">
      <c r="A18" s="3" t="s">
        <v>22</v>
      </c>
      <c r="B18" s="2" t="s">
        <v>253</v>
      </c>
      <c r="C18" s="343"/>
      <c r="D18" s="343"/>
      <c r="E18" s="343"/>
      <c r="F18" s="428"/>
      <c r="G18" s="428"/>
      <c r="H18" s="428"/>
    </row>
    <row r="19" spans="1:10" ht="30" x14ac:dyDescent="0.2">
      <c r="A19" s="423" t="s">
        <v>131</v>
      </c>
      <c r="B19" s="423" t="s">
        <v>116</v>
      </c>
      <c r="C19" s="423" t="s">
        <v>29</v>
      </c>
      <c r="D19" s="423" t="s">
        <v>352</v>
      </c>
      <c r="E19" s="423" t="s">
        <v>227</v>
      </c>
      <c r="F19" s="424" t="s">
        <v>348</v>
      </c>
      <c r="H19"/>
      <c r="I19"/>
      <c r="J19" s="429" t="s">
        <v>144</v>
      </c>
    </row>
    <row r="20" spans="1:10" s="108" customFormat="1" ht="35.25" customHeight="1" x14ac:dyDescent="0.2">
      <c r="A20" s="344">
        <v>1</v>
      </c>
      <c r="B20" s="353" t="s">
        <v>254</v>
      </c>
      <c r="C20" s="324" t="s">
        <v>255</v>
      </c>
      <c r="D20" s="345">
        <f>C66</f>
        <v>8847</v>
      </c>
      <c r="E20" s="317">
        <f t="shared" ref="E20:E26" si="0">F55</f>
        <v>123241.10576923077</v>
      </c>
      <c r="F20" s="339">
        <f>D20*E20/10^7</f>
        <v>109.03140627403846</v>
      </c>
      <c r="H20"/>
      <c r="I20"/>
      <c r="J20" s="330" t="s">
        <v>351</v>
      </c>
    </row>
    <row r="21" spans="1:10" s="108" customFormat="1" x14ac:dyDescent="0.2">
      <c r="A21" s="344">
        <v>2</v>
      </c>
      <c r="B21" s="346" t="s">
        <v>256</v>
      </c>
      <c r="C21" s="324" t="s">
        <v>28</v>
      </c>
      <c r="D21" s="347">
        <f>C68/1000</f>
        <v>5.3598699999999999</v>
      </c>
      <c r="E21" s="317">
        <f t="shared" si="0"/>
        <v>6056067.9375</v>
      </c>
      <c r="F21" s="339">
        <f>D21*E21/10^7</f>
        <v>3.2459736856168124</v>
      </c>
      <c r="H21"/>
      <c r="I21"/>
      <c r="J21" s="427" t="s">
        <v>350</v>
      </c>
    </row>
    <row r="22" spans="1:10" s="108" customFormat="1" x14ac:dyDescent="0.2">
      <c r="A22" s="344">
        <v>3</v>
      </c>
      <c r="B22" s="348" t="s">
        <v>257</v>
      </c>
      <c r="C22" s="324" t="s">
        <v>258</v>
      </c>
      <c r="D22" s="349">
        <f>C69</f>
        <v>4290.63</v>
      </c>
      <c r="E22" s="350">
        <f t="shared" si="0"/>
        <v>50727.599999999991</v>
      </c>
      <c r="F22" s="339">
        <f>D22*E22/10^7</f>
        <v>21.7653362388</v>
      </c>
      <c r="H22"/>
      <c r="I22"/>
      <c r="J22" s="427" t="s">
        <v>350</v>
      </c>
    </row>
    <row r="23" spans="1:10" s="108" customFormat="1" x14ac:dyDescent="0.2">
      <c r="A23" s="344">
        <v>4</v>
      </c>
      <c r="B23" s="348" t="s">
        <v>259</v>
      </c>
      <c r="C23" s="324" t="s">
        <v>260</v>
      </c>
      <c r="D23" s="349">
        <f>C70</f>
        <v>2088.85</v>
      </c>
      <c r="E23" s="317">
        <f t="shared" si="0"/>
        <v>14113.23209459459</v>
      </c>
      <c r="F23" s="325">
        <f>+E23*D23/10^7</f>
        <v>2.9480424860793906</v>
      </c>
      <c r="H23"/>
      <c r="I23"/>
      <c r="J23" s="427" t="s">
        <v>350</v>
      </c>
    </row>
    <row r="24" spans="1:10" s="108" customFormat="1" x14ac:dyDescent="0.2">
      <c r="A24" s="344">
        <v>5</v>
      </c>
      <c r="B24" s="316" t="s">
        <v>261</v>
      </c>
      <c r="C24" s="324" t="s">
        <v>262</v>
      </c>
      <c r="D24" s="345">
        <f>C71</f>
        <v>1092.6500000000001</v>
      </c>
      <c r="E24" s="317">
        <f t="shared" si="0"/>
        <v>30108.228468468456</v>
      </c>
      <c r="F24" s="325">
        <f>+E24*D24/10^7</f>
        <v>3.2897755836072062</v>
      </c>
      <c r="H24"/>
      <c r="I24"/>
      <c r="J24" s="427" t="s">
        <v>350</v>
      </c>
    </row>
    <row r="25" spans="1:10" s="108" customFormat="1" x14ac:dyDescent="0.2">
      <c r="A25" s="344">
        <v>6</v>
      </c>
      <c r="B25" s="316" t="s">
        <v>263</v>
      </c>
      <c r="C25" s="324" t="s">
        <v>262</v>
      </c>
      <c r="D25" s="345">
        <f>C72</f>
        <v>1086.8499999999999</v>
      </c>
      <c r="E25" s="317">
        <f t="shared" si="0"/>
        <v>1481.8893699324312</v>
      </c>
      <c r="F25" s="325">
        <f>+E25*D25/10^7</f>
        <v>0.16105914617110628</v>
      </c>
      <c r="H25"/>
      <c r="I25"/>
      <c r="J25" s="427" t="s">
        <v>350</v>
      </c>
    </row>
    <row r="26" spans="1:10" s="108" customFormat="1" x14ac:dyDescent="0.2">
      <c r="A26" s="344">
        <v>7</v>
      </c>
      <c r="B26" s="316" t="s">
        <v>264</v>
      </c>
      <c r="C26" s="351" t="s">
        <v>260</v>
      </c>
      <c r="D26" s="345">
        <f>C67</f>
        <v>949.63</v>
      </c>
      <c r="E26" s="352">
        <f t="shared" si="0"/>
        <v>420</v>
      </c>
      <c r="F26" s="325">
        <f>+E26*D26/10^7</f>
        <v>3.9884459999999997E-2</v>
      </c>
      <c r="H26"/>
      <c r="I26"/>
      <c r="J26" s="427" t="s">
        <v>350</v>
      </c>
    </row>
    <row r="27" spans="1:10" s="108" customFormat="1" x14ac:dyDescent="0.2">
      <c r="A27" s="344">
        <v>8</v>
      </c>
      <c r="B27" s="353" t="s">
        <v>265</v>
      </c>
      <c r="C27" s="324"/>
      <c r="D27" s="317"/>
      <c r="E27" s="324"/>
      <c r="F27" s="339" t="e">
        <f>#REF!*0.025</f>
        <v>#REF!</v>
      </c>
      <c r="H27"/>
      <c r="I27"/>
      <c r="J27" s="318"/>
    </row>
    <row r="28" spans="1:10" s="108" customFormat="1" ht="15.75" x14ac:dyDescent="0.2">
      <c r="A28" s="355"/>
      <c r="B28" s="356" t="s">
        <v>266</v>
      </c>
      <c r="C28" s="338"/>
      <c r="D28" s="338"/>
      <c r="E28" s="338"/>
      <c r="F28" s="461" t="e">
        <f>SUM(F20:F27)</f>
        <v>#REF!</v>
      </c>
      <c r="H28"/>
      <c r="I28"/>
      <c r="J28" s="318"/>
    </row>
    <row r="29" spans="1:10" s="108" customFormat="1" ht="15.75" x14ac:dyDescent="0.2">
      <c r="A29" s="357" t="s">
        <v>103</v>
      </c>
      <c r="B29" s="358" t="s">
        <v>267</v>
      </c>
      <c r="C29" s="425"/>
      <c r="D29" s="426"/>
      <c r="E29" s="426"/>
      <c r="F29" s="462" t="e">
        <f>(E17-F28)</f>
        <v>#REF!</v>
      </c>
      <c r="H29"/>
      <c r="I29"/>
      <c r="J29" s="318"/>
    </row>
    <row r="30" spans="1:10" ht="15.75" x14ac:dyDescent="0.25">
      <c r="A30" s="87" t="s">
        <v>105</v>
      </c>
      <c r="B30" s="438" t="s">
        <v>367</v>
      </c>
      <c r="C30" s="439"/>
      <c r="D30" s="439"/>
      <c r="E30" s="439"/>
      <c r="F30" s="463" t="e">
        <f>F29*0.85</f>
        <v>#REF!</v>
      </c>
      <c r="I30" s="6"/>
      <c r="J30" s="13"/>
    </row>
    <row r="31" spans="1:10" x14ac:dyDescent="0.2">
      <c r="I31" s="354"/>
      <c r="J31" s="354"/>
    </row>
    <row r="32" spans="1:10" x14ac:dyDescent="0.2">
      <c r="I32" s="354"/>
      <c r="J32" s="354"/>
    </row>
    <row r="33" spans="1:11" x14ac:dyDescent="0.2">
      <c r="I33" s="61"/>
      <c r="J33" s="61"/>
    </row>
    <row r="34" spans="1:11" x14ac:dyDescent="0.2">
      <c r="I34" s="61"/>
      <c r="J34" s="61"/>
    </row>
    <row r="35" spans="1:11" x14ac:dyDescent="0.2">
      <c r="I35" s="61"/>
      <c r="J35" s="61"/>
    </row>
    <row r="36" spans="1:11" ht="15.75" x14ac:dyDescent="0.25">
      <c r="A36" s="360" t="s">
        <v>268</v>
      </c>
      <c r="B36" s="359"/>
      <c r="C36" s="361"/>
      <c r="D36" s="359"/>
      <c r="E36" s="359"/>
      <c r="F36" s="359"/>
      <c r="G36" s="359"/>
      <c r="H36" s="359"/>
      <c r="I36" s="359"/>
      <c r="J36" s="359"/>
      <c r="K36" s="359"/>
    </row>
    <row r="37" spans="1:11" ht="15.75" x14ac:dyDescent="0.25">
      <c r="A37" s="360"/>
      <c r="B37" s="359"/>
      <c r="C37" s="361"/>
      <c r="D37" s="359"/>
      <c r="E37" s="359"/>
      <c r="F37" s="359"/>
      <c r="G37" s="359"/>
      <c r="H37" s="359"/>
      <c r="I37" s="359"/>
      <c r="J37" s="359"/>
      <c r="K37" s="359"/>
    </row>
    <row r="38" spans="1:11" ht="15.75" x14ac:dyDescent="0.25">
      <c r="A38" s="362" t="s">
        <v>269</v>
      </c>
      <c r="B38" s="361"/>
      <c r="C38" s="359"/>
      <c r="D38" s="359"/>
      <c r="E38" s="359"/>
      <c r="F38" s="359"/>
      <c r="G38" s="359"/>
      <c r="H38" s="359"/>
      <c r="I38" s="359"/>
      <c r="J38" s="359"/>
      <c r="K38" s="359"/>
    </row>
    <row r="39" spans="1:11" ht="15.75" customHeight="1" x14ac:dyDescent="0.25">
      <c r="A39" s="363" t="s">
        <v>270</v>
      </c>
      <c r="B39" s="363" t="s">
        <v>3</v>
      </c>
      <c r="C39" s="809" t="s">
        <v>271</v>
      </c>
      <c r="D39" s="810"/>
      <c r="E39" s="809" t="s">
        <v>272</v>
      </c>
      <c r="F39" s="810"/>
      <c r="G39" s="809" t="s">
        <v>273</v>
      </c>
      <c r="H39" s="810"/>
      <c r="I39" s="359"/>
      <c r="J39" s="359"/>
      <c r="K39" s="359"/>
    </row>
    <row r="40" spans="1:11" ht="15.75" x14ac:dyDescent="0.25">
      <c r="A40" s="363"/>
      <c r="B40" s="363"/>
      <c r="C40" s="363" t="s">
        <v>274</v>
      </c>
      <c r="D40" s="363" t="s">
        <v>275</v>
      </c>
      <c r="E40" s="363" t="s">
        <v>274</v>
      </c>
      <c r="F40" s="363" t="s">
        <v>275</v>
      </c>
      <c r="G40" s="363" t="s">
        <v>274</v>
      </c>
      <c r="H40" s="363" t="s">
        <v>275</v>
      </c>
      <c r="I40" s="359"/>
      <c r="J40" s="359"/>
      <c r="K40" s="359"/>
    </row>
    <row r="41" spans="1:11" ht="47.25" customHeight="1" x14ac:dyDescent="0.2">
      <c r="A41" s="364">
        <v>1</v>
      </c>
      <c r="B41" s="365" t="s">
        <v>276</v>
      </c>
      <c r="C41" s="364">
        <v>3035</v>
      </c>
      <c r="D41" s="364">
        <v>2930</v>
      </c>
      <c r="E41" s="366">
        <f>C41+C41*(E43-C43)*0.025</f>
        <v>3223.92875</v>
      </c>
      <c r="F41" s="366">
        <f>D41+D41*(F43-D43)*0.025</f>
        <v>3055.99</v>
      </c>
      <c r="G41" s="366" t="s">
        <v>2</v>
      </c>
      <c r="H41" s="366" t="s">
        <v>2</v>
      </c>
      <c r="I41" s="806" t="s">
        <v>238</v>
      </c>
      <c r="J41" s="807"/>
      <c r="K41" s="808"/>
    </row>
    <row r="42" spans="1:11" ht="15.75" x14ac:dyDescent="0.25">
      <c r="A42" s="364">
        <v>2</v>
      </c>
      <c r="B42" s="365" t="s">
        <v>277</v>
      </c>
      <c r="C42" s="364">
        <v>55</v>
      </c>
      <c r="D42" s="364">
        <v>48</v>
      </c>
      <c r="E42" s="364">
        <v>100</v>
      </c>
      <c r="F42" s="364">
        <v>100</v>
      </c>
      <c r="G42" s="366" t="s">
        <v>2</v>
      </c>
      <c r="H42" s="366" t="s">
        <v>2</v>
      </c>
      <c r="I42" s="359"/>
      <c r="J42" s="359"/>
      <c r="K42" s="359"/>
    </row>
    <row r="43" spans="1:11" ht="15.75" x14ac:dyDescent="0.25">
      <c r="A43" s="364">
        <v>3</v>
      </c>
      <c r="B43" s="365" t="s">
        <v>278</v>
      </c>
      <c r="C43" s="364">
        <v>0.51</v>
      </c>
      <c r="D43" s="364">
        <v>1.28</v>
      </c>
      <c r="E43" s="364">
        <v>3</v>
      </c>
      <c r="F43" s="364">
        <v>3</v>
      </c>
      <c r="G43" s="366" t="s">
        <v>2</v>
      </c>
      <c r="H43" s="366" t="s">
        <v>2</v>
      </c>
      <c r="I43" s="359"/>
      <c r="J43" s="359"/>
      <c r="K43" s="359"/>
    </row>
    <row r="44" spans="1:11" ht="15.75" x14ac:dyDescent="0.25">
      <c r="A44" s="364">
        <v>4</v>
      </c>
      <c r="B44" s="365" t="s">
        <v>279</v>
      </c>
      <c r="C44" s="366">
        <f>C41*C42/1000*350</f>
        <v>58423.750000000007</v>
      </c>
      <c r="D44" s="366">
        <f t="shared" ref="D44:F44" si="1">D41*D42/1000*350</f>
        <v>49223.999999999993</v>
      </c>
      <c r="E44" s="366">
        <f t="shared" si="1"/>
        <v>112837.50625000001</v>
      </c>
      <c r="F44" s="366">
        <f t="shared" si="1"/>
        <v>106959.65</v>
      </c>
      <c r="G44" s="366">
        <f>E44-C44</f>
        <v>54413.756249999999</v>
      </c>
      <c r="H44" s="366">
        <f>F44-D44</f>
        <v>57735.65</v>
      </c>
      <c r="I44" s="359"/>
      <c r="J44" s="359"/>
      <c r="K44" s="359"/>
    </row>
    <row r="45" spans="1:11" ht="15.75" x14ac:dyDescent="0.25">
      <c r="A45" s="367"/>
      <c r="B45" s="368"/>
      <c r="C45" s="367"/>
      <c r="D45" s="367">
        <f>1.72*2.5</f>
        <v>4.3</v>
      </c>
      <c r="E45" s="367"/>
      <c r="F45" s="367"/>
      <c r="G45" s="359"/>
      <c r="H45" s="359"/>
      <c r="I45" s="359"/>
      <c r="J45" s="359"/>
      <c r="K45" s="359"/>
    </row>
    <row r="46" spans="1:11" ht="15.75" x14ac:dyDescent="0.25">
      <c r="A46" s="362" t="s">
        <v>280</v>
      </c>
      <c r="B46" s="368"/>
      <c r="C46" s="367"/>
      <c r="D46" s="367"/>
      <c r="E46" s="367"/>
      <c r="F46" s="367"/>
      <c r="G46" s="359"/>
      <c r="H46" s="359"/>
      <c r="I46" s="359"/>
      <c r="J46" s="359"/>
      <c r="K46" s="359"/>
    </row>
    <row r="47" spans="1:11" ht="47.25" x14ac:dyDescent="0.25">
      <c r="A47" s="369" t="s">
        <v>131</v>
      </c>
      <c r="B47" s="369" t="s">
        <v>116</v>
      </c>
      <c r="C47" s="369"/>
      <c r="D47" s="809" t="s">
        <v>281</v>
      </c>
      <c r="E47" s="810"/>
      <c r="F47" s="809" t="s">
        <v>282</v>
      </c>
      <c r="G47" s="810"/>
      <c r="H47" s="369" t="s">
        <v>245</v>
      </c>
      <c r="I47" s="369" t="s">
        <v>144</v>
      </c>
      <c r="J47" s="359"/>
      <c r="K47" s="359"/>
    </row>
    <row r="48" spans="1:11" ht="15.75" x14ac:dyDescent="0.25">
      <c r="A48" s="365"/>
      <c r="B48" s="365"/>
      <c r="C48" s="363" t="s">
        <v>246</v>
      </c>
      <c r="D48" s="363" t="s">
        <v>227</v>
      </c>
      <c r="E48" s="363" t="s">
        <v>247</v>
      </c>
      <c r="F48" s="363" t="s">
        <v>227</v>
      </c>
      <c r="G48" s="363" t="s">
        <v>247</v>
      </c>
      <c r="H48" s="363" t="s">
        <v>247</v>
      </c>
      <c r="I48" s="364"/>
      <c r="J48" s="359"/>
      <c r="K48" s="359"/>
    </row>
    <row r="49" spans="1:11" ht="15.75" x14ac:dyDescent="0.25">
      <c r="A49" s="365"/>
      <c r="B49" s="365"/>
      <c r="C49" s="363" t="s">
        <v>248</v>
      </c>
      <c r="D49" s="363" t="s">
        <v>249</v>
      </c>
      <c r="E49" s="363" t="s">
        <v>250</v>
      </c>
      <c r="F49" s="363" t="s">
        <v>249</v>
      </c>
      <c r="G49" s="363" t="s">
        <v>250</v>
      </c>
      <c r="H49" s="363" t="s">
        <v>250</v>
      </c>
      <c r="I49" s="364"/>
      <c r="J49" s="359"/>
      <c r="K49" s="359"/>
    </row>
    <row r="50" spans="1:11" ht="63" x14ac:dyDescent="0.25">
      <c r="A50" s="364">
        <v>1</v>
      </c>
      <c r="B50" s="365" t="s">
        <v>251</v>
      </c>
      <c r="C50" s="364">
        <v>15379.37</v>
      </c>
      <c r="D50" s="366">
        <f>(C44+D44)*0.8</f>
        <v>86118.200000000012</v>
      </c>
      <c r="E50" s="366">
        <f>C50*D50/10^7</f>
        <v>132.44436615340001</v>
      </c>
      <c r="F50" s="366">
        <f>(E44+F44)*0.85</f>
        <v>186827.58281249998</v>
      </c>
      <c r="G50" s="366">
        <f>C50*F50/10^7</f>
        <v>287.32905222790782</v>
      </c>
      <c r="H50" s="366">
        <f>G50-E50</f>
        <v>154.88468607450781</v>
      </c>
      <c r="I50" s="370" t="s">
        <v>283</v>
      </c>
      <c r="J50" s="359"/>
      <c r="K50" s="359"/>
    </row>
    <row r="51" spans="1:11" ht="15.75" x14ac:dyDescent="0.25">
      <c r="A51" s="365"/>
      <c r="B51" s="369" t="s">
        <v>252</v>
      </c>
      <c r="C51" s="369"/>
      <c r="D51" s="369"/>
      <c r="E51" s="369"/>
      <c r="F51" s="369"/>
      <c r="G51" s="369"/>
      <c r="H51" s="371">
        <f>+H50</f>
        <v>154.88468607450781</v>
      </c>
      <c r="I51" s="365"/>
      <c r="J51" s="359"/>
      <c r="K51" s="359"/>
    </row>
    <row r="52" spans="1:11" ht="15.75" x14ac:dyDescent="0.25">
      <c r="A52" s="367"/>
      <c r="B52" s="368"/>
      <c r="C52" s="367"/>
      <c r="D52" s="367"/>
      <c r="E52" s="367"/>
      <c r="F52" s="367"/>
      <c r="G52" s="359"/>
      <c r="H52" s="359"/>
      <c r="I52" s="359"/>
      <c r="J52" s="359"/>
      <c r="K52" s="359"/>
    </row>
    <row r="53" spans="1:11" ht="15.75" x14ac:dyDescent="0.25">
      <c r="A53" s="362" t="s">
        <v>284</v>
      </c>
      <c r="B53" s="368"/>
      <c r="C53" s="367"/>
      <c r="D53" s="367"/>
      <c r="E53" s="367"/>
      <c r="F53" s="367"/>
      <c r="G53" s="359"/>
      <c r="H53" s="359"/>
      <c r="I53" s="359"/>
      <c r="J53" s="359"/>
      <c r="K53" s="359"/>
    </row>
    <row r="54" spans="1:11" ht="63" x14ac:dyDescent="0.25">
      <c r="A54" s="369" t="s">
        <v>270</v>
      </c>
      <c r="B54" s="369" t="s">
        <v>3</v>
      </c>
      <c r="C54" s="363" t="s">
        <v>29</v>
      </c>
      <c r="D54" s="363" t="s">
        <v>358</v>
      </c>
      <c r="E54" s="363" t="s">
        <v>359</v>
      </c>
      <c r="F54" s="363" t="s">
        <v>360</v>
      </c>
      <c r="G54" s="372"/>
      <c r="H54" s="359"/>
      <c r="I54" s="359"/>
      <c r="J54" s="359"/>
      <c r="K54" s="359"/>
    </row>
    <row r="55" spans="1:11" ht="31.5" x14ac:dyDescent="0.25">
      <c r="A55" s="364">
        <v>1</v>
      </c>
      <c r="B55" s="373" t="s">
        <v>254</v>
      </c>
      <c r="C55" s="364" t="s">
        <v>15</v>
      </c>
      <c r="D55" s="366">
        <f>(C44+D44)/0.91</f>
        <v>118294.23076923077</v>
      </c>
      <c r="E55" s="366">
        <f>(E44+F44)/0.91</f>
        <v>241535.33653846153</v>
      </c>
      <c r="F55" s="371">
        <f>E55-D55</f>
        <v>123241.10576923077</v>
      </c>
      <c r="G55" s="374"/>
      <c r="H55" s="359"/>
      <c r="I55" s="359"/>
      <c r="J55" s="359"/>
      <c r="K55" s="359"/>
    </row>
    <row r="56" spans="1:11" ht="31.5" x14ac:dyDescent="0.25">
      <c r="A56" s="364">
        <v>2</v>
      </c>
      <c r="B56" s="373" t="s">
        <v>285</v>
      </c>
      <c r="C56" s="364" t="s">
        <v>286</v>
      </c>
      <c r="D56" s="366">
        <f>(C44+D44)*54</f>
        <v>5812978.5</v>
      </c>
      <c r="E56" s="366">
        <f>(E44+F44)*54</f>
        <v>11869046.4375</v>
      </c>
      <c r="F56" s="371">
        <f>E56-D56</f>
        <v>6056067.9375</v>
      </c>
      <c r="G56" s="367"/>
      <c r="H56" s="359"/>
      <c r="I56" s="359"/>
      <c r="J56" s="359"/>
      <c r="K56" s="359"/>
    </row>
    <row r="57" spans="1:11" ht="15.75" x14ac:dyDescent="0.25">
      <c r="A57" s="364">
        <v>3</v>
      </c>
      <c r="B57" s="373" t="s">
        <v>287</v>
      </c>
      <c r="C57" s="437" t="s">
        <v>258</v>
      </c>
      <c r="D57" s="364">
        <f>D90</f>
        <v>26728.799999999999</v>
      </c>
      <c r="E57" s="364">
        <f>D92</f>
        <v>77456.399999999994</v>
      </c>
      <c r="F57" s="371">
        <f>E57-D57</f>
        <v>50727.599999999991</v>
      </c>
      <c r="G57" s="367"/>
      <c r="H57" s="359"/>
      <c r="I57" s="359"/>
      <c r="J57" s="359"/>
      <c r="K57" s="359"/>
    </row>
    <row r="58" spans="1:11" ht="15.75" x14ac:dyDescent="0.25">
      <c r="A58" s="364">
        <v>4</v>
      </c>
      <c r="B58" s="373" t="s">
        <v>288</v>
      </c>
      <c r="C58" s="437" t="s">
        <v>361</v>
      </c>
      <c r="D58" s="364">
        <f>D114</f>
        <v>46729.55</v>
      </c>
      <c r="E58" s="364">
        <f>G114</f>
        <v>60842.782094594593</v>
      </c>
      <c r="F58" s="371">
        <f>E58-D58</f>
        <v>14113.23209459459</v>
      </c>
      <c r="G58" s="375"/>
      <c r="H58" s="367"/>
      <c r="I58" s="375"/>
      <c r="J58" s="359"/>
      <c r="K58" s="359"/>
    </row>
    <row r="59" spans="1:11" ht="15.75" x14ac:dyDescent="0.25">
      <c r="A59" s="364">
        <v>5</v>
      </c>
      <c r="B59" s="373" t="s">
        <v>289</v>
      </c>
      <c r="C59" s="364" t="s">
        <v>353</v>
      </c>
      <c r="D59" s="364">
        <f>D121*800/10^6</f>
        <v>45929.70666666668</v>
      </c>
      <c r="E59" s="364">
        <f>G121*800/10^6</f>
        <v>76037.935135135136</v>
      </c>
      <c r="F59" s="371">
        <f t="shared" ref="F59:F61" si="2">E59-D59</f>
        <v>30108.228468468456</v>
      </c>
      <c r="G59" s="359"/>
      <c r="H59" s="367"/>
      <c r="I59" s="375"/>
      <c r="J59" s="359"/>
      <c r="K59" s="359"/>
    </row>
    <row r="60" spans="1:11" ht="15.75" x14ac:dyDescent="0.25">
      <c r="A60" s="364">
        <v>6</v>
      </c>
      <c r="B60" s="373" t="s">
        <v>290</v>
      </c>
      <c r="C60" s="364" t="s">
        <v>353</v>
      </c>
      <c r="D60" s="364">
        <f>D128*4200/10^6</f>
        <v>2260.6027500000009</v>
      </c>
      <c r="E60" s="364">
        <f>G128*4200/10^6</f>
        <v>3742.4921199324322</v>
      </c>
      <c r="F60" s="371">
        <f t="shared" si="2"/>
        <v>1481.8893699324312</v>
      </c>
      <c r="G60" s="367"/>
      <c r="H60" s="359"/>
      <c r="I60" s="375"/>
      <c r="J60" s="359"/>
      <c r="K60" s="359"/>
    </row>
    <row r="61" spans="1:11" ht="15.75" x14ac:dyDescent="0.25">
      <c r="A61" s="364">
        <v>7</v>
      </c>
      <c r="B61" s="373" t="s">
        <v>291</v>
      </c>
      <c r="C61" s="437" t="s">
        <v>361</v>
      </c>
      <c r="D61" s="364">
        <f>50*24*350/10^3</f>
        <v>420</v>
      </c>
      <c r="E61" s="364">
        <f>100*24*350/10^3</f>
        <v>840</v>
      </c>
      <c r="F61" s="371">
        <f t="shared" si="2"/>
        <v>420</v>
      </c>
      <c r="G61" s="367"/>
      <c r="H61" s="359"/>
      <c r="I61" s="359"/>
      <c r="J61" s="359"/>
      <c r="K61" s="359"/>
    </row>
    <row r="62" spans="1:11" ht="15.75" x14ac:dyDescent="0.25">
      <c r="A62" s="376"/>
      <c r="B62" s="368"/>
      <c r="C62" s="367"/>
      <c r="D62" s="367"/>
      <c r="E62" s="359"/>
      <c r="F62" s="359"/>
      <c r="G62" s="359"/>
      <c r="H62" s="359"/>
      <c r="I62" s="359"/>
      <c r="J62" s="359"/>
      <c r="K62" s="359"/>
    </row>
    <row r="63" spans="1:11" ht="15.75" x14ac:dyDescent="0.25">
      <c r="A63" s="362" t="s">
        <v>292</v>
      </c>
      <c r="B63" s="362"/>
      <c r="C63" s="367"/>
      <c r="D63" s="359"/>
      <c r="E63" s="359"/>
      <c r="F63" s="359"/>
      <c r="G63" s="359"/>
      <c r="H63" s="359"/>
      <c r="I63" s="359"/>
      <c r="J63" s="359"/>
      <c r="K63" s="359"/>
    </row>
    <row r="64" spans="1:11" ht="31.5" x14ac:dyDescent="0.25">
      <c r="A64" s="369" t="s">
        <v>270</v>
      </c>
      <c r="B64" s="377" t="s">
        <v>3</v>
      </c>
      <c r="C64" s="363" t="s">
        <v>293</v>
      </c>
      <c r="D64" s="359"/>
      <c r="E64" s="359"/>
      <c r="F64" s="359"/>
      <c r="G64" s="359"/>
      <c r="H64" s="359"/>
      <c r="I64" s="359"/>
      <c r="J64" s="359"/>
      <c r="K64" s="359"/>
    </row>
    <row r="65" spans="1:12" ht="15.75" x14ac:dyDescent="0.25">
      <c r="A65" s="364">
        <v>1</v>
      </c>
      <c r="B65" s="378" t="s">
        <v>294</v>
      </c>
      <c r="C65" s="379">
        <v>15379.37</v>
      </c>
      <c r="D65" s="359"/>
      <c r="E65" s="359"/>
      <c r="F65" s="359"/>
      <c r="G65" s="359"/>
      <c r="H65" s="359"/>
      <c r="I65" s="359"/>
      <c r="J65" s="359"/>
      <c r="K65" s="359"/>
    </row>
    <row r="66" spans="1:12" ht="15.75" x14ac:dyDescent="0.25">
      <c r="A66" s="364">
        <v>2</v>
      </c>
      <c r="B66" s="378" t="s">
        <v>295</v>
      </c>
      <c r="C66" s="379">
        <v>8847</v>
      </c>
      <c r="D66" s="359"/>
      <c r="E66" s="359"/>
      <c r="F66" s="359"/>
      <c r="G66" s="359"/>
      <c r="H66" s="359"/>
      <c r="I66" s="359"/>
      <c r="J66" s="359"/>
      <c r="K66" s="359"/>
    </row>
    <row r="67" spans="1:12" ht="18" x14ac:dyDescent="0.25">
      <c r="A67" s="364">
        <v>3</v>
      </c>
      <c r="B67" s="365" t="s">
        <v>296</v>
      </c>
      <c r="C67" s="379">
        <v>949.63</v>
      </c>
      <c r="D67" s="359"/>
      <c r="E67" s="359"/>
      <c r="F67" s="359"/>
      <c r="G67" s="359"/>
      <c r="H67" s="359"/>
      <c r="I67" s="359"/>
      <c r="J67" s="359"/>
      <c r="K67" s="359"/>
    </row>
    <row r="68" spans="1:12" ht="15.75" x14ac:dyDescent="0.25">
      <c r="A68" s="364">
        <v>4</v>
      </c>
      <c r="B68" s="365" t="s">
        <v>297</v>
      </c>
      <c r="C68" s="379">
        <v>5359.87</v>
      </c>
      <c r="D68" s="359"/>
      <c r="E68" s="359"/>
      <c r="F68" s="359"/>
      <c r="G68" s="359"/>
      <c r="H68" s="359"/>
      <c r="I68" s="359"/>
      <c r="J68" s="359"/>
      <c r="K68" s="359"/>
    </row>
    <row r="69" spans="1:12" ht="18" x14ac:dyDescent="0.25">
      <c r="A69" s="364">
        <v>5</v>
      </c>
      <c r="B69" s="365" t="s">
        <v>298</v>
      </c>
      <c r="C69" s="379">
        <v>4290.63</v>
      </c>
      <c r="D69" s="359"/>
      <c r="E69" s="359"/>
      <c r="F69" s="359"/>
      <c r="G69" s="359"/>
      <c r="H69" s="359"/>
      <c r="I69" s="359"/>
      <c r="J69" s="359"/>
      <c r="K69" s="359"/>
    </row>
    <row r="70" spans="1:12" ht="18" x14ac:dyDescent="0.25">
      <c r="A70" s="364">
        <v>5</v>
      </c>
      <c r="B70" s="365" t="s">
        <v>299</v>
      </c>
      <c r="C70" s="379">
        <v>2088.85</v>
      </c>
      <c r="D70" s="359"/>
      <c r="E70" s="359"/>
      <c r="F70" s="359"/>
      <c r="G70" s="359"/>
      <c r="H70" s="359"/>
      <c r="I70" s="359"/>
      <c r="J70" s="359"/>
      <c r="K70" s="359"/>
    </row>
    <row r="71" spans="1:12" ht="15.75" x14ac:dyDescent="0.25">
      <c r="A71" s="364">
        <v>7</v>
      </c>
      <c r="B71" s="365" t="s">
        <v>300</v>
      </c>
      <c r="C71" s="379">
        <v>1092.6500000000001</v>
      </c>
      <c r="D71" s="359"/>
      <c r="E71" s="359"/>
      <c r="F71" s="359"/>
      <c r="G71" s="359"/>
      <c r="H71" s="359"/>
      <c r="I71" s="359"/>
      <c r="J71" s="359"/>
      <c r="K71" s="359"/>
    </row>
    <row r="72" spans="1:12" ht="15.75" x14ac:dyDescent="0.25">
      <c r="A72" s="364">
        <v>8</v>
      </c>
      <c r="B72" s="365" t="s">
        <v>301</v>
      </c>
      <c r="C72" s="379">
        <v>1086.8499999999999</v>
      </c>
      <c r="D72" s="359"/>
      <c r="E72" s="359"/>
      <c r="F72" s="359"/>
      <c r="G72" s="359"/>
      <c r="H72" s="359"/>
      <c r="I72" s="359"/>
      <c r="J72" s="359"/>
      <c r="K72" s="359"/>
    </row>
    <row r="73" spans="1:12" ht="15.75" x14ac:dyDescent="0.25">
      <c r="A73" s="380"/>
      <c r="B73" s="359"/>
      <c r="C73" s="359"/>
      <c r="D73" s="359"/>
      <c r="E73" s="359"/>
      <c r="F73" s="359"/>
      <c r="G73" s="359"/>
      <c r="H73" s="359"/>
      <c r="I73" s="359"/>
      <c r="J73" s="359"/>
      <c r="K73" s="359"/>
    </row>
    <row r="74" spans="1:12" ht="15.75" x14ac:dyDescent="0.25">
      <c r="A74" s="381" t="s">
        <v>302</v>
      </c>
      <c r="B74" s="382"/>
      <c r="C74" s="382"/>
      <c r="D74" s="382"/>
      <c r="E74" s="382"/>
      <c r="F74" s="382"/>
      <c r="G74" s="382"/>
      <c r="H74" s="359"/>
      <c r="I74" s="359"/>
      <c r="J74" s="359"/>
      <c r="K74" s="359"/>
    </row>
    <row r="75" spans="1:12" ht="15.75" x14ac:dyDescent="0.25">
      <c r="A75" s="362"/>
      <c r="B75" s="359"/>
      <c r="C75" s="359"/>
      <c r="D75" s="359"/>
      <c r="E75" s="359"/>
      <c r="F75" s="359"/>
      <c r="G75" s="359"/>
      <c r="H75" s="359"/>
      <c r="I75" s="359"/>
      <c r="J75" s="359"/>
      <c r="K75" s="359"/>
    </row>
    <row r="76" spans="1:12" ht="15.75" x14ac:dyDescent="0.25">
      <c r="A76" s="362" t="s">
        <v>303</v>
      </c>
      <c r="B76" s="359"/>
      <c r="C76" s="359"/>
      <c r="D76" s="359"/>
      <c r="E76" s="359"/>
      <c r="F76" s="359"/>
      <c r="G76" s="359"/>
      <c r="H76" s="359"/>
      <c r="I76" s="359"/>
      <c r="J76" s="359"/>
      <c r="K76" s="359"/>
    </row>
    <row r="79" spans="1:12" ht="81.75" x14ac:dyDescent="0.2">
      <c r="B79" s="383"/>
      <c r="C79" s="384" t="s">
        <v>307</v>
      </c>
      <c r="D79" s="384" t="s">
        <v>308</v>
      </c>
      <c r="E79" s="384" t="s">
        <v>309</v>
      </c>
      <c r="F79" s="384" t="s">
        <v>310</v>
      </c>
      <c r="G79" s="384" t="s">
        <v>311</v>
      </c>
      <c r="H79" s="384" t="s">
        <v>312</v>
      </c>
      <c r="I79" s="384" t="s">
        <v>313</v>
      </c>
      <c r="J79" s="385" t="s">
        <v>314</v>
      </c>
      <c r="K79" s="386" t="s">
        <v>137</v>
      </c>
      <c r="L79" s="386" t="s">
        <v>236</v>
      </c>
    </row>
    <row r="80" spans="1:12" x14ac:dyDescent="0.2">
      <c r="B80" s="387" t="s">
        <v>317</v>
      </c>
      <c r="C80" s="397">
        <f>C41</f>
        <v>3035</v>
      </c>
      <c r="D80" s="387">
        <v>0.21</v>
      </c>
      <c r="E80" s="387">
        <f>D80+C43/100</f>
        <v>0.21509999999999999</v>
      </c>
      <c r="F80" s="388">
        <f>(C80*(E80-D80))/(1-E80)</f>
        <v>19.720346540960605</v>
      </c>
      <c r="G80" s="388">
        <f>F80*60</f>
        <v>1183.2207924576364</v>
      </c>
      <c r="H80" s="388">
        <f>G80*24</f>
        <v>28397.299018983274</v>
      </c>
      <c r="I80" s="388">
        <f>H80*350/1000</f>
        <v>9939.0546566441462</v>
      </c>
      <c r="J80" s="389">
        <f>I80/700</f>
        <v>14.198649509491638</v>
      </c>
      <c r="K80" s="390"/>
      <c r="L80" s="383"/>
    </row>
    <row r="81" spans="1:12" x14ac:dyDescent="0.2">
      <c r="B81" s="387" t="s">
        <v>318</v>
      </c>
      <c r="C81" s="397">
        <f>D41</f>
        <v>2930</v>
      </c>
      <c r="D81" s="387">
        <v>0.21</v>
      </c>
      <c r="E81" s="391">
        <f>D81+D43/100</f>
        <v>0.2228</v>
      </c>
      <c r="F81" s="388">
        <f>(C81*(E81-D81))/(1-E81)</f>
        <v>48.255275347400953</v>
      </c>
      <c r="G81" s="388">
        <f>F81*60</f>
        <v>2895.3165208440573</v>
      </c>
      <c r="H81" s="388">
        <f>G81*24</f>
        <v>69487.596500257379</v>
      </c>
      <c r="I81" s="388">
        <f>H81*350/1000</f>
        <v>24320.658775090084</v>
      </c>
      <c r="J81" s="389">
        <f>I81/700</f>
        <v>34.743798250128691</v>
      </c>
      <c r="K81" s="392">
        <f>I80+I81</f>
        <v>34259.713431734228</v>
      </c>
      <c r="L81" s="392">
        <f>I84+I85</f>
        <v>124937.33092105263</v>
      </c>
    </row>
    <row r="82" spans="1:12" x14ac:dyDescent="0.2">
      <c r="B82" s="393"/>
      <c r="C82" s="393"/>
      <c r="D82" s="393"/>
      <c r="E82" s="394"/>
      <c r="F82" s="395"/>
      <c r="G82" s="395"/>
      <c r="H82" s="395"/>
      <c r="I82" s="395"/>
      <c r="J82" s="396"/>
      <c r="K82" s="383"/>
      <c r="L82" s="383"/>
    </row>
    <row r="83" spans="1:12" x14ac:dyDescent="0.2">
      <c r="B83" s="387" t="s">
        <v>315</v>
      </c>
      <c r="C83" s="387"/>
      <c r="D83" s="387"/>
      <c r="E83" s="387"/>
      <c r="F83" s="387"/>
      <c r="G83" s="388">
        <f>F83*60</f>
        <v>0</v>
      </c>
      <c r="H83" s="388">
        <f>G83*24</f>
        <v>0</v>
      </c>
      <c r="I83" s="388">
        <f>H83*350</f>
        <v>0</v>
      </c>
      <c r="J83" s="389">
        <f>I83/700</f>
        <v>0</v>
      </c>
      <c r="K83" s="390"/>
      <c r="L83" s="383"/>
    </row>
    <row r="84" spans="1:12" x14ac:dyDescent="0.2">
      <c r="B84" s="387" t="s">
        <v>319</v>
      </c>
      <c r="C84" s="388">
        <f>E41</f>
        <v>3223.92875</v>
      </c>
      <c r="D84" s="387">
        <v>0.21</v>
      </c>
      <c r="E84" s="391">
        <f>D84+E43/100</f>
        <v>0.24</v>
      </c>
      <c r="F84" s="388">
        <f>(C84*(E84-D84))/(1-E84)</f>
        <v>127.26034539473683</v>
      </c>
      <c r="G84" s="388">
        <f>F84*60</f>
        <v>7635.6207236842101</v>
      </c>
      <c r="H84" s="388">
        <f>G84*24</f>
        <v>183254.89736842105</v>
      </c>
      <c r="I84" s="388">
        <f>H84*350/1000</f>
        <v>64139.214078947363</v>
      </c>
      <c r="J84" s="389">
        <f>I84/700</f>
        <v>91.62744868421052</v>
      </c>
      <c r="K84" s="390"/>
      <c r="L84" s="383"/>
    </row>
    <row r="85" spans="1:12" x14ac:dyDescent="0.2">
      <c r="B85" s="387" t="s">
        <v>316</v>
      </c>
      <c r="C85" s="388">
        <f>F41</f>
        <v>3055.99</v>
      </c>
      <c r="D85" s="387">
        <v>0.21</v>
      </c>
      <c r="E85" s="391">
        <f>D85+F43/100</f>
        <v>0.24</v>
      </c>
      <c r="F85" s="388">
        <f>(C85*(E85-D85))/(1-E85)</f>
        <v>120.63118421052631</v>
      </c>
      <c r="G85" s="388">
        <f>F85*60</f>
        <v>7237.871052631579</v>
      </c>
      <c r="H85" s="388">
        <f>G85*24</f>
        <v>173708.90526315791</v>
      </c>
      <c r="I85" s="388">
        <f>H85*350/1000</f>
        <v>60798.116842105272</v>
      </c>
      <c r="J85" s="389">
        <f>I85/700</f>
        <v>86.854452631578965</v>
      </c>
      <c r="K85" s="383"/>
      <c r="L85" s="383"/>
    </row>
    <row r="86" spans="1:12" x14ac:dyDescent="0.2">
      <c r="B86" s="390"/>
      <c r="C86" s="389"/>
      <c r="D86" s="390"/>
      <c r="E86" s="434"/>
      <c r="F86" s="389"/>
      <c r="G86" s="389"/>
      <c r="H86" s="389"/>
      <c r="I86" s="389"/>
      <c r="J86" s="389"/>
      <c r="K86" s="383"/>
      <c r="L86" s="383"/>
    </row>
    <row r="87" spans="1:12" x14ac:dyDescent="0.2">
      <c r="A87" s="383"/>
      <c r="B87" s="435" t="s">
        <v>355</v>
      </c>
      <c r="C87" s="436"/>
      <c r="D87" s="383"/>
      <c r="E87" s="434"/>
      <c r="F87" s="389"/>
      <c r="G87" s="389"/>
      <c r="H87" s="389"/>
      <c r="I87" s="389"/>
      <c r="J87" s="389"/>
      <c r="K87" s="383"/>
      <c r="L87" s="383"/>
    </row>
    <row r="88" spans="1:12" x14ac:dyDescent="0.2">
      <c r="A88" s="383"/>
      <c r="B88" s="436"/>
      <c r="C88" s="436"/>
      <c r="D88" s="383"/>
      <c r="E88" s="434"/>
      <c r="F88" s="389"/>
      <c r="G88" s="389"/>
      <c r="H88" s="389"/>
      <c r="I88" s="389"/>
      <c r="J88" s="389"/>
      <c r="K88" s="383"/>
      <c r="L88" s="383"/>
    </row>
    <row r="89" spans="1:12" x14ac:dyDescent="0.2">
      <c r="A89" s="383" t="s">
        <v>356</v>
      </c>
      <c r="B89" s="436" t="s">
        <v>274</v>
      </c>
      <c r="C89" s="436">
        <f>907*24*350/1000</f>
        <v>7618.8</v>
      </c>
      <c r="D89" s="383"/>
      <c r="E89" s="434"/>
      <c r="F89" s="389"/>
      <c r="G89" s="389"/>
      <c r="H89" s="389"/>
      <c r="I89" s="389"/>
      <c r="J89" s="389"/>
      <c r="K89" s="383"/>
      <c r="L89" s="383"/>
    </row>
    <row r="90" spans="1:12" x14ac:dyDescent="0.2">
      <c r="A90" s="383"/>
      <c r="B90" s="436" t="s">
        <v>275</v>
      </c>
      <c r="C90" s="436">
        <f>2275*24*350/1000</f>
        <v>19110</v>
      </c>
      <c r="D90" s="383">
        <f>C89+C90</f>
        <v>26728.799999999999</v>
      </c>
      <c r="E90" s="434"/>
      <c r="F90" s="389"/>
      <c r="G90" s="389"/>
      <c r="H90" s="389"/>
      <c r="I90" s="389"/>
      <c r="J90" s="389"/>
      <c r="K90" s="383"/>
      <c r="L90" s="383"/>
    </row>
    <row r="91" spans="1:12" x14ac:dyDescent="0.2">
      <c r="A91" s="383"/>
      <c r="B91" s="436"/>
      <c r="C91" s="436"/>
      <c r="D91" s="383"/>
      <c r="E91" s="434"/>
      <c r="F91" s="389"/>
      <c r="G91" s="389"/>
      <c r="H91" s="389"/>
      <c r="I91" s="389"/>
      <c r="J91" s="389"/>
      <c r="K91" s="383"/>
      <c r="L91" s="383"/>
    </row>
    <row r="92" spans="1:12" x14ac:dyDescent="0.2">
      <c r="A92" s="383" t="s">
        <v>357</v>
      </c>
      <c r="B92" s="436" t="s">
        <v>274</v>
      </c>
      <c r="C92" s="436">
        <f>4673*24*350/1000</f>
        <v>39253.199999999997</v>
      </c>
      <c r="D92" s="383">
        <f>C92+C93</f>
        <v>77456.399999999994</v>
      </c>
      <c r="E92" s="434"/>
      <c r="F92" s="389"/>
      <c r="G92" s="389"/>
      <c r="H92" s="389"/>
      <c r="I92" s="389"/>
      <c r="J92" s="389"/>
      <c r="K92" s="383"/>
      <c r="L92" s="383"/>
    </row>
    <row r="93" spans="1:12" x14ac:dyDescent="0.2">
      <c r="A93" s="383"/>
      <c r="B93" s="436" t="s">
        <v>275</v>
      </c>
      <c r="C93" s="436">
        <f>4548*24*350/1000</f>
        <v>38203.199999999997</v>
      </c>
      <c r="D93" s="383"/>
      <c r="E93" s="434"/>
      <c r="F93" s="389"/>
      <c r="G93" s="389"/>
      <c r="H93" s="389"/>
      <c r="I93" s="389"/>
      <c r="J93" s="389"/>
      <c r="K93" s="383"/>
      <c r="L93" s="383"/>
    </row>
    <row r="94" spans="1:12" x14ac:dyDescent="0.2">
      <c r="A94" s="383"/>
      <c r="B94" s="436"/>
      <c r="C94" s="436"/>
      <c r="D94" s="383">
        <f>D92-D90</f>
        <v>50727.599999999991</v>
      </c>
      <c r="E94" s="434"/>
      <c r="F94" s="389"/>
      <c r="G94" s="389"/>
      <c r="H94" s="389"/>
      <c r="I94" s="389"/>
      <c r="J94" s="389"/>
      <c r="K94" s="383"/>
      <c r="L94" s="383"/>
    </row>
    <row r="95" spans="1:12" x14ac:dyDescent="0.2">
      <c r="B95" s="390"/>
      <c r="C95" s="389"/>
      <c r="D95" s="390"/>
      <c r="E95" s="434"/>
      <c r="F95" s="389"/>
      <c r="G95" s="389"/>
      <c r="H95" s="389"/>
      <c r="I95" s="389"/>
      <c r="J95" s="389"/>
      <c r="K95" s="383"/>
      <c r="L95" s="383"/>
    </row>
    <row r="97" spans="1:10" ht="15.75" x14ac:dyDescent="0.25">
      <c r="A97" s="398"/>
      <c r="B97" s="399" t="s">
        <v>320</v>
      </c>
      <c r="C97" s="80"/>
      <c r="D97" s="80"/>
      <c r="E97" s="80"/>
      <c r="F97" s="80"/>
      <c r="G97" s="80"/>
      <c r="H97" s="80"/>
      <c r="I97" s="80"/>
      <c r="J97" s="80"/>
    </row>
    <row r="98" spans="1:10" x14ac:dyDescent="0.2">
      <c r="A98" s="398">
        <v>1</v>
      </c>
      <c r="B98" s="80" t="s">
        <v>321</v>
      </c>
      <c r="C98" s="80"/>
      <c r="D98" s="80"/>
      <c r="E98" s="80"/>
      <c r="F98" s="80" t="s">
        <v>322</v>
      </c>
      <c r="G98" s="80">
        <f>C41*0.055+D41*0.048</f>
        <v>307.56500000000005</v>
      </c>
      <c r="H98" s="80" t="s">
        <v>231</v>
      </c>
      <c r="I98" s="400"/>
      <c r="J98" s="80"/>
    </row>
    <row r="99" spans="1:10" x14ac:dyDescent="0.2">
      <c r="A99" s="398"/>
      <c r="B99" s="80" t="s">
        <v>323</v>
      </c>
      <c r="C99" s="80"/>
      <c r="D99" s="80"/>
      <c r="E99" s="80"/>
      <c r="F99" s="80" t="s">
        <v>322</v>
      </c>
      <c r="G99" s="80">
        <v>15</v>
      </c>
      <c r="H99" s="80" t="s">
        <v>324</v>
      </c>
      <c r="I99" s="80" t="s">
        <v>362</v>
      </c>
      <c r="J99" s="80"/>
    </row>
    <row r="100" spans="1:10" x14ac:dyDescent="0.2">
      <c r="A100" s="398"/>
      <c r="B100" s="80" t="s">
        <v>325</v>
      </c>
      <c r="C100" s="80"/>
      <c r="D100" s="80"/>
      <c r="E100" s="80"/>
      <c r="F100" s="80" t="s">
        <v>322</v>
      </c>
      <c r="G100" s="401">
        <f>G98/G99</f>
        <v>20.504333333333339</v>
      </c>
      <c r="H100" s="80" t="s">
        <v>326</v>
      </c>
      <c r="I100" s="80"/>
      <c r="J100" s="80"/>
    </row>
    <row r="101" spans="1:10" x14ac:dyDescent="0.2">
      <c r="A101" s="398"/>
      <c r="B101" s="80"/>
      <c r="C101" s="80"/>
      <c r="D101" s="80"/>
      <c r="E101" s="80"/>
      <c r="F101" s="80"/>
      <c r="G101" s="80"/>
      <c r="H101" s="80"/>
      <c r="I101" s="80"/>
      <c r="J101" s="80"/>
    </row>
    <row r="102" spans="1:10" x14ac:dyDescent="0.2">
      <c r="A102" s="398">
        <v>2</v>
      </c>
      <c r="B102" s="80" t="s">
        <v>327</v>
      </c>
      <c r="C102" s="80"/>
      <c r="D102" s="80"/>
      <c r="E102" s="80"/>
      <c r="F102" s="80"/>
      <c r="G102" s="80"/>
      <c r="H102" s="80"/>
      <c r="I102" s="80"/>
      <c r="J102" s="80"/>
    </row>
    <row r="103" spans="1:10" x14ac:dyDescent="0.2">
      <c r="A103" s="398"/>
      <c r="B103" s="80" t="s">
        <v>321</v>
      </c>
      <c r="C103" s="80"/>
      <c r="D103" s="80"/>
      <c r="E103" s="80"/>
      <c r="F103" s="80" t="s">
        <v>322</v>
      </c>
      <c r="G103" s="84">
        <f>E41*0.1+F41*0.1</f>
        <v>627.99187499999994</v>
      </c>
      <c r="H103" s="80" t="s">
        <v>231</v>
      </c>
      <c r="I103" s="80"/>
      <c r="J103" s="80"/>
    </row>
    <row r="104" spans="1:10" x14ac:dyDescent="0.2">
      <c r="A104" s="398"/>
      <c r="B104" s="80" t="s">
        <v>328</v>
      </c>
      <c r="C104" s="80"/>
      <c r="D104" s="80"/>
      <c r="E104" s="80"/>
      <c r="F104" s="80" t="s">
        <v>322</v>
      </c>
      <c r="G104" s="80">
        <f>15+22</f>
        <v>37</v>
      </c>
      <c r="H104" s="80" t="s">
        <v>324</v>
      </c>
      <c r="I104" s="80"/>
      <c r="J104" s="80"/>
    </row>
    <row r="105" spans="1:10" x14ac:dyDescent="0.2">
      <c r="A105" s="398"/>
      <c r="B105" s="80" t="s">
        <v>325</v>
      </c>
      <c r="C105" s="80"/>
      <c r="D105" s="80"/>
      <c r="E105" s="80"/>
      <c r="F105" s="80" t="s">
        <v>322</v>
      </c>
      <c r="G105" s="401">
        <f>G103/G104</f>
        <v>16.972753378378378</v>
      </c>
      <c r="H105" s="80" t="s">
        <v>326</v>
      </c>
      <c r="I105" s="80"/>
      <c r="J105" s="80"/>
    </row>
    <row r="106" spans="1:10" x14ac:dyDescent="0.2">
      <c r="A106" s="398">
        <v>3</v>
      </c>
      <c r="B106" s="80" t="s">
        <v>329</v>
      </c>
      <c r="C106" s="80"/>
      <c r="D106" s="80"/>
      <c r="E106" s="80"/>
      <c r="F106" s="80"/>
      <c r="G106" s="80">
        <v>3000</v>
      </c>
      <c r="H106" s="80" t="s">
        <v>330</v>
      </c>
      <c r="I106" s="80"/>
      <c r="J106" s="80"/>
    </row>
    <row r="107" spans="1:10" x14ac:dyDescent="0.2">
      <c r="A107" s="398"/>
      <c r="B107" s="80" t="s">
        <v>331</v>
      </c>
      <c r="C107" s="80"/>
      <c r="D107" s="80"/>
      <c r="E107" s="80"/>
      <c r="F107" s="80"/>
      <c r="G107" s="80">
        <f>G106*2</f>
        <v>6000</v>
      </c>
      <c r="H107" s="80" t="s">
        <v>330</v>
      </c>
      <c r="I107" s="80" t="s">
        <v>363</v>
      </c>
      <c r="J107" s="80"/>
    </row>
    <row r="108" spans="1:10" ht="15.75" x14ac:dyDescent="0.25">
      <c r="A108" s="398">
        <v>4</v>
      </c>
      <c r="B108" s="80" t="s">
        <v>345</v>
      </c>
      <c r="C108" s="80"/>
      <c r="D108" s="80"/>
      <c r="E108" s="80"/>
      <c r="F108" s="80" t="s">
        <v>322</v>
      </c>
      <c r="G108" s="402">
        <v>1500</v>
      </c>
      <c r="H108" s="80" t="s">
        <v>330</v>
      </c>
      <c r="I108" s="80"/>
      <c r="J108" s="80"/>
    </row>
    <row r="109" spans="1:10" x14ac:dyDescent="0.2">
      <c r="A109" s="398">
        <v>5</v>
      </c>
      <c r="B109" s="80" t="s">
        <v>332</v>
      </c>
      <c r="C109" s="80"/>
      <c r="D109" s="80"/>
      <c r="E109" s="80"/>
      <c r="F109" s="80" t="s">
        <v>322</v>
      </c>
      <c r="G109" s="80">
        <f>G108</f>
        <v>1500</v>
      </c>
      <c r="H109" s="80" t="s">
        <v>330</v>
      </c>
      <c r="I109" s="80"/>
      <c r="J109" s="80"/>
    </row>
    <row r="110" spans="1:10" x14ac:dyDescent="0.2">
      <c r="A110" s="398"/>
      <c r="B110" s="80"/>
      <c r="C110" s="80"/>
      <c r="D110" s="80"/>
      <c r="E110" s="80"/>
      <c r="F110" s="80"/>
      <c r="G110" s="80"/>
      <c r="H110" s="80"/>
      <c r="I110" s="80"/>
      <c r="J110" s="80"/>
    </row>
    <row r="111" spans="1:10" ht="15.75" x14ac:dyDescent="0.25">
      <c r="A111" s="398"/>
      <c r="B111" s="80"/>
      <c r="C111" s="80"/>
      <c r="D111" s="403" t="s">
        <v>137</v>
      </c>
      <c r="E111" s="398"/>
      <c r="F111" s="398"/>
      <c r="G111" s="403" t="s">
        <v>236</v>
      </c>
      <c r="H111" s="80"/>
      <c r="I111" s="80"/>
      <c r="J111" s="80"/>
    </row>
    <row r="112" spans="1:10" ht="15.75" x14ac:dyDescent="0.25">
      <c r="A112" s="80" t="s">
        <v>20</v>
      </c>
      <c r="B112" s="404" t="s">
        <v>333</v>
      </c>
      <c r="C112" s="80"/>
      <c r="D112" s="405">
        <f>G106*G100*350/1000</f>
        <v>21529.550000000003</v>
      </c>
      <c r="E112" s="80"/>
      <c r="F112" s="80"/>
      <c r="G112" s="405">
        <f>G107*G105*350/1000</f>
        <v>35642.782094594593</v>
      </c>
      <c r="H112" s="80" t="s">
        <v>334</v>
      </c>
      <c r="I112" s="80"/>
      <c r="J112" s="80"/>
    </row>
    <row r="113" spans="1:10" ht="15.75" x14ac:dyDescent="0.25">
      <c r="A113" s="80"/>
      <c r="B113" s="404" t="s">
        <v>335</v>
      </c>
      <c r="C113" s="80"/>
      <c r="D113" s="406">
        <f>(G108*24*350+G109*24*350)/1000</f>
        <v>25200</v>
      </c>
      <c r="E113" s="80"/>
      <c r="F113" s="80"/>
      <c r="G113" s="406">
        <f>D113</f>
        <v>25200</v>
      </c>
      <c r="H113" s="80" t="s">
        <v>334</v>
      </c>
      <c r="I113" s="80"/>
      <c r="J113" s="80"/>
    </row>
    <row r="114" spans="1:10" ht="15.75" x14ac:dyDescent="0.25">
      <c r="A114" s="398"/>
      <c r="B114" s="80"/>
      <c r="C114" s="407" t="s">
        <v>4</v>
      </c>
      <c r="D114" s="408">
        <f>D112+D113</f>
        <v>46729.55</v>
      </c>
      <c r="E114" s="409"/>
      <c r="F114" s="409"/>
      <c r="G114" s="408">
        <f>G112+G113</f>
        <v>60842.782094594593</v>
      </c>
      <c r="H114" s="80" t="s">
        <v>334</v>
      </c>
      <c r="I114" s="433">
        <f>G114-D114</f>
        <v>14113.23209459459</v>
      </c>
      <c r="J114" s="80"/>
    </row>
    <row r="115" spans="1:10" x14ac:dyDescent="0.2">
      <c r="A115" s="398"/>
      <c r="B115" s="80"/>
      <c r="C115" s="80"/>
      <c r="D115" s="80"/>
      <c r="E115" s="80"/>
      <c r="F115" s="80"/>
      <c r="G115" s="80"/>
      <c r="H115" s="80"/>
      <c r="I115" s="80"/>
      <c r="J115" s="80"/>
    </row>
    <row r="116" spans="1:10" ht="15.75" x14ac:dyDescent="0.25">
      <c r="A116" s="398" t="s">
        <v>21</v>
      </c>
      <c r="B116" s="403" t="s">
        <v>336</v>
      </c>
      <c r="C116" s="80"/>
      <c r="D116" s="80"/>
      <c r="E116" s="80"/>
      <c r="F116" s="80"/>
      <c r="G116" s="80"/>
      <c r="H116" s="80"/>
      <c r="I116" s="80"/>
      <c r="J116" s="80">
        <f>G118*G105*350</f>
        <v>95047418.918918923</v>
      </c>
    </row>
    <row r="117" spans="1:10" ht="15.75" x14ac:dyDescent="0.25">
      <c r="A117" s="398"/>
      <c r="B117" s="80" t="s">
        <v>337</v>
      </c>
      <c r="C117" s="80"/>
      <c r="D117" s="80"/>
      <c r="E117" s="80"/>
      <c r="F117" s="80"/>
      <c r="G117" s="402">
        <v>8000</v>
      </c>
      <c r="H117" s="80" t="s">
        <v>330</v>
      </c>
      <c r="I117" s="80"/>
      <c r="J117" s="80"/>
    </row>
    <row r="118" spans="1:10" x14ac:dyDescent="0.2">
      <c r="A118" s="398"/>
      <c r="B118" s="80" t="s">
        <v>338</v>
      </c>
      <c r="C118" s="80"/>
      <c r="D118" s="80"/>
      <c r="E118" s="80"/>
      <c r="F118" s="80"/>
      <c r="G118" s="80">
        <f>G117*2</f>
        <v>16000</v>
      </c>
      <c r="H118" s="80" t="s">
        <v>330</v>
      </c>
      <c r="I118" s="80" t="s">
        <v>364</v>
      </c>
      <c r="J118" s="80"/>
    </row>
    <row r="119" spans="1:10" x14ac:dyDescent="0.2">
      <c r="A119" s="398"/>
      <c r="B119" s="80"/>
      <c r="C119" s="80"/>
      <c r="D119" s="80"/>
      <c r="E119" s="80"/>
      <c r="F119" s="80"/>
      <c r="G119" s="80"/>
      <c r="H119" s="80"/>
      <c r="I119" s="80"/>
      <c r="J119" s="80"/>
    </row>
    <row r="120" spans="1:10" ht="15.75" x14ac:dyDescent="0.25">
      <c r="A120" s="398"/>
      <c r="B120" s="80"/>
      <c r="C120" s="80"/>
      <c r="D120" s="403" t="s">
        <v>137</v>
      </c>
      <c r="E120" s="398"/>
      <c r="F120" s="398"/>
      <c r="G120" s="403" t="s">
        <v>236</v>
      </c>
      <c r="H120" s="80"/>
      <c r="I120" s="80"/>
      <c r="J120" s="80"/>
    </row>
    <row r="121" spans="1:10" ht="15.75" x14ac:dyDescent="0.25">
      <c r="A121" s="80"/>
      <c r="B121" s="404" t="s">
        <v>339</v>
      </c>
      <c r="C121" s="80"/>
      <c r="D121" s="410">
        <f>G117*G100*350</f>
        <v>57412133.333333351</v>
      </c>
      <c r="E121" s="411"/>
      <c r="F121" s="411"/>
      <c r="G121" s="410">
        <f>G118*G105*350</f>
        <v>95047418.918918923</v>
      </c>
      <c r="H121" s="82" t="s">
        <v>340</v>
      </c>
      <c r="I121" s="80"/>
      <c r="J121" s="80"/>
    </row>
    <row r="122" spans="1:10" x14ac:dyDescent="0.2">
      <c r="A122" s="398"/>
      <c r="B122" s="80"/>
      <c r="C122" s="80"/>
      <c r="D122" s="80"/>
      <c r="E122" s="80"/>
      <c r="F122" s="80"/>
      <c r="G122" s="80"/>
      <c r="H122" s="80"/>
      <c r="I122" s="80"/>
      <c r="J122" s="80"/>
    </row>
    <row r="123" spans="1:10" ht="15.75" x14ac:dyDescent="0.25">
      <c r="A123" s="398" t="s">
        <v>22</v>
      </c>
      <c r="B123" s="403" t="s">
        <v>341</v>
      </c>
      <c r="C123" s="80"/>
      <c r="D123" s="80"/>
      <c r="E123" s="80"/>
      <c r="F123" s="80"/>
      <c r="G123" s="80"/>
      <c r="H123" s="80"/>
      <c r="I123" s="80"/>
      <c r="J123" s="80"/>
    </row>
    <row r="124" spans="1:10" ht="15.75" x14ac:dyDescent="0.25">
      <c r="A124" s="398"/>
      <c r="B124" s="80" t="s">
        <v>342</v>
      </c>
      <c r="C124" s="80"/>
      <c r="D124" s="80"/>
      <c r="E124" s="80"/>
      <c r="F124" s="80"/>
      <c r="G124" s="402">
        <v>75</v>
      </c>
      <c r="H124" s="80" t="s">
        <v>330</v>
      </c>
      <c r="I124" s="80"/>
      <c r="J124" s="80"/>
    </row>
    <row r="125" spans="1:10" x14ac:dyDescent="0.2">
      <c r="A125" s="398"/>
      <c r="B125" s="80" t="s">
        <v>343</v>
      </c>
      <c r="C125" s="80"/>
      <c r="D125" s="80"/>
      <c r="E125" s="80"/>
      <c r="F125" s="80"/>
      <c r="G125" s="80">
        <f>G124*2</f>
        <v>150</v>
      </c>
      <c r="H125" s="80" t="s">
        <v>330</v>
      </c>
      <c r="I125" s="80" t="s">
        <v>365</v>
      </c>
      <c r="J125" s="80"/>
    </row>
    <row r="126" spans="1:10" x14ac:dyDescent="0.2">
      <c r="A126" s="398"/>
      <c r="B126" s="80"/>
      <c r="C126" s="80"/>
      <c r="D126" s="80"/>
      <c r="E126" s="80"/>
      <c r="F126" s="80"/>
      <c r="G126" s="80"/>
      <c r="H126" s="80"/>
      <c r="I126" s="80"/>
      <c r="J126" s="80"/>
    </row>
    <row r="127" spans="1:10" ht="15.75" x14ac:dyDescent="0.25">
      <c r="A127" s="398"/>
      <c r="B127" s="80"/>
      <c r="C127" s="80"/>
      <c r="D127" s="403" t="s">
        <v>137</v>
      </c>
      <c r="E127" s="398"/>
      <c r="F127" s="398"/>
      <c r="G127" s="403" t="s">
        <v>236</v>
      </c>
      <c r="H127" s="80"/>
      <c r="I127" s="80"/>
      <c r="J127" s="80"/>
    </row>
    <row r="128" spans="1:10" ht="15.75" x14ac:dyDescent="0.25">
      <c r="A128" s="80"/>
      <c r="B128" s="404" t="s">
        <v>344</v>
      </c>
      <c r="C128" s="80"/>
      <c r="D128" s="410">
        <f>G124*G100*350</f>
        <v>538238.75000000023</v>
      </c>
      <c r="E128" s="411"/>
      <c r="F128" s="411"/>
      <c r="G128" s="410">
        <f>G125*G105*350</f>
        <v>891069.55236486485</v>
      </c>
      <c r="H128" s="82" t="s">
        <v>340</v>
      </c>
      <c r="I128" s="401">
        <f>G128-D128</f>
        <v>352830.80236486462</v>
      </c>
      <c r="J128" s="80"/>
    </row>
  </sheetData>
  <mergeCells count="15">
    <mergeCell ref="A3:G3"/>
    <mergeCell ref="A2:G2"/>
    <mergeCell ref="A5:G5"/>
    <mergeCell ref="I41:K41"/>
    <mergeCell ref="D47:E47"/>
    <mergeCell ref="F47:G47"/>
    <mergeCell ref="I16:J16"/>
    <mergeCell ref="C39:D39"/>
    <mergeCell ref="E39:F39"/>
    <mergeCell ref="G39:H39"/>
    <mergeCell ref="F15:G15"/>
    <mergeCell ref="I15:J15"/>
    <mergeCell ref="D7:E7"/>
    <mergeCell ref="F7:G7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  <pageSetUpPr fitToPage="1"/>
  </sheetPr>
  <dimension ref="A1:BS86"/>
  <sheetViews>
    <sheetView showZeros="0" workbookViewId="0">
      <selection activeCell="Y6" sqref="Y6"/>
    </sheetView>
  </sheetViews>
  <sheetFormatPr defaultRowHeight="15" x14ac:dyDescent="0.2"/>
  <cols>
    <col min="2" max="2" width="24.44140625" customWidth="1"/>
    <col min="4" max="4" width="13.21875" bestFit="1" customWidth="1"/>
    <col min="5" max="5" width="11.88671875" customWidth="1"/>
    <col min="6" max="6" width="8.33203125" bestFit="1" customWidth="1"/>
    <col min="7" max="7" width="16.88671875" customWidth="1"/>
    <col min="8" max="8" width="10" customWidth="1"/>
    <col min="9" max="9" width="10.21875" customWidth="1"/>
    <col min="10" max="10" width="8.33203125" bestFit="1" customWidth="1"/>
    <col min="11" max="11" width="7.5546875" bestFit="1" customWidth="1"/>
    <col min="21" max="21" width="8.33203125" bestFit="1" customWidth="1"/>
    <col min="22" max="22" width="11.109375" customWidth="1"/>
    <col min="23" max="23" width="41.88671875" customWidth="1"/>
    <col min="24" max="24" width="11.5546875" customWidth="1"/>
    <col min="25" max="25" width="9.88671875" customWidth="1"/>
    <col min="26" max="26" width="12.77734375" customWidth="1"/>
    <col min="27" max="27" width="9" bestFit="1" customWidth="1"/>
    <col min="28" max="28" width="10.33203125" customWidth="1"/>
    <col min="29" max="29" width="11.33203125" customWidth="1"/>
    <col min="30" max="30" width="11.21875" customWidth="1"/>
    <col min="31" max="31" width="10.5546875" customWidth="1"/>
    <col min="32" max="32" width="10.77734375" customWidth="1"/>
    <col min="33" max="33" width="10.21875" customWidth="1"/>
    <col min="34" max="34" width="10" customWidth="1"/>
    <col min="35" max="35" width="10.109375" customWidth="1"/>
    <col min="36" max="36" width="8.77734375" customWidth="1"/>
    <col min="37" max="37" width="9.44140625" customWidth="1"/>
    <col min="38" max="38" width="10.6640625" customWidth="1"/>
    <col min="39" max="39" width="11.44140625" customWidth="1"/>
    <col min="40" max="40" width="9.5546875" customWidth="1"/>
    <col min="41" max="41" width="10.88671875" customWidth="1"/>
    <col min="42" max="42" width="8.77734375" customWidth="1"/>
    <col min="43" max="43" width="9" customWidth="1"/>
    <col min="44" max="44" width="10.21875" customWidth="1"/>
    <col min="45" max="45" width="11.44140625" customWidth="1"/>
    <col min="46" max="46" width="10.33203125" customWidth="1"/>
    <col min="47" max="47" width="13.109375" customWidth="1"/>
    <col min="48" max="48" width="12.33203125" customWidth="1"/>
    <col min="49" max="49" width="11.44140625" customWidth="1"/>
    <col min="50" max="50" width="9.109375" customWidth="1"/>
    <col min="51" max="51" width="14.33203125" customWidth="1"/>
    <col min="52" max="52" width="11.5546875" customWidth="1"/>
  </cols>
  <sheetData>
    <row r="1" spans="1:71" ht="20.100000000000001" customHeight="1" x14ac:dyDescent="0.25">
      <c r="V1" s="10"/>
      <c r="W1" s="10" t="s">
        <v>1</v>
      </c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5" t="s">
        <v>130</v>
      </c>
      <c r="AT1" s="10"/>
      <c r="AU1" s="10"/>
    </row>
    <row r="2" spans="1:71" ht="20.100000000000001" customHeight="1" x14ac:dyDescent="0.25">
      <c r="B2" s="8" t="s">
        <v>133</v>
      </c>
      <c r="V2" s="10"/>
      <c r="W2" s="7" t="e">
        <f>#REF!</f>
        <v>#REF!</v>
      </c>
      <c r="X2" s="10"/>
      <c r="Y2" s="10"/>
      <c r="Z2" s="10"/>
      <c r="AA2" s="10"/>
      <c r="AB2" s="64"/>
      <c r="AC2" s="94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X2" s="17"/>
      <c r="AY2" s="18"/>
      <c r="AZ2" s="4"/>
      <c r="BA2" s="4"/>
      <c r="BB2" s="4"/>
      <c r="BC2" s="4"/>
      <c r="BD2" s="4"/>
      <c r="BE2" s="4"/>
      <c r="BF2" s="4"/>
      <c r="BG2" s="4"/>
    </row>
    <row r="3" spans="1:71" ht="20.100000000000001" customHeight="1" x14ac:dyDescent="0.25">
      <c r="B3" s="9" t="s">
        <v>6</v>
      </c>
      <c r="C3" s="9" t="s">
        <v>7</v>
      </c>
      <c r="D3" t="s">
        <v>33</v>
      </c>
      <c r="E3" t="s">
        <v>34</v>
      </c>
      <c r="F3" s="9" t="s">
        <v>5</v>
      </c>
      <c r="G3" t="s">
        <v>8</v>
      </c>
      <c r="H3" s="819" t="s">
        <v>35</v>
      </c>
      <c r="I3" s="819"/>
      <c r="V3" s="10"/>
      <c r="W3" s="16" t="e">
        <f>+#REF!</f>
        <v>#REF!</v>
      </c>
      <c r="X3" s="21"/>
      <c r="Y3" s="21"/>
      <c r="Z3" s="22" t="s">
        <v>40</v>
      </c>
      <c r="AA3" s="23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10"/>
      <c r="AN3" s="10"/>
      <c r="AO3" s="10"/>
      <c r="AP3" s="10"/>
      <c r="AQ3" s="10"/>
      <c r="AR3" s="10"/>
      <c r="AS3" s="10"/>
      <c r="AT3" s="10"/>
      <c r="AU3" s="10"/>
      <c r="AX3" s="4"/>
      <c r="AY3" s="4"/>
      <c r="AZ3" s="4"/>
      <c r="BA3" s="4"/>
      <c r="BB3" s="4"/>
      <c r="BC3" s="4"/>
      <c r="BD3" s="4"/>
      <c r="BE3" s="4"/>
      <c r="BF3" s="4"/>
      <c r="BG3" s="4"/>
    </row>
    <row r="4" spans="1:71" ht="20.100000000000001" customHeight="1" x14ac:dyDescent="0.25">
      <c r="B4" s="19"/>
      <c r="C4" s="20" t="s">
        <v>9</v>
      </c>
      <c r="D4" s="19" t="s">
        <v>36</v>
      </c>
      <c r="E4" s="19" t="s">
        <v>37</v>
      </c>
      <c r="F4" s="104" t="s">
        <v>153</v>
      </c>
      <c r="G4" s="19" t="s">
        <v>11</v>
      </c>
      <c r="H4" s="20" t="s">
        <v>30</v>
      </c>
      <c r="I4" s="20" t="s">
        <v>10</v>
      </c>
      <c r="J4" s="19" t="s">
        <v>38</v>
      </c>
      <c r="K4" s="19" t="s">
        <v>39</v>
      </c>
      <c r="V4" s="10"/>
      <c r="W4" s="25" t="s">
        <v>41</v>
      </c>
      <c r="X4" s="21"/>
      <c r="Y4" s="21"/>
      <c r="Z4" s="21"/>
      <c r="AA4" s="26"/>
      <c r="AB4" s="21"/>
      <c r="AC4" s="21"/>
      <c r="AD4" s="21"/>
      <c r="AE4" s="21"/>
      <c r="AF4" s="21"/>
      <c r="AG4" s="21"/>
      <c r="AH4" s="21"/>
      <c r="AI4" s="10"/>
      <c r="AJ4" s="21"/>
      <c r="AK4" s="21"/>
      <c r="AL4" s="21"/>
      <c r="AO4" s="10"/>
      <c r="AP4" s="10"/>
      <c r="AQ4" s="27" t="s">
        <v>126</v>
      </c>
      <c r="AS4" s="10"/>
      <c r="AT4" s="10"/>
      <c r="AU4" s="10"/>
      <c r="AX4" s="4"/>
      <c r="AY4" s="28"/>
      <c r="AZ4" s="28"/>
      <c r="BA4" s="28"/>
      <c r="BB4" s="28"/>
      <c r="BC4" s="28"/>
      <c r="BD4" s="28"/>
      <c r="BE4" s="28"/>
      <c r="BF4" s="28"/>
      <c r="BG4" s="28"/>
    </row>
    <row r="5" spans="1:71" ht="20.100000000000001" customHeight="1" x14ac:dyDescent="0.25">
      <c r="B5" s="24"/>
      <c r="C5" s="24"/>
      <c r="D5" s="24"/>
      <c r="E5" s="24"/>
      <c r="F5" s="24"/>
      <c r="G5" s="24"/>
      <c r="H5" s="24"/>
      <c r="I5" s="24"/>
      <c r="V5" s="10"/>
      <c r="W5" s="29" t="s">
        <v>42</v>
      </c>
      <c r="X5" s="30" t="s">
        <v>43</v>
      </c>
      <c r="Y5" s="30" t="s">
        <v>44</v>
      </c>
      <c r="Z5" s="30" t="s">
        <v>45</v>
      </c>
      <c r="AA5" s="30" t="s">
        <v>46</v>
      </c>
      <c r="AB5" s="30" t="s">
        <v>47</v>
      </c>
      <c r="AC5" s="30" t="s">
        <v>48</v>
      </c>
      <c r="AD5" s="30" t="s">
        <v>49</v>
      </c>
      <c r="AE5" s="30" t="s">
        <v>50</v>
      </c>
      <c r="AF5" s="30" t="s">
        <v>51</v>
      </c>
      <c r="AG5" s="30" t="s">
        <v>52</v>
      </c>
      <c r="AH5" s="30" t="s">
        <v>53</v>
      </c>
      <c r="AI5" s="30" t="s">
        <v>54</v>
      </c>
      <c r="AJ5" s="30" t="s">
        <v>55</v>
      </c>
      <c r="AK5" s="30" t="s">
        <v>56</v>
      </c>
      <c r="AL5" s="30" t="s">
        <v>57</v>
      </c>
      <c r="AM5" s="30" t="s">
        <v>58</v>
      </c>
      <c r="AN5" s="30" t="s">
        <v>59</v>
      </c>
      <c r="AO5" s="30" t="s">
        <v>60</v>
      </c>
      <c r="AP5" s="30" t="s">
        <v>61</v>
      </c>
      <c r="AQ5" s="30" t="s">
        <v>62</v>
      </c>
      <c r="AR5" s="30" t="s">
        <v>63</v>
      </c>
      <c r="AS5" s="30" t="s">
        <v>64</v>
      </c>
      <c r="AT5" s="30" t="s">
        <v>147</v>
      </c>
      <c r="AU5" s="31"/>
      <c r="AX5" s="4"/>
      <c r="AY5" s="80" t="s">
        <v>65</v>
      </c>
      <c r="AZ5" s="81"/>
      <c r="BA5" s="18"/>
      <c r="BB5" s="82"/>
      <c r="BC5" s="82"/>
      <c r="BD5" s="82"/>
      <c r="BE5" s="82"/>
      <c r="BF5" s="82"/>
      <c r="BG5" s="82"/>
      <c r="BH5" s="82"/>
      <c r="BI5" s="82"/>
      <c r="BJ5" s="80"/>
      <c r="BK5" s="80"/>
      <c r="BL5" s="80"/>
      <c r="BM5" s="80"/>
      <c r="BN5" s="80"/>
      <c r="BO5" s="80"/>
      <c r="BP5" s="80"/>
      <c r="BQ5" s="80"/>
      <c r="BR5" s="80"/>
      <c r="BS5" s="80"/>
    </row>
    <row r="6" spans="1:71" ht="20.100000000000001" customHeight="1" x14ac:dyDescent="0.25">
      <c r="A6" s="32"/>
      <c r="C6" t="e">
        <f>#REF!</f>
        <v>#REF!</v>
      </c>
      <c r="D6" t="e">
        <f>C6*0</f>
        <v>#REF!</v>
      </c>
      <c r="E6" t="e">
        <f>C6*1</f>
        <v>#REF!</v>
      </c>
      <c r="V6" s="10"/>
      <c r="W6" s="33" t="s">
        <v>66</v>
      </c>
      <c r="X6" s="34">
        <v>0</v>
      </c>
      <c r="Y6" s="34">
        <v>0.7</v>
      </c>
      <c r="Z6" s="34">
        <v>0.8</v>
      </c>
      <c r="AA6" s="34">
        <v>0.9</v>
      </c>
      <c r="AB6" s="34">
        <v>1</v>
      </c>
      <c r="AC6" s="34">
        <f>+$AB$6</f>
        <v>1</v>
      </c>
      <c r="AD6" s="34">
        <f t="shared" ref="AD6:AS6" si="0">+$AB$6</f>
        <v>1</v>
      </c>
      <c r="AE6" s="34">
        <f t="shared" si="0"/>
        <v>1</v>
      </c>
      <c r="AF6" s="34">
        <f t="shared" si="0"/>
        <v>1</v>
      </c>
      <c r="AG6" s="34">
        <f t="shared" si="0"/>
        <v>1</v>
      </c>
      <c r="AH6" s="34">
        <f t="shared" si="0"/>
        <v>1</v>
      </c>
      <c r="AI6" s="34">
        <f t="shared" si="0"/>
        <v>1</v>
      </c>
      <c r="AJ6" s="34">
        <f t="shared" si="0"/>
        <v>1</v>
      </c>
      <c r="AK6" s="34">
        <f t="shared" si="0"/>
        <v>1</v>
      </c>
      <c r="AL6" s="34">
        <f t="shared" si="0"/>
        <v>1</v>
      </c>
      <c r="AM6" s="34">
        <f t="shared" si="0"/>
        <v>1</v>
      </c>
      <c r="AN6" s="34">
        <f t="shared" si="0"/>
        <v>1</v>
      </c>
      <c r="AO6" s="34">
        <f t="shared" si="0"/>
        <v>1</v>
      </c>
      <c r="AP6" s="34">
        <f t="shared" si="0"/>
        <v>1</v>
      </c>
      <c r="AQ6" s="34">
        <f t="shared" si="0"/>
        <v>1</v>
      </c>
      <c r="AR6" s="34">
        <f t="shared" si="0"/>
        <v>1</v>
      </c>
      <c r="AS6" s="34">
        <f t="shared" si="0"/>
        <v>1</v>
      </c>
      <c r="AT6" s="34"/>
      <c r="AU6" s="35"/>
      <c r="AX6" s="4"/>
      <c r="AY6" s="80" t="s">
        <v>67</v>
      </c>
      <c r="AZ6" s="36">
        <v>0.15</v>
      </c>
      <c r="BA6" s="82"/>
      <c r="BB6" s="82"/>
      <c r="BC6" s="82"/>
      <c r="BD6" s="82"/>
      <c r="BE6" s="82"/>
      <c r="BF6" s="82"/>
      <c r="BG6" s="82"/>
      <c r="BH6" s="82"/>
      <c r="BI6" s="82"/>
      <c r="BJ6" s="80"/>
      <c r="BK6" s="80"/>
      <c r="BL6" s="80"/>
      <c r="BM6" s="80"/>
      <c r="BN6" s="80"/>
      <c r="BO6" s="80"/>
      <c r="BP6" s="80"/>
      <c r="BQ6" s="80"/>
      <c r="BR6" s="80"/>
      <c r="BS6" s="80"/>
    </row>
    <row r="7" spans="1:71" ht="20.100000000000001" customHeight="1" x14ac:dyDescent="0.25">
      <c r="A7" s="32"/>
      <c r="B7" s="9" t="s">
        <v>13</v>
      </c>
      <c r="C7" s="101" t="e">
        <f>#REF!</f>
        <v>#REF!</v>
      </c>
      <c r="D7" t="e">
        <f>#REF!</f>
        <v>#REF!</v>
      </c>
      <c r="E7" t="e">
        <f>#REF!</f>
        <v>#REF!</v>
      </c>
      <c r="F7" t="e">
        <f>#REF!</f>
        <v>#REF!</v>
      </c>
      <c r="G7" t="e">
        <f>D7+E7+F7</f>
        <v>#REF!</v>
      </c>
      <c r="H7" t="e">
        <f>+G7*0</f>
        <v>#REF!</v>
      </c>
      <c r="I7" t="e">
        <f>+G7*1</f>
        <v>#REF!</v>
      </c>
      <c r="K7" t="e">
        <f>+J7+I7</f>
        <v>#REF!</v>
      </c>
      <c r="V7" s="10"/>
      <c r="W7" s="37" t="s">
        <v>68</v>
      </c>
      <c r="X7" s="38" t="e">
        <f>$D$14*X6*0</f>
        <v>#REF!</v>
      </c>
      <c r="Y7" s="38" t="e">
        <f>$D$14*Y6*6/12</f>
        <v>#REF!</v>
      </c>
      <c r="Z7" s="38" t="e">
        <f>$D$14*Z6</f>
        <v>#REF!</v>
      </c>
      <c r="AA7" s="38" t="e">
        <f t="shared" ref="AA7:AQ7" si="1">$D$14*AA6</f>
        <v>#REF!</v>
      </c>
      <c r="AB7" s="38" t="e">
        <f t="shared" si="1"/>
        <v>#REF!</v>
      </c>
      <c r="AC7" s="38" t="e">
        <f t="shared" si="1"/>
        <v>#REF!</v>
      </c>
      <c r="AD7" s="38" t="e">
        <f t="shared" si="1"/>
        <v>#REF!</v>
      </c>
      <c r="AE7" s="38" t="e">
        <f t="shared" si="1"/>
        <v>#REF!</v>
      </c>
      <c r="AF7" s="38" t="e">
        <f t="shared" si="1"/>
        <v>#REF!</v>
      </c>
      <c r="AG7" s="38" t="e">
        <f t="shared" si="1"/>
        <v>#REF!</v>
      </c>
      <c r="AH7" s="38" t="e">
        <f t="shared" si="1"/>
        <v>#REF!</v>
      </c>
      <c r="AI7" s="38" t="e">
        <f t="shared" si="1"/>
        <v>#REF!</v>
      </c>
      <c r="AJ7" s="38" t="e">
        <f t="shared" si="1"/>
        <v>#REF!</v>
      </c>
      <c r="AK7" s="38" t="e">
        <f t="shared" si="1"/>
        <v>#REF!</v>
      </c>
      <c r="AL7" s="38" t="e">
        <f t="shared" si="1"/>
        <v>#REF!</v>
      </c>
      <c r="AM7" s="38" t="e">
        <f t="shared" si="1"/>
        <v>#REF!</v>
      </c>
      <c r="AN7" s="38" t="e">
        <f t="shared" si="1"/>
        <v>#REF!</v>
      </c>
      <c r="AO7" s="38" t="e">
        <f t="shared" si="1"/>
        <v>#REF!</v>
      </c>
      <c r="AP7" s="38" t="e">
        <f t="shared" si="1"/>
        <v>#REF!</v>
      </c>
      <c r="AQ7" s="38" t="e">
        <f t="shared" si="1"/>
        <v>#REF!</v>
      </c>
      <c r="AR7" s="38" t="e">
        <f>$D$14*AR6*9/12</f>
        <v>#REF!</v>
      </c>
      <c r="AS7" s="38" t="e">
        <f>$D$14*AS6*6/12</f>
        <v>#REF!</v>
      </c>
      <c r="AT7" s="38" t="e">
        <f>$D$14*AT6*4/12</f>
        <v>#REF!</v>
      </c>
      <c r="AU7" s="21"/>
      <c r="AX7" s="4"/>
      <c r="AY7" s="83" t="s">
        <v>69</v>
      </c>
      <c r="AZ7" s="83">
        <v>1</v>
      </c>
      <c r="BA7" s="83">
        <v>2</v>
      </c>
      <c r="BB7" s="83">
        <v>3</v>
      </c>
      <c r="BC7" s="83">
        <v>4</v>
      </c>
      <c r="BD7" s="83">
        <v>5</v>
      </c>
      <c r="BE7" s="83">
        <v>6</v>
      </c>
      <c r="BF7" s="83">
        <v>7</v>
      </c>
      <c r="BG7" s="83">
        <v>8</v>
      </c>
      <c r="BH7" s="83">
        <v>9</v>
      </c>
      <c r="BI7" s="83">
        <v>10</v>
      </c>
      <c r="BJ7" s="83">
        <v>11</v>
      </c>
      <c r="BK7" s="83">
        <v>12</v>
      </c>
      <c r="BL7" s="83">
        <v>13</v>
      </c>
      <c r="BM7" s="83">
        <v>14</v>
      </c>
      <c r="BN7" s="83">
        <v>15</v>
      </c>
      <c r="BO7" s="83">
        <v>16</v>
      </c>
      <c r="BP7" s="83">
        <v>17</v>
      </c>
      <c r="BQ7" s="83">
        <v>18</v>
      </c>
      <c r="BR7" s="83">
        <v>19</v>
      </c>
      <c r="BS7" s="83">
        <v>20</v>
      </c>
    </row>
    <row r="8" spans="1:71" ht="20.100000000000001" customHeight="1" x14ac:dyDescent="0.25">
      <c r="B8" s="9" t="s">
        <v>125</v>
      </c>
      <c r="C8" s="101" t="e">
        <f>#REF!</f>
        <v>#REF!</v>
      </c>
      <c r="D8" t="e">
        <f>#REF!</f>
        <v>#REF!</v>
      </c>
      <c r="E8" t="e">
        <f>#REF!</f>
        <v>#REF!</v>
      </c>
      <c r="F8" t="e">
        <f>#REF!</f>
        <v>#REF!</v>
      </c>
      <c r="G8" t="e">
        <f>D8+E8+F8</f>
        <v>#REF!</v>
      </c>
      <c r="H8" t="e">
        <f>+G8*0</f>
        <v>#REF!</v>
      </c>
      <c r="I8" t="e">
        <f>+G8*1</f>
        <v>#REF!</v>
      </c>
      <c r="J8">
        <v>0</v>
      </c>
      <c r="K8" t="e">
        <f>+J8+I8</f>
        <v>#REF!</v>
      </c>
      <c r="V8" s="10"/>
      <c r="W8" s="37" t="s">
        <v>143</v>
      </c>
      <c r="X8" s="38" t="e">
        <f>+X30+X31</f>
        <v>#REF!</v>
      </c>
      <c r="Y8" s="38" t="e">
        <f>+Y30+Y31</f>
        <v>#REF!</v>
      </c>
      <c r="Z8" s="38" t="e">
        <f t="shared" ref="Z8:AS8" si="2">+Z30+Z31</f>
        <v>#REF!</v>
      </c>
      <c r="AA8" s="38" t="e">
        <f t="shared" si="2"/>
        <v>#REF!</v>
      </c>
      <c r="AB8" s="38" t="e">
        <f t="shared" si="2"/>
        <v>#REF!</v>
      </c>
      <c r="AC8" s="38" t="e">
        <f t="shared" si="2"/>
        <v>#REF!</v>
      </c>
      <c r="AD8" s="38" t="e">
        <f t="shared" si="2"/>
        <v>#REF!</v>
      </c>
      <c r="AE8" s="38" t="e">
        <f t="shared" si="2"/>
        <v>#REF!</v>
      </c>
      <c r="AF8" s="38" t="e">
        <f t="shared" si="2"/>
        <v>#REF!</v>
      </c>
      <c r="AG8" s="38" t="e">
        <f t="shared" si="2"/>
        <v>#REF!</v>
      </c>
      <c r="AH8" s="38" t="e">
        <f t="shared" si="2"/>
        <v>#REF!</v>
      </c>
      <c r="AI8" s="38" t="e">
        <f t="shared" si="2"/>
        <v>#REF!</v>
      </c>
      <c r="AJ8" s="38" t="e">
        <f t="shared" si="2"/>
        <v>#REF!</v>
      </c>
      <c r="AK8" s="38">
        <f t="shared" si="2"/>
        <v>0</v>
      </c>
      <c r="AL8" s="38" t="e">
        <f t="shared" si="2"/>
        <v>#REF!</v>
      </c>
      <c r="AM8" s="38" t="e">
        <f t="shared" si="2"/>
        <v>#REF!</v>
      </c>
      <c r="AN8" s="38" t="e">
        <f t="shared" si="2"/>
        <v>#REF!</v>
      </c>
      <c r="AO8" s="38" t="e">
        <f t="shared" si="2"/>
        <v>#REF!</v>
      </c>
      <c r="AP8" s="38" t="e">
        <f t="shared" si="2"/>
        <v>#REF!</v>
      </c>
      <c r="AQ8" s="38" t="e">
        <f t="shared" si="2"/>
        <v>#REF!</v>
      </c>
      <c r="AR8" s="38" t="e">
        <f t="shared" si="2"/>
        <v>#REF!</v>
      </c>
      <c r="AS8" s="38" t="e">
        <f t="shared" si="2"/>
        <v>#REF!</v>
      </c>
      <c r="AT8" s="38" t="e">
        <f t="shared" ref="AT8" si="3">+AT30+AT31</f>
        <v>#REF!</v>
      </c>
      <c r="AU8" s="21"/>
      <c r="AV8" s="21" t="s">
        <v>71</v>
      </c>
      <c r="AX8" s="4"/>
      <c r="AY8" s="80" t="s">
        <v>121</v>
      </c>
      <c r="AZ8" s="28" t="e">
        <f>D17</f>
        <v>#REF!</v>
      </c>
      <c r="BA8" s="28" t="e">
        <f t="shared" ref="BA8:BS8" si="4">+AZ10</f>
        <v>#REF!</v>
      </c>
      <c r="BB8" s="28" t="e">
        <f t="shared" si="4"/>
        <v>#REF!</v>
      </c>
      <c r="BC8" s="28" t="e">
        <f t="shared" si="4"/>
        <v>#REF!</v>
      </c>
      <c r="BD8" s="28" t="e">
        <f t="shared" si="4"/>
        <v>#REF!</v>
      </c>
      <c r="BE8" s="28" t="e">
        <f t="shared" si="4"/>
        <v>#REF!</v>
      </c>
      <c r="BF8" s="28" t="e">
        <f t="shared" si="4"/>
        <v>#REF!</v>
      </c>
      <c r="BG8" s="28" t="e">
        <f t="shared" si="4"/>
        <v>#REF!</v>
      </c>
      <c r="BH8" s="28" t="e">
        <f t="shared" si="4"/>
        <v>#REF!</v>
      </c>
      <c r="BI8" s="28" t="e">
        <f t="shared" si="4"/>
        <v>#REF!</v>
      </c>
      <c r="BJ8" s="28" t="e">
        <f t="shared" si="4"/>
        <v>#REF!</v>
      </c>
      <c r="BK8" s="28" t="e">
        <f t="shared" si="4"/>
        <v>#REF!</v>
      </c>
      <c r="BL8" s="28" t="e">
        <f t="shared" si="4"/>
        <v>#REF!</v>
      </c>
      <c r="BM8" s="28" t="e">
        <f t="shared" si="4"/>
        <v>#REF!</v>
      </c>
      <c r="BN8" s="28" t="e">
        <f t="shared" si="4"/>
        <v>#REF!</v>
      </c>
      <c r="BO8" s="28" t="e">
        <f t="shared" si="4"/>
        <v>#REF!</v>
      </c>
      <c r="BP8" s="28" t="e">
        <f t="shared" si="4"/>
        <v>#REF!</v>
      </c>
      <c r="BQ8" s="28" t="e">
        <f t="shared" si="4"/>
        <v>#REF!</v>
      </c>
      <c r="BR8" s="28" t="e">
        <f t="shared" si="4"/>
        <v>#REF!</v>
      </c>
      <c r="BS8" s="28" t="e">
        <f t="shared" si="4"/>
        <v>#REF!</v>
      </c>
    </row>
    <row r="9" spans="1:71" ht="20.100000000000001" customHeight="1" x14ac:dyDescent="0.25">
      <c r="B9" s="9" t="s">
        <v>146</v>
      </c>
      <c r="C9" s="101" t="e">
        <f>#REF!</f>
        <v>#REF!</v>
      </c>
      <c r="D9" t="e">
        <f>#REF!</f>
        <v>#REF!</v>
      </c>
      <c r="E9" t="e">
        <f>#REF!</f>
        <v>#REF!</v>
      </c>
      <c r="F9" t="e">
        <f>#REF!</f>
        <v>#REF!</v>
      </c>
      <c r="G9" t="e">
        <f>D9+E9+F9</f>
        <v>#REF!</v>
      </c>
      <c r="H9" t="e">
        <f>+G9*0</f>
        <v>#REF!</v>
      </c>
      <c r="I9" t="e">
        <f>+G9*1</f>
        <v>#REF!</v>
      </c>
      <c r="J9">
        <v>0</v>
      </c>
      <c r="K9" t="e">
        <f>+J9+I9</f>
        <v>#REF!</v>
      </c>
      <c r="V9" s="10"/>
      <c r="W9" s="37" t="s">
        <v>115</v>
      </c>
      <c r="X9" s="37"/>
      <c r="Y9" s="37" t="e">
        <f>AZ9</f>
        <v>#REF!</v>
      </c>
      <c r="Z9" s="37" t="e">
        <f t="shared" ref="Z9:AS9" si="5">BA9</f>
        <v>#REF!</v>
      </c>
      <c r="AA9" s="37" t="e">
        <f t="shared" si="5"/>
        <v>#REF!</v>
      </c>
      <c r="AB9" s="37" t="e">
        <f t="shared" si="5"/>
        <v>#REF!</v>
      </c>
      <c r="AC9" s="37" t="e">
        <f t="shared" si="5"/>
        <v>#REF!</v>
      </c>
      <c r="AD9" s="37" t="e">
        <f t="shared" si="5"/>
        <v>#REF!</v>
      </c>
      <c r="AE9" s="37" t="e">
        <f t="shared" si="5"/>
        <v>#REF!</v>
      </c>
      <c r="AF9" s="37" t="e">
        <f t="shared" si="5"/>
        <v>#REF!</v>
      </c>
      <c r="AG9" s="37" t="e">
        <f t="shared" si="5"/>
        <v>#REF!</v>
      </c>
      <c r="AH9" s="37" t="e">
        <f t="shared" si="5"/>
        <v>#REF!</v>
      </c>
      <c r="AI9" s="37" t="e">
        <f t="shared" si="5"/>
        <v>#REF!</v>
      </c>
      <c r="AJ9" s="37" t="e">
        <f t="shared" si="5"/>
        <v>#REF!</v>
      </c>
      <c r="AK9" s="37" t="e">
        <f t="shared" si="5"/>
        <v>#REF!</v>
      </c>
      <c r="AL9" s="37" t="e">
        <f t="shared" si="5"/>
        <v>#REF!</v>
      </c>
      <c r="AM9" s="37" t="e">
        <f t="shared" si="5"/>
        <v>#REF!</v>
      </c>
      <c r="AN9" s="37" t="e">
        <f t="shared" si="5"/>
        <v>#REF!</v>
      </c>
      <c r="AO9" s="37" t="e">
        <f t="shared" si="5"/>
        <v>#REF!</v>
      </c>
      <c r="AP9" s="37" t="e">
        <f t="shared" si="5"/>
        <v>#REF!</v>
      </c>
      <c r="AQ9" s="37" t="e">
        <f t="shared" si="5"/>
        <v>#REF!</v>
      </c>
      <c r="AR9" s="37">
        <f t="shared" si="5"/>
        <v>0</v>
      </c>
      <c r="AS9" s="37">
        <f t="shared" si="5"/>
        <v>0</v>
      </c>
      <c r="AT9" s="4">
        <f t="shared" ref="AT9" si="6">BT9</f>
        <v>0</v>
      </c>
      <c r="AU9" s="21" t="e">
        <f>SUM(Y9:AS9)</f>
        <v>#REF!</v>
      </c>
      <c r="AV9" s="21" t="e">
        <f>+D17*0.95</f>
        <v>#REF!</v>
      </c>
      <c r="AX9" s="4"/>
      <c r="AY9" s="80" t="s">
        <v>122</v>
      </c>
      <c r="AZ9" s="28" t="e">
        <f>+AZ8*$AZ$6*6/12</f>
        <v>#REF!</v>
      </c>
      <c r="BA9" s="28" t="e">
        <f t="shared" ref="BA9:BQ9" si="7">+BA8*$AZ$6</f>
        <v>#REF!</v>
      </c>
      <c r="BB9" s="28" t="e">
        <f t="shared" si="7"/>
        <v>#REF!</v>
      </c>
      <c r="BC9" s="28" t="e">
        <f t="shared" si="7"/>
        <v>#REF!</v>
      </c>
      <c r="BD9" s="28" t="e">
        <f t="shared" si="7"/>
        <v>#REF!</v>
      </c>
      <c r="BE9" s="28" t="e">
        <f t="shared" si="7"/>
        <v>#REF!</v>
      </c>
      <c r="BF9" s="28" t="e">
        <f t="shared" si="7"/>
        <v>#REF!</v>
      </c>
      <c r="BG9" s="28" t="e">
        <f t="shared" si="7"/>
        <v>#REF!</v>
      </c>
      <c r="BH9" s="28" t="e">
        <f t="shared" si="7"/>
        <v>#REF!</v>
      </c>
      <c r="BI9" s="28" t="e">
        <f t="shared" si="7"/>
        <v>#REF!</v>
      </c>
      <c r="BJ9" s="28" t="e">
        <f t="shared" si="7"/>
        <v>#REF!</v>
      </c>
      <c r="BK9" s="28" t="e">
        <f t="shared" si="7"/>
        <v>#REF!</v>
      </c>
      <c r="BL9" s="28" t="e">
        <f t="shared" si="7"/>
        <v>#REF!</v>
      </c>
      <c r="BM9" s="28" t="e">
        <f t="shared" si="7"/>
        <v>#REF!</v>
      </c>
      <c r="BN9" s="28" t="e">
        <f t="shared" si="7"/>
        <v>#REF!</v>
      </c>
      <c r="BO9" s="28" t="e">
        <f t="shared" si="7"/>
        <v>#REF!</v>
      </c>
      <c r="BP9" s="28" t="e">
        <f t="shared" si="7"/>
        <v>#REF!</v>
      </c>
      <c r="BQ9" s="28" t="e">
        <f t="shared" si="7"/>
        <v>#REF!</v>
      </c>
      <c r="BR9" s="28" t="e">
        <f>AZ12-SUM(AZ9:BQ9)</f>
        <v>#REF!</v>
      </c>
      <c r="BS9" s="28"/>
    </row>
    <row r="10" spans="1:71" ht="20.100000000000001" customHeight="1" x14ac:dyDescent="0.25">
      <c r="B10" s="9" t="s">
        <v>70</v>
      </c>
      <c r="C10" s="101" t="e">
        <f>#REF!</f>
        <v>#REF!</v>
      </c>
      <c r="D10" t="e">
        <f>#REF!</f>
        <v>#REF!</v>
      </c>
      <c r="E10" t="e">
        <f>#REF!</f>
        <v>#REF!</v>
      </c>
      <c r="F10" t="e">
        <f>#REF!</f>
        <v>#REF!</v>
      </c>
      <c r="G10" t="e">
        <f>D10+E10+F10</f>
        <v>#REF!</v>
      </c>
      <c r="H10" t="e">
        <f>+G10*0</f>
        <v>#REF!</v>
      </c>
      <c r="I10" t="e">
        <f>G10*1</f>
        <v>#REF!</v>
      </c>
      <c r="K10" t="e">
        <f>+J10+I10</f>
        <v>#REF!</v>
      </c>
      <c r="N10" s="24"/>
      <c r="O10" s="24"/>
      <c r="P10" s="24"/>
      <c r="Q10" s="24"/>
      <c r="R10" s="24"/>
      <c r="S10" s="24"/>
      <c r="T10" s="24"/>
      <c r="V10" s="10"/>
      <c r="W10" s="37" t="s">
        <v>72</v>
      </c>
      <c r="X10" s="37" t="e">
        <f t="shared" ref="X10:AS10" si="8">+X7-X8-X9</f>
        <v>#REF!</v>
      </c>
      <c r="Y10" s="37" t="e">
        <f t="shared" si="8"/>
        <v>#REF!</v>
      </c>
      <c r="Z10" s="37" t="e">
        <f t="shared" si="8"/>
        <v>#REF!</v>
      </c>
      <c r="AA10" s="37" t="e">
        <f t="shared" si="8"/>
        <v>#REF!</v>
      </c>
      <c r="AB10" s="37" t="e">
        <f t="shared" si="8"/>
        <v>#REF!</v>
      </c>
      <c r="AC10" s="37" t="e">
        <f t="shared" si="8"/>
        <v>#REF!</v>
      </c>
      <c r="AD10" s="37" t="e">
        <f t="shared" si="8"/>
        <v>#REF!</v>
      </c>
      <c r="AE10" s="37" t="e">
        <f t="shared" si="8"/>
        <v>#REF!</v>
      </c>
      <c r="AF10" s="37" t="e">
        <f t="shared" si="8"/>
        <v>#REF!</v>
      </c>
      <c r="AG10" s="37" t="e">
        <f t="shared" si="8"/>
        <v>#REF!</v>
      </c>
      <c r="AH10" s="37" t="e">
        <f t="shared" si="8"/>
        <v>#REF!</v>
      </c>
      <c r="AI10" s="37" t="e">
        <f t="shared" si="8"/>
        <v>#REF!</v>
      </c>
      <c r="AJ10" s="37" t="e">
        <f t="shared" si="8"/>
        <v>#REF!</v>
      </c>
      <c r="AK10" s="37" t="e">
        <f t="shared" si="8"/>
        <v>#REF!</v>
      </c>
      <c r="AL10" s="37" t="e">
        <f t="shared" si="8"/>
        <v>#REF!</v>
      </c>
      <c r="AM10" s="37" t="e">
        <f t="shared" si="8"/>
        <v>#REF!</v>
      </c>
      <c r="AN10" s="37" t="e">
        <f t="shared" si="8"/>
        <v>#REF!</v>
      </c>
      <c r="AO10" s="37" t="e">
        <f t="shared" si="8"/>
        <v>#REF!</v>
      </c>
      <c r="AP10" s="37" t="e">
        <f t="shared" si="8"/>
        <v>#REF!</v>
      </c>
      <c r="AQ10" s="37" t="e">
        <f t="shared" si="8"/>
        <v>#REF!</v>
      </c>
      <c r="AR10" s="37" t="e">
        <f t="shared" si="8"/>
        <v>#REF!</v>
      </c>
      <c r="AS10" s="37" t="e">
        <f t="shared" si="8"/>
        <v>#REF!</v>
      </c>
      <c r="AT10" s="37" t="e">
        <f t="shared" ref="AT10" si="9">+AT7-AT8-AT9</f>
        <v>#REF!</v>
      </c>
      <c r="AU10" s="21"/>
      <c r="AV10" s="21"/>
      <c r="AX10" s="4"/>
      <c r="AY10" s="80" t="s">
        <v>123</v>
      </c>
      <c r="AZ10" s="28" t="e">
        <f>+AZ8-AZ9</f>
        <v>#REF!</v>
      </c>
      <c r="BA10" s="28" t="e">
        <f t="shared" ref="BA10:BS10" si="10">+BA8-BA9</f>
        <v>#REF!</v>
      </c>
      <c r="BB10" s="28" t="e">
        <f t="shared" si="10"/>
        <v>#REF!</v>
      </c>
      <c r="BC10" s="28" t="e">
        <f t="shared" si="10"/>
        <v>#REF!</v>
      </c>
      <c r="BD10" s="28" t="e">
        <f t="shared" si="10"/>
        <v>#REF!</v>
      </c>
      <c r="BE10" s="28" t="e">
        <f t="shared" si="10"/>
        <v>#REF!</v>
      </c>
      <c r="BF10" s="28" t="e">
        <f t="shared" si="10"/>
        <v>#REF!</v>
      </c>
      <c r="BG10" s="28" t="e">
        <f t="shared" si="10"/>
        <v>#REF!</v>
      </c>
      <c r="BH10" s="28" t="e">
        <f t="shared" si="10"/>
        <v>#REF!</v>
      </c>
      <c r="BI10" s="28" t="e">
        <f t="shared" si="10"/>
        <v>#REF!</v>
      </c>
      <c r="BJ10" s="28" t="e">
        <f t="shared" si="10"/>
        <v>#REF!</v>
      </c>
      <c r="BK10" s="28" t="e">
        <f t="shared" si="10"/>
        <v>#REF!</v>
      </c>
      <c r="BL10" s="28" t="e">
        <f t="shared" si="10"/>
        <v>#REF!</v>
      </c>
      <c r="BM10" s="28" t="e">
        <f t="shared" si="10"/>
        <v>#REF!</v>
      </c>
      <c r="BN10" s="28" t="e">
        <f t="shared" si="10"/>
        <v>#REF!</v>
      </c>
      <c r="BO10" s="28" t="e">
        <f t="shared" si="10"/>
        <v>#REF!</v>
      </c>
      <c r="BP10" s="28" t="e">
        <f t="shared" si="10"/>
        <v>#REF!</v>
      </c>
      <c r="BQ10" s="28" t="e">
        <f t="shared" si="10"/>
        <v>#REF!</v>
      </c>
      <c r="BR10" s="28" t="e">
        <f t="shared" si="10"/>
        <v>#REF!</v>
      </c>
      <c r="BS10" s="28" t="e">
        <f t="shared" si="10"/>
        <v>#REF!</v>
      </c>
    </row>
    <row r="11" spans="1:71" ht="20.100000000000001" customHeight="1" x14ac:dyDescent="0.25">
      <c r="B11" s="39" t="s">
        <v>4</v>
      </c>
      <c r="C11" s="102" t="e">
        <f t="shared" ref="C11:K11" si="11">SUM(C7:C10)</f>
        <v>#REF!</v>
      </c>
      <c r="D11" s="39" t="e">
        <f t="shared" si="11"/>
        <v>#REF!</v>
      </c>
      <c r="E11" s="39" t="e">
        <f t="shared" si="11"/>
        <v>#REF!</v>
      </c>
      <c r="F11" s="39" t="e">
        <f t="shared" si="11"/>
        <v>#REF!</v>
      </c>
      <c r="G11" s="39" t="e">
        <f t="shared" si="11"/>
        <v>#REF!</v>
      </c>
      <c r="H11" s="39" t="e">
        <f t="shared" si="11"/>
        <v>#REF!</v>
      </c>
      <c r="I11" s="39" t="e">
        <f t="shared" si="11"/>
        <v>#REF!</v>
      </c>
      <c r="J11" s="39">
        <f t="shared" si="11"/>
        <v>0</v>
      </c>
      <c r="K11" s="39" t="e">
        <f t="shared" si="11"/>
        <v>#REF!</v>
      </c>
      <c r="M11" t="e">
        <f>+K11+H11</f>
        <v>#REF!</v>
      </c>
      <c r="V11" s="41">
        <f>30*1.12*1.04%</f>
        <v>0.34943999999999997</v>
      </c>
      <c r="W11" s="37" t="s">
        <v>142</v>
      </c>
      <c r="X11" s="37" t="e">
        <f t="shared" ref="X11:AS11" si="12">IF(X10&gt;0,X10*$V$11,0)*$V$12</f>
        <v>#REF!</v>
      </c>
      <c r="Y11" s="37" t="e">
        <f t="shared" si="12"/>
        <v>#REF!</v>
      </c>
      <c r="Z11" s="37" t="e">
        <f t="shared" si="12"/>
        <v>#REF!</v>
      </c>
      <c r="AA11" s="37" t="e">
        <f>IF(AA10&gt;0,AA10*$V$11,0)*$V$12</f>
        <v>#REF!</v>
      </c>
      <c r="AB11" s="37" t="e">
        <f t="shared" si="12"/>
        <v>#REF!</v>
      </c>
      <c r="AC11" s="37" t="e">
        <f t="shared" si="12"/>
        <v>#REF!</v>
      </c>
      <c r="AD11" s="37" t="e">
        <f t="shared" si="12"/>
        <v>#REF!</v>
      </c>
      <c r="AE11" s="37" t="e">
        <f t="shared" si="12"/>
        <v>#REF!</v>
      </c>
      <c r="AF11" s="37" t="e">
        <f t="shared" si="12"/>
        <v>#REF!</v>
      </c>
      <c r="AG11" s="37" t="e">
        <f t="shared" si="12"/>
        <v>#REF!</v>
      </c>
      <c r="AH11" s="37" t="e">
        <f t="shared" si="12"/>
        <v>#REF!</v>
      </c>
      <c r="AI11" s="37" t="e">
        <f t="shared" si="12"/>
        <v>#REF!</v>
      </c>
      <c r="AJ11" s="37" t="e">
        <f t="shared" si="12"/>
        <v>#REF!</v>
      </c>
      <c r="AK11" s="37" t="e">
        <f t="shared" si="12"/>
        <v>#REF!</v>
      </c>
      <c r="AL11" s="37" t="e">
        <f t="shared" si="12"/>
        <v>#REF!</v>
      </c>
      <c r="AM11" s="37" t="e">
        <f t="shared" si="12"/>
        <v>#REF!</v>
      </c>
      <c r="AN11" s="37" t="e">
        <f t="shared" si="12"/>
        <v>#REF!</v>
      </c>
      <c r="AO11" s="37" t="e">
        <f t="shared" si="12"/>
        <v>#REF!</v>
      </c>
      <c r="AP11" s="37" t="e">
        <f t="shared" si="12"/>
        <v>#REF!</v>
      </c>
      <c r="AQ11" s="37" t="e">
        <f t="shared" si="12"/>
        <v>#REF!</v>
      </c>
      <c r="AR11" s="37" t="e">
        <f t="shared" si="12"/>
        <v>#REF!</v>
      </c>
      <c r="AS11" s="37" t="e">
        <f t="shared" si="12"/>
        <v>#REF!</v>
      </c>
      <c r="AT11" s="37" t="e">
        <f t="shared" ref="AT11" si="13">IF(AT10&gt;0,AT10*$V$11,0)*$V$12</f>
        <v>#REF!</v>
      </c>
      <c r="AU11" s="21"/>
      <c r="AX11" s="4"/>
      <c r="AY11" s="80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84"/>
      <c r="BK11" s="84"/>
      <c r="BL11" s="84"/>
      <c r="BM11" s="84"/>
      <c r="BN11" s="84"/>
      <c r="BO11" s="80"/>
      <c r="BP11" s="80"/>
      <c r="BQ11" s="80"/>
      <c r="BR11" s="80"/>
      <c r="BS11" s="80"/>
    </row>
    <row r="12" spans="1:71" ht="20.100000000000001" customHeight="1" x14ac:dyDescent="0.25">
      <c r="B12" s="105" t="s">
        <v>177</v>
      </c>
      <c r="C12" t="e">
        <f>#REF!</f>
        <v>#REF!</v>
      </c>
      <c r="V12" s="10">
        <v>1</v>
      </c>
      <c r="W12" s="4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21"/>
      <c r="AX12" s="4"/>
      <c r="AY12" s="80" t="s">
        <v>124</v>
      </c>
      <c r="AZ12" s="28" t="e">
        <f>D17*0.95</f>
        <v>#REF!</v>
      </c>
      <c r="BA12" s="28"/>
      <c r="BB12" s="28"/>
      <c r="BC12" s="82"/>
      <c r="BD12" s="82"/>
      <c r="BE12" s="82"/>
      <c r="BF12" s="28" t="e">
        <f>SUM(AZ9:BS9)</f>
        <v>#REF!</v>
      </c>
      <c r="BG12" s="82"/>
      <c r="BH12" s="82"/>
      <c r="BI12" s="82"/>
      <c r="BJ12" s="80"/>
      <c r="BK12" s="80"/>
      <c r="BL12" s="80"/>
      <c r="BM12" s="80"/>
      <c r="BN12" s="80"/>
      <c r="BO12" s="80"/>
      <c r="BP12" s="80"/>
      <c r="BQ12" s="80"/>
      <c r="BR12" s="80"/>
      <c r="BS12" s="80"/>
    </row>
    <row r="13" spans="1:71" ht="20.100000000000001" customHeight="1" x14ac:dyDescent="0.25">
      <c r="B13" s="24"/>
      <c r="C13" s="42"/>
      <c r="D13" s="42"/>
      <c r="E13" s="42"/>
      <c r="F13" s="42"/>
      <c r="G13" s="42"/>
      <c r="H13" s="42"/>
      <c r="I13" s="24"/>
      <c r="J13" s="11"/>
      <c r="K13" s="11"/>
      <c r="M13" t="e">
        <f>M11-C12</f>
        <v>#REF!</v>
      </c>
      <c r="V13" s="10"/>
      <c r="W13" s="37" t="s">
        <v>73</v>
      </c>
      <c r="X13" s="37" t="e">
        <f>+X10-X11</f>
        <v>#REF!</v>
      </c>
      <c r="Y13" s="37" t="e">
        <f>+Y10-Y11</f>
        <v>#REF!</v>
      </c>
      <c r="Z13" s="37" t="e">
        <f t="shared" ref="Z13:AS13" si="14">+Z10-Z11</f>
        <v>#REF!</v>
      </c>
      <c r="AA13" s="37" t="e">
        <f t="shared" si="14"/>
        <v>#REF!</v>
      </c>
      <c r="AB13" s="37" t="e">
        <f t="shared" si="14"/>
        <v>#REF!</v>
      </c>
      <c r="AC13" s="37" t="e">
        <f t="shared" si="14"/>
        <v>#REF!</v>
      </c>
      <c r="AD13" s="37" t="e">
        <f t="shared" si="14"/>
        <v>#REF!</v>
      </c>
      <c r="AE13" s="37" t="e">
        <f t="shared" si="14"/>
        <v>#REF!</v>
      </c>
      <c r="AF13" s="37" t="e">
        <f t="shared" si="14"/>
        <v>#REF!</v>
      </c>
      <c r="AG13" s="37" t="e">
        <f t="shared" si="14"/>
        <v>#REF!</v>
      </c>
      <c r="AH13" s="37" t="e">
        <f t="shared" si="14"/>
        <v>#REF!</v>
      </c>
      <c r="AI13" s="37" t="e">
        <f t="shared" si="14"/>
        <v>#REF!</v>
      </c>
      <c r="AJ13" s="37" t="e">
        <f t="shared" si="14"/>
        <v>#REF!</v>
      </c>
      <c r="AK13" s="37" t="e">
        <f t="shared" si="14"/>
        <v>#REF!</v>
      </c>
      <c r="AL13" s="37" t="e">
        <f t="shared" si="14"/>
        <v>#REF!</v>
      </c>
      <c r="AM13" s="37" t="e">
        <f t="shared" si="14"/>
        <v>#REF!</v>
      </c>
      <c r="AN13" s="37" t="e">
        <f t="shared" si="14"/>
        <v>#REF!</v>
      </c>
      <c r="AO13" s="37" t="e">
        <f t="shared" si="14"/>
        <v>#REF!</v>
      </c>
      <c r="AP13" s="37" t="e">
        <f t="shared" si="14"/>
        <v>#REF!</v>
      </c>
      <c r="AQ13" s="37" t="e">
        <f t="shared" si="14"/>
        <v>#REF!</v>
      </c>
      <c r="AR13" s="37" t="e">
        <f t="shared" si="14"/>
        <v>#REF!</v>
      </c>
      <c r="AS13" s="37" t="e">
        <f t="shared" si="14"/>
        <v>#REF!</v>
      </c>
      <c r="AT13" s="37" t="e">
        <f t="shared" ref="AT13" si="15">+AT10-AT11</f>
        <v>#REF!</v>
      </c>
      <c r="AU13" s="21"/>
      <c r="AX13" s="4"/>
      <c r="AY13" s="28"/>
      <c r="AZ13" s="28"/>
      <c r="BA13" s="28"/>
      <c r="BB13" s="28"/>
      <c r="BC13" s="28"/>
      <c r="BD13" s="28"/>
      <c r="BE13" s="28"/>
      <c r="BF13" s="28"/>
      <c r="BG13" s="28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</row>
    <row r="14" spans="1:71" ht="20.100000000000001" customHeight="1" x14ac:dyDescent="0.25">
      <c r="B14" t="s">
        <v>117</v>
      </c>
      <c r="C14" t="s">
        <v>118</v>
      </c>
      <c r="D14" t="e">
        <f>GM!F30</f>
        <v>#REF!</v>
      </c>
      <c r="V14" s="10"/>
      <c r="W14" s="43" t="s">
        <v>74</v>
      </c>
      <c r="X14" s="43"/>
      <c r="Y14" s="43" t="e">
        <f>+Y13+X14</f>
        <v>#REF!</v>
      </c>
      <c r="Z14" s="43" t="e">
        <f>+Z13+Y14</f>
        <v>#REF!</v>
      </c>
      <c r="AA14" s="43" t="e">
        <f t="shared" ref="AA14:AR14" si="16">+AA13+Z14</f>
        <v>#REF!</v>
      </c>
      <c r="AB14" s="43" t="e">
        <f t="shared" si="16"/>
        <v>#REF!</v>
      </c>
      <c r="AC14" s="43" t="e">
        <f t="shared" si="16"/>
        <v>#REF!</v>
      </c>
      <c r="AD14" s="43" t="e">
        <f t="shared" si="16"/>
        <v>#REF!</v>
      </c>
      <c r="AE14" s="43" t="e">
        <f t="shared" si="16"/>
        <v>#REF!</v>
      </c>
      <c r="AF14" s="43" t="e">
        <f t="shared" si="16"/>
        <v>#REF!</v>
      </c>
      <c r="AG14" s="43" t="e">
        <f t="shared" si="16"/>
        <v>#REF!</v>
      </c>
      <c r="AH14" s="43" t="e">
        <f t="shared" si="16"/>
        <v>#REF!</v>
      </c>
      <c r="AI14" s="43" t="e">
        <f t="shared" si="16"/>
        <v>#REF!</v>
      </c>
      <c r="AJ14" s="43" t="e">
        <f t="shared" si="16"/>
        <v>#REF!</v>
      </c>
      <c r="AK14" s="43" t="e">
        <f t="shared" si="16"/>
        <v>#REF!</v>
      </c>
      <c r="AL14" s="43" t="e">
        <f t="shared" si="16"/>
        <v>#REF!</v>
      </c>
      <c r="AM14" s="43" t="e">
        <f t="shared" si="16"/>
        <v>#REF!</v>
      </c>
      <c r="AN14" s="43" t="e">
        <f t="shared" si="16"/>
        <v>#REF!</v>
      </c>
      <c r="AO14" s="43" t="e">
        <f t="shared" si="16"/>
        <v>#REF!</v>
      </c>
      <c r="AP14" s="43" t="e">
        <f t="shared" si="16"/>
        <v>#REF!</v>
      </c>
      <c r="AQ14" s="43" t="e">
        <f t="shared" si="16"/>
        <v>#REF!</v>
      </c>
      <c r="AR14" s="43" t="e">
        <f t="shared" si="16"/>
        <v>#REF!</v>
      </c>
      <c r="AS14" s="43" t="e">
        <f>+AS13+AR14</f>
        <v>#REF!</v>
      </c>
      <c r="AT14" s="43" t="e">
        <f>+AT13+AS14</f>
        <v>#REF!</v>
      </c>
      <c r="AU14" s="21"/>
      <c r="AX14" s="4"/>
      <c r="AY14" s="28"/>
      <c r="AZ14" s="28"/>
      <c r="BA14" s="28"/>
      <c r="BB14" s="28"/>
      <c r="BC14" s="28"/>
      <c r="BD14" s="28"/>
      <c r="BE14" s="28"/>
      <c r="BF14" s="28"/>
      <c r="BG14" s="28"/>
    </row>
    <row r="15" spans="1:71" ht="20.100000000000001" customHeight="1" x14ac:dyDescent="0.25">
      <c r="B15" t="s">
        <v>106</v>
      </c>
      <c r="C15" t="s">
        <v>118</v>
      </c>
      <c r="D15" t="e">
        <f>G11</f>
        <v>#REF!</v>
      </c>
      <c r="F15" s="9"/>
      <c r="H15" s="819"/>
      <c r="I15" s="819"/>
      <c r="V15" s="10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21"/>
      <c r="AX15" s="4"/>
      <c r="AY15" s="28"/>
      <c r="AZ15" s="28"/>
      <c r="BA15" s="28"/>
      <c r="BB15" s="28"/>
      <c r="BC15" s="28"/>
      <c r="BD15" s="28"/>
      <c r="BE15" s="28"/>
      <c r="BF15" s="28"/>
      <c r="BG15" s="28"/>
    </row>
    <row r="16" spans="1:71" ht="20.100000000000001" customHeight="1" x14ac:dyDescent="0.25">
      <c r="B16" s="105" t="s">
        <v>177</v>
      </c>
      <c r="C16" s="7" t="s">
        <v>118</v>
      </c>
      <c r="D16" s="77" t="e">
        <f>C12</f>
        <v>#REF!</v>
      </c>
      <c r="F16" s="65"/>
      <c r="H16" s="9"/>
      <c r="I16" s="9"/>
      <c r="V16" s="10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21"/>
      <c r="AX16" s="4"/>
      <c r="AY16" s="28"/>
      <c r="AZ16" s="28"/>
      <c r="BA16" s="28"/>
      <c r="BB16" s="28"/>
      <c r="BC16" s="28"/>
      <c r="BD16" s="28"/>
      <c r="BE16" s="28"/>
      <c r="BF16" s="28"/>
      <c r="BG16" s="28"/>
    </row>
    <row r="17" spans="1:59" ht="20.100000000000001" customHeight="1" x14ac:dyDescent="0.25">
      <c r="B17" t="s">
        <v>179</v>
      </c>
      <c r="D17" t="e">
        <f>+D15-D16</f>
        <v>#REF!</v>
      </c>
      <c r="E17" s="24"/>
      <c r="F17" s="24"/>
      <c r="G17" s="24"/>
      <c r="H17" s="24"/>
      <c r="I17" s="24"/>
      <c r="V17" s="10"/>
      <c r="W17" s="4"/>
      <c r="X17" s="4"/>
      <c r="Y17" s="37"/>
      <c r="Z17" s="40" t="s">
        <v>76</v>
      </c>
      <c r="AA17" s="4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5"/>
      <c r="AT17" s="5"/>
      <c r="AU17" s="10"/>
      <c r="AX17" s="4"/>
      <c r="AY17" s="28"/>
      <c r="AZ17" s="28"/>
      <c r="BA17" s="28"/>
      <c r="BB17" s="28"/>
      <c r="BC17" s="28"/>
      <c r="BD17" s="28"/>
      <c r="BE17" s="4"/>
      <c r="BF17" s="4"/>
      <c r="BG17" s="4"/>
    </row>
    <row r="18" spans="1:59" ht="20.100000000000001" customHeight="1" x14ac:dyDescent="0.25">
      <c r="V18" s="10"/>
      <c r="W18" s="45" t="s">
        <v>77</v>
      </c>
      <c r="X18" s="37"/>
      <c r="Y18" s="37"/>
      <c r="Z18" s="37"/>
      <c r="AA18" s="46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4"/>
      <c r="AN18" s="4"/>
      <c r="AO18" s="4"/>
      <c r="AP18" s="4"/>
      <c r="AQ18" s="4"/>
      <c r="AR18" s="4"/>
      <c r="AS18" s="4"/>
      <c r="AT18" s="4"/>
      <c r="AU18" s="10"/>
      <c r="AX18" s="4"/>
      <c r="AY18" s="28"/>
      <c r="AZ18" s="28"/>
      <c r="BA18" s="28"/>
      <c r="BB18" s="28"/>
      <c r="BC18" s="28"/>
      <c r="BD18" s="28"/>
      <c r="BE18" s="28"/>
      <c r="BF18" s="28"/>
      <c r="BG18" s="28"/>
    </row>
    <row r="19" spans="1:59" ht="20.100000000000001" customHeight="1" x14ac:dyDescent="0.25">
      <c r="B19" s="9"/>
      <c r="V19" s="10"/>
      <c r="W19" s="47" t="s">
        <v>78</v>
      </c>
      <c r="X19" s="48" t="str">
        <f t="shared" ref="X19:AS19" si="17">+X5</f>
        <v>Yr 1</v>
      </c>
      <c r="Y19" s="48" t="str">
        <f t="shared" si="17"/>
        <v>Yr 2</v>
      </c>
      <c r="Z19" s="48" t="str">
        <f t="shared" si="17"/>
        <v>Yr 3</v>
      </c>
      <c r="AA19" s="48" t="str">
        <f t="shared" si="17"/>
        <v>Yr 4</v>
      </c>
      <c r="AB19" s="48" t="str">
        <f t="shared" si="17"/>
        <v>Yr 5</v>
      </c>
      <c r="AC19" s="48" t="str">
        <f t="shared" si="17"/>
        <v>Yr 6</v>
      </c>
      <c r="AD19" s="48" t="str">
        <f t="shared" si="17"/>
        <v>Yr 7</v>
      </c>
      <c r="AE19" s="48" t="str">
        <f t="shared" si="17"/>
        <v>Yr 8</v>
      </c>
      <c r="AF19" s="48" t="str">
        <f t="shared" si="17"/>
        <v>Yr 9</v>
      </c>
      <c r="AG19" s="48" t="str">
        <f t="shared" si="17"/>
        <v>Yr 10</v>
      </c>
      <c r="AH19" s="48" t="str">
        <f t="shared" si="17"/>
        <v>Yr 11</v>
      </c>
      <c r="AI19" s="48" t="str">
        <f t="shared" si="17"/>
        <v>Yr 12</v>
      </c>
      <c r="AJ19" s="48" t="str">
        <f t="shared" si="17"/>
        <v>Yr 13</v>
      </c>
      <c r="AK19" s="48" t="str">
        <f t="shared" si="17"/>
        <v>Yr 14</v>
      </c>
      <c r="AL19" s="48" t="str">
        <f t="shared" si="17"/>
        <v>Yr 15</v>
      </c>
      <c r="AM19" s="48" t="str">
        <f t="shared" si="17"/>
        <v>Yr 16</v>
      </c>
      <c r="AN19" s="48" t="str">
        <f t="shared" si="17"/>
        <v>Yr 17</v>
      </c>
      <c r="AO19" s="48" t="str">
        <f t="shared" si="17"/>
        <v>Yr 18</v>
      </c>
      <c r="AP19" s="48" t="str">
        <f t="shared" si="17"/>
        <v>Yr 19</v>
      </c>
      <c r="AQ19" s="48" t="str">
        <f t="shared" si="17"/>
        <v>Yr 20</v>
      </c>
      <c r="AR19" s="48" t="str">
        <f t="shared" si="17"/>
        <v>Yr 21</v>
      </c>
      <c r="AS19" s="49" t="str">
        <f t="shared" si="17"/>
        <v>Yr 22</v>
      </c>
      <c r="AT19" s="49" t="str">
        <f t="shared" ref="AT19" si="18">+AT5</f>
        <v>Yr 23</v>
      </c>
      <c r="AU19" s="50"/>
    </row>
    <row r="20" spans="1:59" ht="20.100000000000001" customHeight="1" x14ac:dyDescent="0.25">
      <c r="B20" s="9"/>
      <c r="V20" s="10"/>
      <c r="W20" s="37" t="s">
        <v>79</v>
      </c>
      <c r="X20" s="37" t="e">
        <f t="shared" ref="X20:AS20" si="19">+X7</f>
        <v>#REF!</v>
      </c>
      <c r="Y20" s="37" t="e">
        <f t="shared" si="19"/>
        <v>#REF!</v>
      </c>
      <c r="Z20" s="37" t="e">
        <f t="shared" si="19"/>
        <v>#REF!</v>
      </c>
      <c r="AA20" s="37" t="e">
        <f t="shared" si="19"/>
        <v>#REF!</v>
      </c>
      <c r="AB20" s="37" t="e">
        <f t="shared" si="19"/>
        <v>#REF!</v>
      </c>
      <c r="AC20" s="37" t="e">
        <f t="shared" si="19"/>
        <v>#REF!</v>
      </c>
      <c r="AD20" s="37" t="e">
        <f t="shared" si="19"/>
        <v>#REF!</v>
      </c>
      <c r="AE20" s="37" t="e">
        <f t="shared" si="19"/>
        <v>#REF!</v>
      </c>
      <c r="AF20" s="37" t="e">
        <f t="shared" si="19"/>
        <v>#REF!</v>
      </c>
      <c r="AG20" s="37" t="e">
        <f t="shared" si="19"/>
        <v>#REF!</v>
      </c>
      <c r="AH20" s="37" t="e">
        <f t="shared" si="19"/>
        <v>#REF!</v>
      </c>
      <c r="AI20" s="37" t="e">
        <f t="shared" si="19"/>
        <v>#REF!</v>
      </c>
      <c r="AJ20" s="37" t="e">
        <f t="shared" si="19"/>
        <v>#REF!</v>
      </c>
      <c r="AK20" s="37" t="e">
        <f t="shared" si="19"/>
        <v>#REF!</v>
      </c>
      <c r="AL20" s="37" t="e">
        <f t="shared" si="19"/>
        <v>#REF!</v>
      </c>
      <c r="AM20" s="37" t="e">
        <f t="shared" si="19"/>
        <v>#REF!</v>
      </c>
      <c r="AN20" s="37" t="e">
        <f t="shared" si="19"/>
        <v>#REF!</v>
      </c>
      <c r="AO20" s="37" t="e">
        <f t="shared" si="19"/>
        <v>#REF!</v>
      </c>
      <c r="AP20" s="37" t="e">
        <f t="shared" si="19"/>
        <v>#REF!</v>
      </c>
      <c r="AQ20" s="37" t="e">
        <f t="shared" si="19"/>
        <v>#REF!</v>
      </c>
      <c r="AR20" s="37" t="e">
        <f t="shared" si="19"/>
        <v>#REF!</v>
      </c>
      <c r="AS20" s="37" t="e">
        <f t="shared" si="19"/>
        <v>#REF!</v>
      </c>
      <c r="AT20" s="37" t="e">
        <f t="shared" ref="AT20" si="20">+AT7</f>
        <v>#REF!</v>
      </c>
      <c r="AU20" s="21"/>
    </row>
    <row r="21" spans="1:59" ht="20.100000000000001" customHeight="1" x14ac:dyDescent="0.25">
      <c r="B21" s="9"/>
      <c r="V21" s="10" t="e">
        <f>SUM(X21:AA21)</f>
        <v>#REF!</v>
      </c>
      <c r="W21" s="37" t="s">
        <v>80</v>
      </c>
      <c r="X21" s="37" t="e">
        <f>H7</f>
        <v>#REF!</v>
      </c>
      <c r="Y21" s="37" t="e">
        <f>H8</f>
        <v>#REF!</v>
      </c>
      <c r="Z21" s="37" t="e">
        <f>H9+H10</f>
        <v>#REF!</v>
      </c>
      <c r="AA21" s="37"/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  <c r="AI21" s="37">
        <v>0</v>
      </c>
      <c r="AJ21" s="37">
        <v>0</v>
      </c>
      <c r="AK21" s="37">
        <v>0</v>
      </c>
      <c r="AL21" s="37">
        <v>0</v>
      </c>
      <c r="AM21" s="37">
        <v>0</v>
      </c>
      <c r="AN21" s="37">
        <v>0</v>
      </c>
      <c r="AO21" s="37">
        <v>0</v>
      </c>
      <c r="AP21" s="37">
        <v>0</v>
      </c>
      <c r="AQ21" s="37">
        <v>0</v>
      </c>
      <c r="AR21" s="37">
        <v>0</v>
      </c>
      <c r="AS21" s="37">
        <v>0</v>
      </c>
      <c r="AT21" s="37">
        <v>0</v>
      </c>
      <c r="AU21" s="21"/>
    </row>
    <row r="22" spans="1:59" ht="20.100000000000001" customHeight="1" x14ac:dyDescent="0.25">
      <c r="V22" s="10" t="e">
        <f>SUM(X22:AA22)</f>
        <v>#REF!</v>
      </c>
      <c r="W22" s="37" t="s">
        <v>127</v>
      </c>
      <c r="X22" s="37" t="e">
        <f>I7</f>
        <v>#REF!</v>
      </c>
      <c r="Y22" s="37" t="e">
        <f>I8+I10</f>
        <v>#REF!</v>
      </c>
      <c r="Z22" s="37" t="e">
        <f>I10*0</f>
        <v>#REF!</v>
      </c>
      <c r="AA22" s="37"/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  <c r="AI22" s="37">
        <v>0</v>
      </c>
      <c r="AJ22" s="37">
        <v>0</v>
      </c>
      <c r="AK22" s="37">
        <v>0</v>
      </c>
      <c r="AL22" s="37">
        <v>0</v>
      </c>
      <c r="AM22" s="37">
        <v>0</v>
      </c>
      <c r="AN22" s="37">
        <v>0</v>
      </c>
      <c r="AO22" s="37">
        <v>0</v>
      </c>
      <c r="AP22" s="37">
        <v>0</v>
      </c>
      <c r="AQ22" s="37">
        <v>0</v>
      </c>
      <c r="AR22" s="37">
        <v>0</v>
      </c>
      <c r="AS22" s="37">
        <v>0</v>
      </c>
      <c r="AT22" s="37">
        <v>0</v>
      </c>
      <c r="AU22" s="21"/>
    </row>
    <row r="23" spans="1:59" ht="20.100000000000001" customHeight="1" x14ac:dyDescent="0.25">
      <c r="E23" s="24"/>
      <c r="F23" s="24"/>
      <c r="G23" s="24"/>
      <c r="H23" s="24"/>
      <c r="I23" s="24"/>
      <c r="V23" s="51" t="e">
        <f>+V22+V21</f>
        <v>#REF!</v>
      </c>
      <c r="W23" s="33" t="s">
        <v>4</v>
      </c>
      <c r="X23" s="33" t="e">
        <f>SUM(X20:X22)</f>
        <v>#REF!</v>
      </c>
      <c r="Y23" s="33" t="e">
        <f t="shared" ref="Y23:AS23" si="21">SUM(Y20:Y22)</f>
        <v>#REF!</v>
      </c>
      <c r="Z23" s="33" t="e">
        <f t="shared" si="21"/>
        <v>#REF!</v>
      </c>
      <c r="AA23" s="33" t="e">
        <f t="shared" si="21"/>
        <v>#REF!</v>
      </c>
      <c r="AB23" s="33" t="e">
        <f t="shared" si="21"/>
        <v>#REF!</v>
      </c>
      <c r="AC23" s="33" t="e">
        <f t="shared" si="21"/>
        <v>#REF!</v>
      </c>
      <c r="AD23" s="33" t="e">
        <f t="shared" si="21"/>
        <v>#REF!</v>
      </c>
      <c r="AE23" s="33" t="e">
        <f t="shared" si="21"/>
        <v>#REF!</v>
      </c>
      <c r="AF23" s="33" t="e">
        <f t="shared" si="21"/>
        <v>#REF!</v>
      </c>
      <c r="AG23" s="33" t="e">
        <f t="shared" si="21"/>
        <v>#REF!</v>
      </c>
      <c r="AH23" s="33" t="e">
        <f t="shared" si="21"/>
        <v>#REF!</v>
      </c>
      <c r="AI23" s="33" t="e">
        <f t="shared" si="21"/>
        <v>#REF!</v>
      </c>
      <c r="AJ23" s="33" t="e">
        <f t="shared" si="21"/>
        <v>#REF!</v>
      </c>
      <c r="AK23" s="33" t="e">
        <f t="shared" si="21"/>
        <v>#REF!</v>
      </c>
      <c r="AL23" s="33" t="e">
        <f t="shared" si="21"/>
        <v>#REF!</v>
      </c>
      <c r="AM23" s="33" t="e">
        <f t="shared" si="21"/>
        <v>#REF!</v>
      </c>
      <c r="AN23" s="33" t="e">
        <f t="shared" si="21"/>
        <v>#REF!</v>
      </c>
      <c r="AO23" s="33" t="e">
        <f t="shared" si="21"/>
        <v>#REF!</v>
      </c>
      <c r="AP23" s="33" t="e">
        <f t="shared" si="21"/>
        <v>#REF!</v>
      </c>
      <c r="AQ23" s="33" t="e">
        <f t="shared" si="21"/>
        <v>#REF!</v>
      </c>
      <c r="AR23" s="33" t="e">
        <f t="shared" si="21"/>
        <v>#REF!</v>
      </c>
      <c r="AS23" s="33" t="e">
        <f t="shared" si="21"/>
        <v>#REF!</v>
      </c>
      <c r="AT23" s="33" t="e">
        <f t="shared" ref="AT23" si="22">SUM(AT20:AT22)</f>
        <v>#REF!</v>
      </c>
      <c r="AU23" s="21"/>
    </row>
    <row r="24" spans="1:59" ht="20.100000000000001" customHeight="1" x14ac:dyDescent="0.25">
      <c r="V24" s="10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0"/>
    </row>
    <row r="25" spans="1:59" ht="20.100000000000001" customHeight="1" x14ac:dyDescent="0.25">
      <c r="D25" s="9" t="s">
        <v>131</v>
      </c>
      <c r="E25" s="9" t="s">
        <v>96</v>
      </c>
      <c r="F25" s="9" t="s">
        <v>98</v>
      </c>
      <c r="G25" s="9" t="s">
        <v>154</v>
      </c>
      <c r="H25" s="9" t="s">
        <v>155</v>
      </c>
      <c r="I25" s="9" t="s">
        <v>154</v>
      </c>
      <c r="V25" s="10"/>
      <c r="W25" s="37" t="s">
        <v>81</v>
      </c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21"/>
    </row>
    <row r="26" spans="1:59" ht="20.100000000000001" customHeight="1" x14ac:dyDescent="0.25">
      <c r="D26">
        <v>1</v>
      </c>
      <c r="E26" t="e">
        <f>C7</f>
        <v>#REF!</v>
      </c>
      <c r="G26" s="110" t="e">
        <f>F26-E26</f>
        <v>#REF!</v>
      </c>
      <c r="H26" t="e">
        <f>$X$11</f>
        <v>#REF!</v>
      </c>
      <c r="I26" t="e">
        <f>G26-H26</f>
        <v>#REF!</v>
      </c>
      <c r="V26" s="10"/>
      <c r="W26" s="37" t="s">
        <v>82</v>
      </c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21"/>
    </row>
    <row r="27" spans="1:59" ht="20.100000000000001" customHeight="1" x14ac:dyDescent="0.25">
      <c r="A27" s="32"/>
      <c r="D27">
        <f t="shared" ref="D27:D48" si="23">D26+1</f>
        <v>2</v>
      </c>
      <c r="E27" t="e">
        <f>C8+C10</f>
        <v>#REF!</v>
      </c>
      <c r="F27" t="e">
        <f>D14*0.7*6/12</f>
        <v>#REF!</v>
      </c>
      <c r="G27" s="110" t="e">
        <f t="shared" ref="G27:G48" si="24">F27-E27</f>
        <v>#REF!</v>
      </c>
      <c r="H27" t="e">
        <f>$Y$11</f>
        <v>#REF!</v>
      </c>
      <c r="I27" t="e">
        <f t="shared" ref="I27:I48" si="25">G27-H27</f>
        <v>#REF!</v>
      </c>
      <c r="V27" s="10"/>
      <c r="W27" s="37" t="s">
        <v>83</v>
      </c>
      <c r="X27" s="37" t="e">
        <f t="shared" ref="X27:AA28" si="26">+X21</f>
        <v>#REF!</v>
      </c>
      <c r="Y27" s="37" t="e">
        <f t="shared" si="26"/>
        <v>#REF!</v>
      </c>
      <c r="Z27" s="37" t="e">
        <f t="shared" si="26"/>
        <v>#REF!</v>
      </c>
      <c r="AA27" s="37">
        <f t="shared" si="26"/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  <c r="AI27" s="37">
        <v>0</v>
      </c>
      <c r="AJ27" s="37">
        <v>0</v>
      </c>
      <c r="AK27" s="37">
        <v>0</v>
      </c>
      <c r="AL27" s="37">
        <v>0</v>
      </c>
      <c r="AM27" s="37">
        <v>0</v>
      </c>
      <c r="AN27" s="37">
        <v>0</v>
      </c>
      <c r="AO27" s="37">
        <v>0</v>
      </c>
      <c r="AP27" s="37">
        <v>0</v>
      </c>
      <c r="AQ27" s="37">
        <v>0</v>
      </c>
      <c r="AR27" s="37">
        <v>0</v>
      </c>
      <c r="AS27" s="37">
        <v>0</v>
      </c>
      <c r="AT27" s="37">
        <v>0</v>
      </c>
      <c r="AU27" s="21"/>
    </row>
    <row r="28" spans="1:59" ht="20.100000000000001" customHeight="1" x14ac:dyDescent="0.25">
      <c r="A28" s="32"/>
      <c r="B28" s="1"/>
      <c r="D28">
        <f t="shared" si="23"/>
        <v>3</v>
      </c>
      <c r="F28" t="e">
        <f>Z7+D16/2</f>
        <v>#REF!</v>
      </c>
      <c r="G28" s="110" t="e">
        <f t="shared" si="24"/>
        <v>#REF!</v>
      </c>
      <c r="H28" t="e">
        <f>$Z$11</f>
        <v>#REF!</v>
      </c>
      <c r="I28" t="e">
        <f t="shared" si="25"/>
        <v>#REF!</v>
      </c>
      <c r="V28" s="10"/>
      <c r="W28" s="37" t="s">
        <v>84</v>
      </c>
      <c r="X28" s="37" t="e">
        <f t="shared" si="26"/>
        <v>#REF!</v>
      </c>
      <c r="Y28" s="37" t="e">
        <f t="shared" si="26"/>
        <v>#REF!</v>
      </c>
      <c r="Z28" s="37" t="e">
        <f t="shared" si="26"/>
        <v>#REF!</v>
      </c>
      <c r="AA28" s="37">
        <f t="shared" si="26"/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  <c r="AI28" s="37">
        <v>0</v>
      </c>
      <c r="AJ28" s="37"/>
      <c r="AK28" s="37">
        <v>0</v>
      </c>
      <c r="AL28" s="37">
        <v>0</v>
      </c>
      <c r="AM28" s="37">
        <v>0</v>
      </c>
      <c r="AN28" s="37">
        <v>0</v>
      </c>
      <c r="AO28" s="37">
        <v>0</v>
      </c>
      <c r="AP28" s="37">
        <v>0</v>
      </c>
      <c r="AQ28" s="37">
        <v>0</v>
      </c>
      <c r="AR28" s="37">
        <v>0</v>
      </c>
      <c r="AS28" s="37">
        <v>0</v>
      </c>
      <c r="AT28" s="37">
        <v>0</v>
      </c>
      <c r="AU28" s="21"/>
    </row>
    <row r="29" spans="1:59" ht="20.100000000000001" customHeight="1" x14ac:dyDescent="0.25">
      <c r="A29" s="32"/>
      <c r="B29" s="9"/>
      <c r="D29">
        <f t="shared" si="23"/>
        <v>4</v>
      </c>
      <c r="F29" t="e">
        <f>AA7+D16/2</f>
        <v>#REF!</v>
      </c>
      <c r="G29" s="110" t="e">
        <f t="shared" si="24"/>
        <v>#REF!</v>
      </c>
      <c r="H29" t="e">
        <f>$AA$11</f>
        <v>#REF!</v>
      </c>
      <c r="I29" t="e">
        <f t="shared" si="25"/>
        <v>#REF!</v>
      </c>
      <c r="V29" s="10"/>
      <c r="W29" s="37" t="s">
        <v>85</v>
      </c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21"/>
    </row>
    <row r="30" spans="1:59" ht="20.100000000000001" customHeight="1" x14ac:dyDescent="0.25">
      <c r="A30" s="32"/>
      <c r="D30">
        <f t="shared" si="23"/>
        <v>5</v>
      </c>
      <c r="F30" t="e">
        <f>$D$14</f>
        <v>#REF!</v>
      </c>
      <c r="G30" s="110" t="e">
        <f t="shared" si="24"/>
        <v>#REF!</v>
      </c>
      <c r="H30" t="e">
        <f>$AB$11</f>
        <v>#REF!</v>
      </c>
      <c r="I30" t="e">
        <f t="shared" si="25"/>
        <v>#REF!</v>
      </c>
      <c r="T30" t="s">
        <v>86</v>
      </c>
      <c r="U30" s="52">
        <v>0.1</v>
      </c>
      <c r="W30" s="53" t="s">
        <v>128</v>
      </c>
      <c r="X30" s="37" t="e">
        <f>+($X$28+$Y$28+$Z$28-SUM(W$32:$X32))*$U$30*0</f>
        <v>#REF!</v>
      </c>
      <c r="Y30" s="37" t="e">
        <f>+($X$28+$Y$28+$Z$28-SUM($X$32:X32))*$U$30*6/12</f>
        <v>#REF!</v>
      </c>
      <c r="Z30" s="37" t="e">
        <f>+($X$28+$Y$28+$Z$28-SUM($X$32:Y32))*$U$30</f>
        <v>#REF!</v>
      </c>
      <c r="AA30" s="37" t="e">
        <f>+($X$28+$Y$28+$Z$28-SUM($X$32:Z32))*$U$30</f>
        <v>#REF!</v>
      </c>
      <c r="AB30" s="37" t="e">
        <f>+($X$28+$Y$28+$Z$28-SUM($X$32:AA32))*$U$30</f>
        <v>#REF!</v>
      </c>
      <c r="AC30" s="37" t="e">
        <f>+($X$28+$Y$28+$Z$28-SUM($X$32:AB32))*$U$30</f>
        <v>#REF!</v>
      </c>
      <c r="AD30" s="37" t="e">
        <f>+($X$28+$Y$28+$Z$28-SUM($X$32:AC32))*$U$30</f>
        <v>#REF!</v>
      </c>
      <c r="AE30" s="37" t="e">
        <f>+($X$28+$Y$28+$Z$28-SUM($X$32:AD32))*$U$30</f>
        <v>#REF!</v>
      </c>
      <c r="AF30" s="37" t="e">
        <f>+($X$28+$Y$28+$Z$28-SUM($X$32:AE32))*$U$30</f>
        <v>#REF!</v>
      </c>
      <c r="AG30" s="37" t="e">
        <f>+($X$28+$Y$28+$Z$28-SUM($X$32:AF32))*$U$30</f>
        <v>#REF!</v>
      </c>
      <c r="AH30" s="37" t="e">
        <f>+($X$28+$Y$28+$Z$28-SUM($X$32:AG32))*$U$30</f>
        <v>#REF!</v>
      </c>
      <c r="AI30" s="37" t="e">
        <f>+($X$28+$Y$28+$Z$28-SUM($X$32:AH32))*$U$30</f>
        <v>#REF!</v>
      </c>
      <c r="AJ30" s="37" t="e">
        <f>+($X$28+$Y$28+$Z$28-SUM($X$32:AI32))*$U$30</f>
        <v>#REF!</v>
      </c>
      <c r="AK30" s="37"/>
      <c r="AL30" s="37" t="e">
        <f>+($X$28+$Y$28+$Z$28-SUM($X$32:AK32))*$U$30</f>
        <v>#REF!</v>
      </c>
      <c r="AM30" s="37" t="e">
        <f>+($X$28+$Y$28+$Z$28-SUM($X$32:AL32))*$U$30</f>
        <v>#REF!</v>
      </c>
      <c r="AN30" s="37" t="e">
        <f>+($X$28+$Y$28+$Z$28-SUM($X$32:AM32))*$U$30</f>
        <v>#REF!</v>
      </c>
      <c r="AO30" s="37" t="e">
        <f>+($X$28+$Y$28+$Z$28-SUM($X$32:AN32))*$U$30</f>
        <v>#REF!</v>
      </c>
      <c r="AP30" s="37" t="e">
        <f>+($X$28+$Y$28+$Z$28-SUM($X$32:AO32))*$U$30</f>
        <v>#REF!</v>
      </c>
      <c r="AQ30" s="37" t="e">
        <f>+($X$28+$Y$28+$Z$28-SUM($X$32:AP32))*$U$30</f>
        <v>#REF!</v>
      </c>
      <c r="AR30" s="37" t="e">
        <f>+($X$28+$Y$28+$Z$28-SUM($X$32:AQ32))*$U$30</f>
        <v>#REF!</v>
      </c>
      <c r="AS30" s="37" t="e">
        <f>+($X$28+$Y$28+$Z$28-SUM($X$32:AR32))*$U$30</f>
        <v>#REF!</v>
      </c>
      <c r="AT30" s="37" t="e">
        <f>+($X$28+$Y$28+$Z$28-SUM($X$32:AS32))*$U$30</f>
        <v>#REF!</v>
      </c>
      <c r="AU30" s="21"/>
    </row>
    <row r="31" spans="1:59" ht="20.100000000000001" customHeight="1" x14ac:dyDescent="0.25">
      <c r="A31" s="32"/>
      <c r="B31" s="24"/>
      <c r="D31">
        <f t="shared" si="23"/>
        <v>6</v>
      </c>
      <c r="E31" s="24"/>
      <c r="F31" t="e">
        <f t="shared" ref="F31:F46" si="27">$D$14</f>
        <v>#REF!</v>
      </c>
      <c r="G31" s="110" t="e">
        <f t="shared" si="24"/>
        <v>#REF!</v>
      </c>
      <c r="H31" t="e">
        <f>$AC$11</f>
        <v>#REF!</v>
      </c>
      <c r="I31" t="e">
        <f t="shared" si="25"/>
        <v>#REF!</v>
      </c>
      <c r="T31" t="s">
        <v>87</v>
      </c>
      <c r="U31" s="52">
        <v>0.1</v>
      </c>
      <c r="V31" s="52"/>
      <c r="W31" s="53" t="s">
        <v>75</v>
      </c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21"/>
    </row>
    <row r="32" spans="1:59" ht="20.100000000000001" customHeight="1" x14ac:dyDescent="0.25">
      <c r="A32" s="32"/>
      <c r="D32">
        <f t="shared" si="23"/>
        <v>7</v>
      </c>
      <c r="F32" t="e">
        <f t="shared" si="27"/>
        <v>#REF!</v>
      </c>
      <c r="G32" s="110" t="e">
        <f t="shared" si="24"/>
        <v>#REF!</v>
      </c>
      <c r="H32" t="e">
        <f>$AD$11</f>
        <v>#REF!</v>
      </c>
      <c r="I32" t="e">
        <f t="shared" si="25"/>
        <v>#REF!</v>
      </c>
      <c r="V32" s="10" t="e">
        <f>SUM(X32:AS32)</f>
        <v>#REF!</v>
      </c>
      <c r="W32" s="37" t="s">
        <v>88</v>
      </c>
      <c r="X32" s="37">
        <f>+AY14</f>
        <v>0</v>
      </c>
      <c r="Y32" s="37"/>
      <c r="Z32" s="37" t="e">
        <f>+$V$22/7</f>
        <v>#REF!</v>
      </c>
      <c r="AA32" s="37" t="e">
        <f t="shared" ref="AA32:AF32" si="28">+$V$22/7</f>
        <v>#REF!</v>
      </c>
      <c r="AB32" s="37" t="e">
        <f t="shared" si="28"/>
        <v>#REF!</v>
      </c>
      <c r="AC32" s="37" t="e">
        <f t="shared" si="28"/>
        <v>#REF!</v>
      </c>
      <c r="AD32" s="37" t="e">
        <f t="shared" si="28"/>
        <v>#REF!</v>
      </c>
      <c r="AE32" s="37" t="e">
        <f t="shared" si="28"/>
        <v>#REF!</v>
      </c>
      <c r="AF32" s="37" t="e">
        <f t="shared" si="28"/>
        <v>#REF!</v>
      </c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21"/>
    </row>
    <row r="33" spans="1:50" ht="20.100000000000001" customHeight="1" x14ac:dyDescent="0.25">
      <c r="A33" s="32"/>
      <c r="B33" s="9"/>
      <c r="D33">
        <f t="shared" si="23"/>
        <v>8</v>
      </c>
      <c r="F33" t="e">
        <f t="shared" si="27"/>
        <v>#REF!</v>
      </c>
      <c r="G33" s="110" t="e">
        <f t="shared" si="24"/>
        <v>#REF!</v>
      </c>
      <c r="H33" t="e">
        <f>$AE$11</f>
        <v>#REF!</v>
      </c>
      <c r="I33" t="e">
        <f t="shared" si="25"/>
        <v>#REF!</v>
      </c>
      <c r="V33" s="10"/>
      <c r="W33" s="43" t="s">
        <v>89</v>
      </c>
      <c r="X33" s="43" t="e">
        <f>+X11</f>
        <v>#REF!</v>
      </c>
      <c r="Y33" s="43" t="e">
        <f t="shared" ref="Y33:AS33" si="29">+Y11</f>
        <v>#REF!</v>
      </c>
      <c r="Z33" s="43" t="e">
        <f>+Z11</f>
        <v>#REF!</v>
      </c>
      <c r="AA33" s="43" t="e">
        <f t="shared" si="29"/>
        <v>#REF!</v>
      </c>
      <c r="AB33" s="43" t="e">
        <f t="shared" si="29"/>
        <v>#REF!</v>
      </c>
      <c r="AC33" s="43" t="e">
        <f t="shared" si="29"/>
        <v>#REF!</v>
      </c>
      <c r="AD33" s="43" t="e">
        <f t="shared" si="29"/>
        <v>#REF!</v>
      </c>
      <c r="AE33" s="43" t="e">
        <f t="shared" si="29"/>
        <v>#REF!</v>
      </c>
      <c r="AF33" s="43" t="e">
        <f t="shared" si="29"/>
        <v>#REF!</v>
      </c>
      <c r="AG33" s="43" t="e">
        <f t="shared" si="29"/>
        <v>#REF!</v>
      </c>
      <c r="AH33" s="43" t="e">
        <f t="shared" si="29"/>
        <v>#REF!</v>
      </c>
      <c r="AI33" s="43" t="e">
        <f t="shared" si="29"/>
        <v>#REF!</v>
      </c>
      <c r="AJ33" s="43" t="e">
        <f t="shared" si="29"/>
        <v>#REF!</v>
      </c>
      <c r="AK33" s="43" t="e">
        <f t="shared" si="29"/>
        <v>#REF!</v>
      </c>
      <c r="AL33" s="43" t="e">
        <f t="shared" si="29"/>
        <v>#REF!</v>
      </c>
      <c r="AM33" s="43" t="e">
        <f t="shared" si="29"/>
        <v>#REF!</v>
      </c>
      <c r="AN33" s="43" t="e">
        <f t="shared" si="29"/>
        <v>#REF!</v>
      </c>
      <c r="AO33" s="43" t="e">
        <f t="shared" si="29"/>
        <v>#REF!</v>
      </c>
      <c r="AP33" s="43" t="e">
        <f t="shared" si="29"/>
        <v>#REF!</v>
      </c>
      <c r="AQ33" s="43" t="e">
        <f t="shared" si="29"/>
        <v>#REF!</v>
      </c>
      <c r="AR33" s="43" t="e">
        <f t="shared" si="29"/>
        <v>#REF!</v>
      </c>
      <c r="AS33" s="43" t="e">
        <f t="shared" si="29"/>
        <v>#REF!</v>
      </c>
      <c r="AT33" s="43" t="e">
        <f t="shared" ref="AT33" si="30">+AT11</f>
        <v>#REF!</v>
      </c>
      <c r="AU33" s="21"/>
    </row>
    <row r="34" spans="1:50" ht="20.100000000000001" customHeight="1" x14ac:dyDescent="0.25">
      <c r="A34" s="32">
        <f>SUM(A27:A32)</f>
        <v>0</v>
      </c>
      <c r="B34" s="9"/>
      <c r="D34">
        <f t="shared" si="23"/>
        <v>9</v>
      </c>
      <c r="F34" t="e">
        <f t="shared" si="27"/>
        <v>#REF!</v>
      </c>
      <c r="G34" s="110" t="e">
        <f t="shared" si="24"/>
        <v>#REF!</v>
      </c>
      <c r="H34" t="e">
        <f>$AF$11</f>
        <v>#REF!</v>
      </c>
      <c r="I34" t="e">
        <f t="shared" si="25"/>
        <v>#REF!</v>
      </c>
      <c r="V34" s="10"/>
      <c r="W34" s="37" t="s">
        <v>4</v>
      </c>
      <c r="X34" s="37" t="e">
        <f>SUM(X26:X33)</f>
        <v>#REF!</v>
      </c>
      <c r="Y34" s="37" t="e">
        <f>SUM(Y26:Y33)</f>
        <v>#REF!</v>
      </c>
      <c r="Z34" s="37" t="e">
        <f t="shared" ref="Z34:AS34" si="31">SUM(Z26:Z33)</f>
        <v>#REF!</v>
      </c>
      <c r="AA34" s="37" t="e">
        <f t="shared" si="31"/>
        <v>#REF!</v>
      </c>
      <c r="AB34" s="37" t="e">
        <f t="shared" si="31"/>
        <v>#REF!</v>
      </c>
      <c r="AC34" s="37" t="e">
        <f t="shared" si="31"/>
        <v>#REF!</v>
      </c>
      <c r="AD34" s="37" t="e">
        <f t="shared" si="31"/>
        <v>#REF!</v>
      </c>
      <c r="AE34" s="37" t="e">
        <f t="shared" si="31"/>
        <v>#REF!</v>
      </c>
      <c r="AF34" s="37" t="e">
        <f t="shared" si="31"/>
        <v>#REF!</v>
      </c>
      <c r="AG34" s="37" t="e">
        <f t="shared" si="31"/>
        <v>#REF!</v>
      </c>
      <c r="AH34" s="37" t="e">
        <f t="shared" si="31"/>
        <v>#REF!</v>
      </c>
      <c r="AI34" s="37" t="e">
        <f t="shared" si="31"/>
        <v>#REF!</v>
      </c>
      <c r="AJ34" s="37" t="e">
        <f t="shared" si="31"/>
        <v>#REF!</v>
      </c>
      <c r="AK34" s="37" t="e">
        <f t="shared" si="31"/>
        <v>#REF!</v>
      </c>
      <c r="AL34" s="37" t="e">
        <f t="shared" si="31"/>
        <v>#REF!</v>
      </c>
      <c r="AM34" s="37" t="e">
        <f t="shared" si="31"/>
        <v>#REF!</v>
      </c>
      <c r="AN34" s="37" t="e">
        <f t="shared" si="31"/>
        <v>#REF!</v>
      </c>
      <c r="AO34" s="37" t="e">
        <f t="shared" si="31"/>
        <v>#REF!</v>
      </c>
      <c r="AP34" s="37" t="e">
        <f t="shared" si="31"/>
        <v>#REF!</v>
      </c>
      <c r="AQ34" s="37" t="e">
        <f t="shared" si="31"/>
        <v>#REF!</v>
      </c>
      <c r="AR34" s="37" t="e">
        <f t="shared" si="31"/>
        <v>#REF!</v>
      </c>
      <c r="AS34" s="37" t="e">
        <f t="shared" si="31"/>
        <v>#REF!</v>
      </c>
      <c r="AT34" s="37" t="e">
        <f t="shared" ref="AT34" si="32">SUM(AT26:AT33)</f>
        <v>#REF!</v>
      </c>
      <c r="AU34" s="21"/>
    </row>
    <row r="35" spans="1:50" ht="20.100000000000001" customHeight="1" x14ac:dyDescent="0.25">
      <c r="A35" s="32"/>
      <c r="B35" s="9"/>
      <c r="D35">
        <f t="shared" si="23"/>
        <v>10</v>
      </c>
      <c r="F35" t="e">
        <f t="shared" si="27"/>
        <v>#REF!</v>
      </c>
      <c r="G35" s="110" t="e">
        <f t="shared" si="24"/>
        <v>#REF!</v>
      </c>
      <c r="H35" t="e">
        <f>$AG$11</f>
        <v>#REF!</v>
      </c>
      <c r="I35" t="e">
        <f t="shared" si="25"/>
        <v>#REF!</v>
      </c>
      <c r="V35" s="10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21"/>
    </row>
    <row r="36" spans="1:50" ht="20.100000000000001" customHeight="1" thickBot="1" x14ac:dyDescent="0.3">
      <c r="B36" s="9"/>
      <c r="D36">
        <f t="shared" si="23"/>
        <v>11</v>
      </c>
      <c r="F36" t="e">
        <f t="shared" si="27"/>
        <v>#REF!</v>
      </c>
      <c r="G36" s="110" t="e">
        <f t="shared" si="24"/>
        <v>#REF!</v>
      </c>
      <c r="H36" t="e">
        <f>$AH$11</f>
        <v>#REF!</v>
      </c>
      <c r="I36" t="e">
        <f t="shared" si="25"/>
        <v>#REF!</v>
      </c>
      <c r="V36" s="10"/>
      <c r="W36" s="54" t="s">
        <v>90</v>
      </c>
      <c r="X36" s="55" t="e">
        <f t="shared" ref="X36:AS36" si="33">+X23-X34</f>
        <v>#REF!</v>
      </c>
      <c r="Y36" s="55" t="e">
        <f t="shared" si="33"/>
        <v>#REF!</v>
      </c>
      <c r="Z36" s="55" t="e">
        <f t="shared" si="33"/>
        <v>#REF!</v>
      </c>
      <c r="AA36" s="55" t="e">
        <f t="shared" si="33"/>
        <v>#REF!</v>
      </c>
      <c r="AB36" s="55" t="e">
        <f t="shared" si="33"/>
        <v>#REF!</v>
      </c>
      <c r="AC36" s="55" t="e">
        <f t="shared" si="33"/>
        <v>#REF!</v>
      </c>
      <c r="AD36" s="55" t="e">
        <f t="shared" si="33"/>
        <v>#REF!</v>
      </c>
      <c r="AE36" s="55" t="e">
        <f t="shared" si="33"/>
        <v>#REF!</v>
      </c>
      <c r="AF36" s="55" t="e">
        <f t="shared" si="33"/>
        <v>#REF!</v>
      </c>
      <c r="AG36" s="55" t="e">
        <f t="shared" si="33"/>
        <v>#REF!</v>
      </c>
      <c r="AH36" s="55" t="e">
        <f t="shared" si="33"/>
        <v>#REF!</v>
      </c>
      <c r="AI36" s="55" t="e">
        <f t="shared" si="33"/>
        <v>#REF!</v>
      </c>
      <c r="AJ36" s="55" t="e">
        <f t="shared" si="33"/>
        <v>#REF!</v>
      </c>
      <c r="AK36" s="55" t="e">
        <f t="shared" si="33"/>
        <v>#REF!</v>
      </c>
      <c r="AL36" s="55" t="e">
        <f t="shared" si="33"/>
        <v>#REF!</v>
      </c>
      <c r="AM36" s="55" t="e">
        <f t="shared" si="33"/>
        <v>#REF!</v>
      </c>
      <c r="AN36" s="55" t="e">
        <f t="shared" si="33"/>
        <v>#REF!</v>
      </c>
      <c r="AO36" s="55" t="e">
        <f t="shared" si="33"/>
        <v>#REF!</v>
      </c>
      <c r="AP36" s="55" t="e">
        <f t="shared" si="33"/>
        <v>#REF!</v>
      </c>
      <c r="AQ36" s="55" t="e">
        <f t="shared" si="33"/>
        <v>#REF!</v>
      </c>
      <c r="AR36" s="55" t="e">
        <f t="shared" si="33"/>
        <v>#REF!</v>
      </c>
      <c r="AS36" s="55" t="e">
        <f t="shared" si="33"/>
        <v>#REF!</v>
      </c>
      <c r="AT36" s="55" t="e">
        <f t="shared" ref="AT36" si="34">+AT23-AT34</f>
        <v>#REF!</v>
      </c>
      <c r="AU36" s="21"/>
    </row>
    <row r="37" spans="1:50" ht="20.100000000000001" customHeight="1" thickBot="1" x14ac:dyDescent="0.3">
      <c r="B37" s="9"/>
      <c r="D37">
        <f t="shared" si="23"/>
        <v>12</v>
      </c>
      <c r="F37" t="e">
        <f t="shared" si="27"/>
        <v>#REF!</v>
      </c>
      <c r="G37" s="110" t="e">
        <f t="shared" si="24"/>
        <v>#REF!</v>
      </c>
      <c r="H37" t="e">
        <f>$AI$11</f>
        <v>#REF!</v>
      </c>
      <c r="I37" t="e">
        <f t="shared" si="25"/>
        <v>#REF!</v>
      </c>
      <c r="V37" s="10"/>
      <c r="W37" s="56" t="s">
        <v>91</v>
      </c>
      <c r="X37" s="57" t="e">
        <f>SUM($X$36:X36)</f>
        <v>#REF!</v>
      </c>
      <c r="Y37" s="57" t="e">
        <f>SUM($X$36:Y36)</f>
        <v>#REF!</v>
      </c>
      <c r="Z37" s="57" t="e">
        <f>SUM($X$36:Z36)</f>
        <v>#REF!</v>
      </c>
      <c r="AA37" s="57" t="e">
        <f>SUM($X$36:AA36)</f>
        <v>#REF!</v>
      </c>
      <c r="AB37" s="57" t="e">
        <f>SUM($X$36:AB36)</f>
        <v>#REF!</v>
      </c>
      <c r="AC37" s="57" t="e">
        <f>SUM($X$36:AC36)</f>
        <v>#REF!</v>
      </c>
      <c r="AD37" s="57" t="e">
        <f>SUM($X$36:AD36)</f>
        <v>#REF!</v>
      </c>
      <c r="AE37" s="57" t="e">
        <f>SUM($X$36:AE36)</f>
        <v>#REF!</v>
      </c>
      <c r="AF37" s="57" t="e">
        <f>SUM($X$36:AF36)</f>
        <v>#REF!</v>
      </c>
      <c r="AG37" s="57" t="e">
        <f>SUM($X$36:AG36)</f>
        <v>#REF!</v>
      </c>
      <c r="AH37" s="57" t="e">
        <f>SUM($X$36:AH36)</f>
        <v>#REF!</v>
      </c>
      <c r="AI37" s="57" t="e">
        <f>SUM($X$36:AI36)</f>
        <v>#REF!</v>
      </c>
      <c r="AJ37" s="57" t="e">
        <f>SUM($X$36:AJ36)</f>
        <v>#REF!</v>
      </c>
      <c r="AK37" s="57" t="e">
        <f>SUM($X$36:AK36)</f>
        <v>#REF!</v>
      </c>
      <c r="AL37" s="57" t="e">
        <f>SUM($X$36:AL36)</f>
        <v>#REF!</v>
      </c>
      <c r="AM37" s="57" t="e">
        <f>SUM($X$36:AM36)</f>
        <v>#REF!</v>
      </c>
      <c r="AN37" s="57" t="e">
        <f>SUM($X$36:AN36)</f>
        <v>#REF!</v>
      </c>
      <c r="AO37" s="57" t="e">
        <f>SUM($X$36:AO36)</f>
        <v>#REF!</v>
      </c>
      <c r="AP37" s="57" t="e">
        <f>SUM($X$36:AP36)</f>
        <v>#REF!</v>
      </c>
      <c r="AQ37" s="57" t="e">
        <f>SUM($X$36:AQ36)</f>
        <v>#REF!</v>
      </c>
      <c r="AR37" s="57" t="e">
        <f>SUM($X$36:AR36)</f>
        <v>#REF!</v>
      </c>
      <c r="AS37" s="57" t="e">
        <f>SUM($X$36:AS36)</f>
        <v>#REF!</v>
      </c>
      <c r="AT37" s="57" t="e">
        <f>SUM($X$36:AT36)</f>
        <v>#REF!</v>
      </c>
      <c r="AU37" s="21"/>
    </row>
    <row r="38" spans="1:50" ht="20.100000000000001" customHeight="1" x14ac:dyDescent="0.25">
      <c r="B38" s="24"/>
      <c r="D38">
        <f t="shared" si="23"/>
        <v>13</v>
      </c>
      <c r="E38" s="24"/>
      <c r="F38" t="e">
        <f t="shared" si="27"/>
        <v>#REF!</v>
      </c>
      <c r="G38" s="110" t="e">
        <f t="shared" si="24"/>
        <v>#REF!</v>
      </c>
      <c r="H38" t="e">
        <f>$AJ$11</f>
        <v>#REF!</v>
      </c>
      <c r="I38" t="e">
        <f t="shared" si="25"/>
        <v>#REF!</v>
      </c>
      <c r="V38" s="10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21"/>
    </row>
    <row r="39" spans="1:50" ht="20.100000000000001" customHeight="1" x14ac:dyDescent="0.25">
      <c r="D39">
        <f t="shared" si="23"/>
        <v>14</v>
      </c>
      <c r="F39" t="e">
        <f t="shared" si="27"/>
        <v>#REF!</v>
      </c>
      <c r="G39" s="110" t="e">
        <f t="shared" si="24"/>
        <v>#REF!</v>
      </c>
      <c r="H39" t="e">
        <f>$AK$11</f>
        <v>#REF!</v>
      </c>
      <c r="I39" t="e">
        <f t="shared" si="25"/>
        <v>#REF!</v>
      </c>
      <c r="V39" s="10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21"/>
    </row>
    <row r="40" spans="1:50" ht="20.100000000000001" customHeight="1" x14ac:dyDescent="0.25">
      <c r="B40" s="24"/>
      <c r="D40">
        <f t="shared" si="23"/>
        <v>15</v>
      </c>
      <c r="E40" s="24"/>
      <c r="F40" t="e">
        <f t="shared" si="27"/>
        <v>#REF!</v>
      </c>
      <c r="G40" s="110" t="e">
        <f t="shared" si="24"/>
        <v>#REF!</v>
      </c>
      <c r="H40" t="e">
        <f>$AL$11</f>
        <v>#REF!</v>
      </c>
      <c r="I40" t="e">
        <f t="shared" si="25"/>
        <v>#REF!</v>
      </c>
      <c r="O40" t="s">
        <v>92</v>
      </c>
      <c r="V40" s="10"/>
      <c r="W40" s="4"/>
      <c r="X40" s="4"/>
      <c r="Y40" s="37"/>
      <c r="Z40" s="40" t="s">
        <v>40</v>
      </c>
      <c r="AA40" s="4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5"/>
      <c r="AT40" s="5"/>
      <c r="AU40" s="10"/>
    </row>
    <row r="41" spans="1:50" ht="20.100000000000001" customHeight="1" x14ac:dyDescent="0.25">
      <c r="D41">
        <f t="shared" si="23"/>
        <v>16</v>
      </c>
      <c r="F41" t="e">
        <f t="shared" si="27"/>
        <v>#REF!</v>
      </c>
      <c r="G41" s="110" t="e">
        <f t="shared" si="24"/>
        <v>#REF!</v>
      </c>
      <c r="H41" t="e">
        <f>$AM$11</f>
        <v>#REF!</v>
      </c>
      <c r="I41" t="e">
        <f t="shared" si="25"/>
        <v>#REF!</v>
      </c>
      <c r="O41" t="s">
        <v>94</v>
      </c>
      <c r="P41">
        <v>1</v>
      </c>
      <c r="V41" s="10"/>
      <c r="W41" s="7" t="s">
        <v>93</v>
      </c>
      <c r="X41" s="4"/>
      <c r="Y41" s="37"/>
      <c r="Z41" s="37"/>
      <c r="AA41" s="46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10"/>
    </row>
    <row r="42" spans="1:50" ht="20.100000000000001" customHeight="1" x14ac:dyDescent="0.25">
      <c r="D42">
        <f t="shared" si="23"/>
        <v>17</v>
      </c>
      <c r="F42" t="e">
        <f t="shared" si="27"/>
        <v>#REF!</v>
      </c>
      <c r="G42" s="110" t="e">
        <f t="shared" si="24"/>
        <v>#REF!</v>
      </c>
      <c r="H42" t="e">
        <f>$AN$11</f>
        <v>#REF!</v>
      </c>
      <c r="I42" t="e">
        <f t="shared" si="25"/>
        <v>#REF!</v>
      </c>
      <c r="O42" t="s">
        <v>95</v>
      </c>
      <c r="P42">
        <v>1</v>
      </c>
      <c r="V42" s="58"/>
      <c r="W42" s="13" t="s">
        <v>3</v>
      </c>
      <c r="X42" s="30" t="s">
        <v>43</v>
      </c>
      <c r="Y42" s="30" t="s">
        <v>44</v>
      </c>
      <c r="Z42" s="30" t="s">
        <v>45</v>
      </c>
      <c r="AA42" s="30" t="s">
        <v>46</v>
      </c>
      <c r="AB42" s="30" t="s">
        <v>47</v>
      </c>
      <c r="AC42" s="30" t="s">
        <v>48</v>
      </c>
      <c r="AD42" s="30" t="s">
        <v>49</v>
      </c>
      <c r="AE42" s="30" t="s">
        <v>50</v>
      </c>
      <c r="AF42" s="30" t="s">
        <v>51</v>
      </c>
      <c r="AG42" s="30" t="s">
        <v>52</v>
      </c>
      <c r="AH42" s="30" t="s">
        <v>53</v>
      </c>
      <c r="AI42" s="30" t="s">
        <v>54</v>
      </c>
      <c r="AJ42" s="30" t="s">
        <v>55</v>
      </c>
      <c r="AK42" s="30" t="s">
        <v>56</v>
      </c>
      <c r="AL42" s="30" t="s">
        <v>57</v>
      </c>
      <c r="AM42" s="30" t="s">
        <v>58</v>
      </c>
      <c r="AN42" s="30" t="s">
        <v>59</v>
      </c>
      <c r="AO42" s="30" t="s">
        <v>60</v>
      </c>
      <c r="AP42" s="30" t="s">
        <v>61</v>
      </c>
      <c r="AQ42" s="30" t="s">
        <v>62</v>
      </c>
      <c r="AR42" s="30" t="s">
        <v>63</v>
      </c>
      <c r="AS42" s="30" t="s">
        <v>64</v>
      </c>
      <c r="AT42" s="30" t="s">
        <v>64</v>
      </c>
      <c r="AU42" s="59"/>
      <c r="AV42" s="9"/>
      <c r="AW42" s="9"/>
      <c r="AX42" s="9"/>
    </row>
    <row r="43" spans="1:50" ht="20.100000000000001" customHeight="1" x14ac:dyDescent="0.25">
      <c r="D43">
        <f t="shared" si="23"/>
        <v>18</v>
      </c>
      <c r="F43" t="e">
        <f t="shared" si="27"/>
        <v>#REF!</v>
      </c>
      <c r="G43" s="110" t="e">
        <f t="shared" si="24"/>
        <v>#REF!</v>
      </c>
      <c r="H43" t="e">
        <f>$AO$11</f>
        <v>#REF!</v>
      </c>
      <c r="I43" t="e">
        <f t="shared" si="25"/>
        <v>#REF!</v>
      </c>
      <c r="O43" t="s">
        <v>134</v>
      </c>
      <c r="V43" s="60" t="s">
        <v>20</v>
      </c>
      <c r="W43" s="7" t="s">
        <v>96</v>
      </c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1"/>
      <c r="AN43" s="61"/>
      <c r="AO43" s="61"/>
      <c r="AP43" s="61"/>
      <c r="AQ43" s="61"/>
      <c r="AR43" s="61"/>
      <c r="AS43" s="61"/>
      <c r="AT43" s="61"/>
      <c r="AU43" s="31"/>
      <c r="AV43" s="9"/>
      <c r="AW43" s="9"/>
      <c r="AX43" s="9"/>
    </row>
    <row r="44" spans="1:50" ht="20.100000000000001" customHeight="1" x14ac:dyDescent="0.25">
      <c r="D44">
        <f t="shared" si="23"/>
        <v>19</v>
      </c>
      <c r="F44" t="e">
        <f t="shared" si="27"/>
        <v>#REF!</v>
      </c>
      <c r="G44" s="110" t="e">
        <f t="shared" si="24"/>
        <v>#REF!</v>
      </c>
      <c r="H44" t="e">
        <f>$AP$11</f>
        <v>#REF!</v>
      </c>
      <c r="I44" t="e">
        <f t="shared" si="25"/>
        <v>#REF!</v>
      </c>
      <c r="O44" t="s">
        <v>135</v>
      </c>
      <c r="P44">
        <f>1+1.4685*0</f>
        <v>1</v>
      </c>
      <c r="U44" t="e">
        <f>SUM(X44:Z44)</f>
        <v>#REF!</v>
      </c>
      <c r="V44" s="62">
        <v>1</v>
      </c>
      <c r="W44" s="4" t="s">
        <v>97</v>
      </c>
      <c r="X44" s="4" t="e">
        <f>C7</f>
        <v>#REF!</v>
      </c>
      <c r="Y44" s="4" t="e">
        <f>C8+C10</f>
        <v>#REF!</v>
      </c>
      <c r="Z44" s="4" t="e">
        <f>C10*0</f>
        <v>#REF!</v>
      </c>
      <c r="AA44" s="4">
        <f t="shared" ref="AA44:AR44" si="35">+AA27+AA28</f>
        <v>0</v>
      </c>
      <c r="AB44" s="4">
        <f t="shared" si="35"/>
        <v>0</v>
      </c>
      <c r="AC44" s="4">
        <f t="shared" si="35"/>
        <v>0</v>
      </c>
      <c r="AD44" s="4">
        <f t="shared" si="35"/>
        <v>0</v>
      </c>
      <c r="AE44" s="4">
        <f t="shared" si="35"/>
        <v>0</v>
      </c>
      <c r="AF44" s="4">
        <f t="shared" si="35"/>
        <v>0</v>
      </c>
      <c r="AG44" s="4">
        <f t="shared" si="35"/>
        <v>0</v>
      </c>
      <c r="AH44" s="4">
        <f t="shared" si="35"/>
        <v>0</v>
      </c>
      <c r="AI44" s="4">
        <f t="shared" si="35"/>
        <v>0</v>
      </c>
      <c r="AJ44" s="4">
        <f t="shared" si="35"/>
        <v>0</v>
      </c>
      <c r="AK44" s="4">
        <f t="shared" si="35"/>
        <v>0</v>
      </c>
      <c r="AL44" s="4">
        <f t="shared" si="35"/>
        <v>0</v>
      </c>
      <c r="AM44" s="4">
        <f t="shared" si="35"/>
        <v>0</v>
      </c>
      <c r="AN44" s="4">
        <f t="shared" si="35"/>
        <v>0</v>
      </c>
      <c r="AO44" s="4">
        <f t="shared" si="35"/>
        <v>0</v>
      </c>
      <c r="AP44" s="4">
        <f t="shared" si="35"/>
        <v>0</v>
      </c>
      <c r="AQ44" s="4">
        <f t="shared" si="35"/>
        <v>0</v>
      </c>
      <c r="AR44" s="4">
        <f t="shared" si="35"/>
        <v>0</v>
      </c>
      <c r="AS44" t="e">
        <f>-SUM(X44:Y44)*0</f>
        <v>#REF!</v>
      </c>
      <c r="AT44" t="e">
        <f>-SUM(Y44:Z44)*0</f>
        <v>#REF!</v>
      </c>
      <c r="AU44" s="10"/>
    </row>
    <row r="45" spans="1:50" ht="20.100000000000001" customHeight="1" x14ac:dyDescent="0.25">
      <c r="D45">
        <f t="shared" si="23"/>
        <v>20</v>
      </c>
      <c r="F45" t="e">
        <f t="shared" si="27"/>
        <v>#REF!</v>
      </c>
      <c r="G45" s="110" t="e">
        <f t="shared" si="24"/>
        <v>#REF!</v>
      </c>
      <c r="H45" t="e">
        <f>$AQ$11</f>
        <v>#REF!</v>
      </c>
      <c r="I45" t="e">
        <f t="shared" si="25"/>
        <v>#REF!</v>
      </c>
      <c r="V45" s="62">
        <v>2</v>
      </c>
      <c r="W45" s="4" t="s">
        <v>89</v>
      </c>
      <c r="X45" s="4" t="e">
        <f t="shared" ref="X45:AS45" si="36">+X11</f>
        <v>#REF!</v>
      </c>
      <c r="Y45" s="4" t="e">
        <f t="shared" si="36"/>
        <v>#REF!</v>
      </c>
      <c r="Z45" s="4" t="e">
        <f t="shared" si="36"/>
        <v>#REF!</v>
      </c>
      <c r="AA45" s="4" t="e">
        <f t="shared" si="36"/>
        <v>#REF!</v>
      </c>
      <c r="AB45" s="4" t="e">
        <f t="shared" si="36"/>
        <v>#REF!</v>
      </c>
      <c r="AC45" s="4" t="e">
        <f t="shared" si="36"/>
        <v>#REF!</v>
      </c>
      <c r="AD45" s="4" t="e">
        <f t="shared" si="36"/>
        <v>#REF!</v>
      </c>
      <c r="AE45" s="4" t="e">
        <f t="shared" si="36"/>
        <v>#REF!</v>
      </c>
      <c r="AF45" s="4" t="e">
        <f t="shared" si="36"/>
        <v>#REF!</v>
      </c>
      <c r="AG45" s="4" t="e">
        <f t="shared" si="36"/>
        <v>#REF!</v>
      </c>
      <c r="AH45" s="4" t="e">
        <f t="shared" si="36"/>
        <v>#REF!</v>
      </c>
      <c r="AI45" s="4" t="e">
        <f t="shared" si="36"/>
        <v>#REF!</v>
      </c>
      <c r="AJ45" s="4" t="e">
        <f t="shared" si="36"/>
        <v>#REF!</v>
      </c>
      <c r="AK45" s="4" t="e">
        <f t="shared" si="36"/>
        <v>#REF!</v>
      </c>
      <c r="AL45" s="4" t="e">
        <f t="shared" si="36"/>
        <v>#REF!</v>
      </c>
      <c r="AM45" s="4" t="e">
        <f t="shared" si="36"/>
        <v>#REF!</v>
      </c>
      <c r="AN45" s="4" t="e">
        <f t="shared" si="36"/>
        <v>#REF!</v>
      </c>
      <c r="AO45" s="4" t="e">
        <f t="shared" si="36"/>
        <v>#REF!</v>
      </c>
      <c r="AP45" s="4" t="e">
        <f t="shared" si="36"/>
        <v>#REF!</v>
      </c>
      <c r="AQ45" s="4" t="e">
        <f t="shared" si="36"/>
        <v>#REF!</v>
      </c>
      <c r="AR45" s="4" t="e">
        <f t="shared" si="36"/>
        <v>#REF!</v>
      </c>
      <c r="AS45" s="4" t="e">
        <f t="shared" si="36"/>
        <v>#REF!</v>
      </c>
      <c r="AT45" s="4" t="e">
        <f t="shared" ref="AT45" si="37">+AT11</f>
        <v>#REF!</v>
      </c>
      <c r="AU45" s="10"/>
    </row>
    <row r="46" spans="1:50" ht="20.100000000000001" customHeight="1" x14ac:dyDescent="0.25">
      <c r="D46">
        <f t="shared" si="23"/>
        <v>21</v>
      </c>
      <c r="F46" t="e">
        <f t="shared" si="27"/>
        <v>#REF!</v>
      </c>
      <c r="G46" s="110" t="e">
        <f t="shared" si="24"/>
        <v>#REF!</v>
      </c>
      <c r="H46" t="e">
        <f>$AR$11</f>
        <v>#REF!</v>
      </c>
      <c r="I46" t="e">
        <f t="shared" si="25"/>
        <v>#REF!</v>
      </c>
      <c r="O46" t="s">
        <v>139</v>
      </c>
      <c r="P46" s="95">
        <f>1.075</f>
        <v>1.075</v>
      </c>
      <c r="V46" s="60" t="s">
        <v>21</v>
      </c>
      <c r="W46" s="7" t="s">
        <v>98</v>
      </c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10"/>
    </row>
    <row r="47" spans="1:50" ht="20.100000000000001" customHeight="1" x14ac:dyDescent="0.25">
      <c r="D47">
        <f t="shared" si="23"/>
        <v>22</v>
      </c>
      <c r="F47" t="e">
        <f>$D$14*6/12</f>
        <v>#REF!</v>
      </c>
      <c r="G47" s="110" t="e">
        <f t="shared" si="24"/>
        <v>#REF!</v>
      </c>
      <c r="H47" t="e">
        <f>$AS$11</f>
        <v>#REF!</v>
      </c>
      <c r="I47" t="e">
        <f t="shared" si="25"/>
        <v>#REF!</v>
      </c>
      <c r="V47" s="62">
        <v>1</v>
      </c>
      <c r="W47" s="4" t="s">
        <v>99</v>
      </c>
      <c r="X47" s="4" t="e">
        <f t="shared" ref="X47:AS47" si="38">+X20</f>
        <v>#REF!</v>
      </c>
      <c r="Y47" s="28" t="e">
        <f t="shared" si="38"/>
        <v>#REF!</v>
      </c>
      <c r="Z47" s="28" t="e">
        <f t="shared" si="38"/>
        <v>#REF!</v>
      </c>
      <c r="AA47" s="28" t="e">
        <f t="shared" si="38"/>
        <v>#REF!</v>
      </c>
      <c r="AB47" s="28" t="e">
        <f t="shared" si="38"/>
        <v>#REF!</v>
      </c>
      <c r="AC47" s="28" t="e">
        <f t="shared" si="38"/>
        <v>#REF!</v>
      </c>
      <c r="AD47" s="28" t="e">
        <f t="shared" si="38"/>
        <v>#REF!</v>
      </c>
      <c r="AE47" s="28" t="e">
        <f t="shared" si="38"/>
        <v>#REF!</v>
      </c>
      <c r="AF47" s="28" t="e">
        <f t="shared" si="38"/>
        <v>#REF!</v>
      </c>
      <c r="AG47" s="28" t="e">
        <f t="shared" si="38"/>
        <v>#REF!</v>
      </c>
      <c r="AH47" s="28" t="e">
        <f t="shared" si="38"/>
        <v>#REF!</v>
      </c>
      <c r="AI47" s="28" t="e">
        <f t="shared" si="38"/>
        <v>#REF!</v>
      </c>
      <c r="AJ47" s="28" t="e">
        <f t="shared" si="38"/>
        <v>#REF!</v>
      </c>
      <c r="AK47" s="28" t="e">
        <f t="shared" si="38"/>
        <v>#REF!</v>
      </c>
      <c r="AL47" s="28" t="e">
        <f t="shared" si="38"/>
        <v>#REF!</v>
      </c>
      <c r="AM47" s="28" t="e">
        <f t="shared" si="38"/>
        <v>#REF!</v>
      </c>
      <c r="AN47" s="28" t="e">
        <f t="shared" si="38"/>
        <v>#REF!</v>
      </c>
      <c r="AO47" s="28" t="e">
        <f t="shared" si="38"/>
        <v>#REF!</v>
      </c>
      <c r="AP47" s="28" t="e">
        <f t="shared" si="38"/>
        <v>#REF!</v>
      </c>
      <c r="AQ47" s="28" t="e">
        <f t="shared" si="38"/>
        <v>#REF!</v>
      </c>
      <c r="AR47" s="28" t="e">
        <f t="shared" si="38"/>
        <v>#REF!</v>
      </c>
      <c r="AS47" s="28" t="e">
        <f t="shared" si="38"/>
        <v>#REF!</v>
      </c>
      <c r="AT47" s="28" t="e">
        <f t="shared" ref="AT47" si="39">+AT20</f>
        <v>#REF!</v>
      </c>
      <c r="AU47" s="10"/>
    </row>
    <row r="48" spans="1:50" ht="20.100000000000001" customHeight="1" x14ac:dyDescent="0.25">
      <c r="D48" s="19">
        <f t="shared" si="23"/>
        <v>23</v>
      </c>
      <c r="E48" s="19"/>
      <c r="F48" s="19" t="e">
        <f>$D$14*6/12*0</f>
        <v>#REF!</v>
      </c>
      <c r="G48" s="111" t="e">
        <f t="shared" si="24"/>
        <v>#REF!</v>
      </c>
      <c r="H48" s="19" t="e">
        <f>$AT$11</f>
        <v>#REF!</v>
      </c>
      <c r="I48" s="19" t="e">
        <f t="shared" si="25"/>
        <v>#REF!</v>
      </c>
      <c r="J48" s="19"/>
      <c r="V48" s="62">
        <v>2</v>
      </c>
      <c r="W48" s="4" t="s">
        <v>180</v>
      </c>
      <c r="X48" s="4"/>
      <c r="Y48" s="28"/>
      <c r="Z48" s="28" t="e">
        <f>+D16/2</f>
        <v>#REF!</v>
      </c>
      <c r="AA48" s="4" t="e">
        <f>D16/2</f>
        <v>#REF!</v>
      </c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10"/>
    </row>
    <row r="49" spans="3:49" ht="20.100000000000001" customHeight="1" x14ac:dyDescent="0.25">
      <c r="G49" t="e">
        <f>NPV(0.1,G26:G47)</f>
        <v>#REF!</v>
      </c>
      <c r="I49" t="e">
        <f>NPV(0.1,I26:I48)</f>
        <v>#REF!</v>
      </c>
      <c r="V49" s="62">
        <v>3</v>
      </c>
      <c r="W49" s="4" t="s">
        <v>141</v>
      </c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10"/>
    </row>
    <row r="50" spans="3:49" ht="20.100000000000001" customHeight="1" x14ac:dyDescent="0.25">
      <c r="D50" s="19"/>
      <c r="E50" s="19"/>
      <c r="F50" s="19"/>
      <c r="G50" s="109" t="e">
        <f>IRR(G26:G47)</f>
        <v>#VALUE!</v>
      </c>
      <c r="H50" s="19"/>
      <c r="I50" s="109" t="e">
        <f>IRR(I26:I47)</f>
        <v>#VALUE!</v>
      </c>
      <c r="J50" s="19"/>
      <c r="V50" s="60" t="s">
        <v>22</v>
      </c>
      <c r="W50" s="7" t="s">
        <v>100</v>
      </c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10"/>
      <c r="AV50" s="63"/>
      <c r="AW50" s="63"/>
    </row>
    <row r="51" spans="3:49" ht="20.100000000000001" customHeight="1" x14ac:dyDescent="0.25">
      <c r="V51" s="62">
        <v>1</v>
      </c>
      <c r="W51" s="4" t="s">
        <v>101</v>
      </c>
      <c r="X51" s="4" t="e">
        <f>+X47+X48+X49-X44</f>
        <v>#REF!</v>
      </c>
      <c r="Y51" s="4" t="e">
        <f>+Y47+Y48+Y49-Y44</f>
        <v>#REF!</v>
      </c>
      <c r="Z51" s="4" t="e">
        <f>+Z47+Z48+Z49-Z44</f>
        <v>#REF!</v>
      </c>
      <c r="AA51" s="4" t="e">
        <f>+AA47+AA48+AA49-AA44</f>
        <v>#REF!</v>
      </c>
      <c r="AB51" s="4" t="e">
        <f t="shared" ref="AB51:AS51" si="40">+AB47+AB48+AB49-AB44</f>
        <v>#REF!</v>
      </c>
      <c r="AC51" s="4" t="e">
        <f t="shared" si="40"/>
        <v>#REF!</v>
      </c>
      <c r="AD51" s="4" t="e">
        <f t="shared" si="40"/>
        <v>#REF!</v>
      </c>
      <c r="AE51" s="4" t="e">
        <f t="shared" si="40"/>
        <v>#REF!</v>
      </c>
      <c r="AF51" s="4" t="e">
        <f t="shared" si="40"/>
        <v>#REF!</v>
      </c>
      <c r="AG51" s="4" t="e">
        <f t="shared" si="40"/>
        <v>#REF!</v>
      </c>
      <c r="AH51" s="4" t="e">
        <f t="shared" si="40"/>
        <v>#REF!</v>
      </c>
      <c r="AI51" s="4" t="e">
        <f t="shared" si="40"/>
        <v>#REF!</v>
      </c>
      <c r="AJ51" s="4" t="e">
        <f t="shared" si="40"/>
        <v>#REF!</v>
      </c>
      <c r="AK51" s="4" t="e">
        <f t="shared" si="40"/>
        <v>#REF!</v>
      </c>
      <c r="AL51" s="4" t="e">
        <f t="shared" si="40"/>
        <v>#REF!</v>
      </c>
      <c r="AM51" s="4" t="e">
        <f t="shared" si="40"/>
        <v>#REF!</v>
      </c>
      <c r="AN51" s="4" t="e">
        <f t="shared" si="40"/>
        <v>#REF!</v>
      </c>
      <c r="AO51" s="4" t="e">
        <f t="shared" si="40"/>
        <v>#REF!</v>
      </c>
      <c r="AP51" s="4" t="e">
        <f t="shared" si="40"/>
        <v>#REF!</v>
      </c>
      <c r="AQ51" s="4" t="e">
        <f t="shared" si="40"/>
        <v>#REF!</v>
      </c>
      <c r="AR51" s="4" t="e">
        <f t="shared" si="40"/>
        <v>#REF!</v>
      </c>
      <c r="AS51" s="4" t="e">
        <f t="shared" si="40"/>
        <v>#REF!</v>
      </c>
      <c r="AT51" s="4" t="e">
        <f t="shared" ref="AT51" si="41">+AT47+AT48+AT49-AT44</f>
        <v>#REF!</v>
      </c>
      <c r="AU51" s="10"/>
      <c r="AW51" s="63"/>
    </row>
    <row r="52" spans="3:49" ht="20.100000000000001" customHeight="1" x14ac:dyDescent="0.25">
      <c r="V52" s="62">
        <v>2</v>
      </c>
      <c r="W52" s="4" t="s">
        <v>102</v>
      </c>
      <c r="X52" s="28" t="e">
        <f>+X51-X45</f>
        <v>#REF!</v>
      </c>
      <c r="Y52" s="28" t="e">
        <f t="shared" ref="Y52:AS52" si="42">+Y51-Y45</f>
        <v>#REF!</v>
      </c>
      <c r="Z52" s="28" t="e">
        <f t="shared" si="42"/>
        <v>#REF!</v>
      </c>
      <c r="AA52" s="28" t="e">
        <f t="shared" si="42"/>
        <v>#REF!</v>
      </c>
      <c r="AB52" s="28" t="e">
        <f t="shared" si="42"/>
        <v>#REF!</v>
      </c>
      <c r="AC52" s="28" t="e">
        <f t="shared" si="42"/>
        <v>#REF!</v>
      </c>
      <c r="AD52" s="28" t="e">
        <f t="shared" si="42"/>
        <v>#REF!</v>
      </c>
      <c r="AE52" s="28" t="e">
        <f t="shared" si="42"/>
        <v>#REF!</v>
      </c>
      <c r="AF52" s="28" t="e">
        <f t="shared" si="42"/>
        <v>#REF!</v>
      </c>
      <c r="AG52" s="28" t="e">
        <f t="shared" si="42"/>
        <v>#REF!</v>
      </c>
      <c r="AH52" s="28" t="e">
        <f t="shared" si="42"/>
        <v>#REF!</v>
      </c>
      <c r="AI52" s="28" t="e">
        <f t="shared" si="42"/>
        <v>#REF!</v>
      </c>
      <c r="AJ52" s="28" t="e">
        <f t="shared" si="42"/>
        <v>#REF!</v>
      </c>
      <c r="AK52" s="28" t="e">
        <f t="shared" si="42"/>
        <v>#REF!</v>
      </c>
      <c r="AL52" s="28" t="e">
        <f t="shared" si="42"/>
        <v>#REF!</v>
      </c>
      <c r="AM52" s="28" t="e">
        <f t="shared" si="42"/>
        <v>#REF!</v>
      </c>
      <c r="AN52" s="28" t="e">
        <f t="shared" si="42"/>
        <v>#REF!</v>
      </c>
      <c r="AO52" s="28" t="e">
        <f t="shared" si="42"/>
        <v>#REF!</v>
      </c>
      <c r="AP52" s="28" t="e">
        <f t="shared" si="42"/>
        <v>#REF!</v>
      </c>
      <c r="AQ52" s="28" t="e">
        <f t="shared" si="42"/>
        <v>#REF!</v>
      </c>
      <c r="AR52" s="28" t="e">
        <f t="shared" si="42"/>
        <v>#REF!</v>
      </c>
      <c r="AS52" s="28" t="e">
        <f t="shared" si="42"/>
        <v>#REF!</v>
      </c>
      <c r="AT52" s="28" t="e">
        <f t="shared" ref="AT52" si="43">+AT51-AT45</f>
        <v>#REF!</v>
      </c>
      <c r="AU52" s="10"/>
      <c r="AW52" s="63"/>
    </row>
    <row r="53" spans="3:49" ht="20.100000000000001" customHeight="1" x14ac:dyDescent="0.25">
      <c r="V53" s="60" t="s">
        <v>103</v>
      </c>
      <c r="W53" s="1" t="s">
        <v>151</v>
      </c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10"/>
      <c r="AW53" s="63"/>
    </row>
    <row r="54" spans="3:49" ht="20.100000000000001" customHeight="1" x14ac:dyDescent="0.25">
      <c r="V54" s="31">
        <v>1</v>
      </c>
      <c r="W54" s="4" t="s">
        <v>101</v>
      </c>
      <c r="X54" s="4" t="e">
        <f>NPV(0.1,X51:AR51)</f>
        <v>#REF!</v>
      </c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S54" s="28">
        <f>+AT50</f>
        <v>0</v>
      </c>
      <c r="AT54" s="28">
        <f>+AU50</f>
        <v>0</v>
      </c>
      <c r="AU54" s="97"/>
      <c r="AW54" s="63"/>
    </row>
    <row r="55" spans="3:49" ht="20.100000000000001" customHeight="1" x14ac:dyDescent="0.25">
      <c r="V55" s="62">
        <v>2</v>
      </c>
      <c r="W55" s="4" t="s">
        <v>104</v>
      </c>
      <c r="X55" s="4" t="e">
        <f>NPV(0.1,X52:AR52)</f>
        <v>#REF!</v>
      </c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S55" s="28">
        <f>+AU51</f>
        <v>0</v>
      </c>
      <c r="AT55" s="28">
        <f>+AV51</f>
        <v>0</v>
      </c>
      <c r="AU55" s="97"/>
      <c r="AW55" s="63"/>
    </row>
    <row r="56" spans="3:49" ht="20.100000000000001" customHeight="1" x14ac:dyDescent="0.25">
      <c r="V56" s="60" t="s">
        <v>105</v>
      </c>
      <c r="W56" s="7" t="s">
        <v>26</v>
      </c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S56" s="28"/>
      <c r="AT56" s="28"/>
      <c r="AU56" s="97"/>
      <c r="AW56" s="63"/>
    </row>
    <row r="57" spans="3:49" ht="20.100000000000001" customHeight="1" x14ac:dyDescent="0.25">
      <c r="V57" s="62">
        <v>1</v>
      </c>
      <c r="W57" s="4" t="s">
        <v>101</v>
      </c>
      <c r="X57" s="85" t="e">
        <f>IRR(X51:AR51)</f>
        <v>#VALUE!</v>
      </c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S57" s="64">
        <f>+AV50</f>
        <v>0</v>
      </c>
      <c r="AT57" s="64">
        <f>+AW50</f>
        <v>0</v>
      </c>
      <c r="AU57" s="98"/>
    </row>
    <row r="58" spans="3:49" ht="20.100000000000001" customHeight="1" x14ac:dyDescent="0.25">
      <c r="C58" s="9"/>
      <c r="F58" s="65"/>
      <c r="V58" s="66">
        <v>2</v>
      </c>
      <c r="W58" s="12" t="s">
        <v>104</v>
      </c>
      <c r="X58" s="86" t="e">
        <f>IRR(X52:AR52)</f>
        <v>#VALUE!</v>
      </c>
      <c r="Y58" s="14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9"/>
      <c r="AS58" s="99">
        <f>+AW51</f>
        <v>0</v>
      </c>
      <c r="AT58" s="99">
        <f>+AX51</f>
        <v>0</v>
      </c>
      <c r="AU58" s="98"/>
    </row>
    <row r="59" spans="3:49" ht="20.100000000000001" customHeight="1" x14ac:dyDescent="0.25">
      <c r="C59" s="9"/>
      <c r="F59" s="65"/>
      <c r="V59" s="62"/>
      <c r="W59" s="4"/>
      <c r="X59" s="4"/>
      <c r="Y59" s="6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67"/>
      <c r="AT59" s="10"/>
      <c r="AU59" s="10"/>
    </row>
    <row r="60" spans="3:49" ht="18" x14ac:dyDescent="0.25">
      <c r="V60" s="68"/>
      <c r="W60" s="69"/>
      <c r="X60" s="70"/>
      <c r="Y60" s="5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</row>
    <row r="61" spans="3:49" ht="20.25" x14ac:dyDescent="0.3">
      <c r="V61" s="68"/>
      <c r="W61" s="112" t="s">
        <v>25</v>
      </c>
      <c r="X61" s="6" t="e">
        <f>NPV(0.1,X47:AT48)/NPV(0.1,X44:AT45)</f>
        <v>#REF!</v>
      </c>
      <c r="Y61" s="5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</row>
    <row r="62" spans="3:49" ht="18" x14ac:dyDescent="0.25">
      <c r="V62" s="68"/>
      <c r="W62" s="69"/>
      <c r="X62" s="70"/>
      <c r="Y62" s="5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</row>
    <row r="63" spans="3:49" ht="18" x14ac:dyDescent="0.25">
      <c r="V63" s="68"/>
      <c r="W63" s="113" t="s">
        <v>156</v>
      </c>
      <c r="X63" s="113"/>
      <c r="Y63" s="4"/>
      <c r="Z63" s="4"/>
      <c r="AA63" s="4"/>
      <c r="AB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</row>
    <row r="64" spans="3:49" ht="18" x14ac:dyDescent="0.25">
      <c r="V64" s="68"/>
      <c r="W64" s="114" t="s">
        <v>157</v>
      </c>
      <c r="X64" s="115" t="s">
        <v>158</v>
      </c>
      <c r="Y64" s="30" t="s">
        <v>159</v>
      </c>
      <c r="Z64" s="30" t="s">
        <v>160</v>
      </c>
      <c r="AA64" s="30" t="s">
        <v>161</v>
      </c>
      <c r="AB64" s="30" t="s">
        <v>162</v>
      </c>
      <c r="AC64" s="30" t="s">
        <v>163</v>
      </c>
      <c r="AD64" s="30" t="s">
        <v>164</v>
      </c>
      <c r="AE64" s="30" t="s">
        <v>165</v>
      </c>
      <c r="AF64" s="30" t="s">
        <v>164</v>
      </c>
      <c r="AG64" s="30" t="s">
        <v>165</v>
      </c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</row>
    <row r="65" spans="22:45" ht="18" x14ac:dyDescent="0.25">
      <c r="V65" s="68"/>
      <c r="W65" s="82" t="s">
        <v>166</v>
      </c>
      <c r="X65" s="4" t="e">
        <f>D17</f>
        <v>#REF!</v>
      </c>
      <c r="Y65" t="e">
        <f>X70</f>
        <v>#REF!</v>
      </c>
      <c r="Z65" t="e">
        <f>Y70</f>
        <v>#REF!</v>
      </c>
      <c r="AA65" t="e">
        <f t="shared" ref="AA65:AF65" si="44">Z70</f>
        <v>#REF!</v>
      </c>
      <c r="AB65" t="e">
        <f t="shared" si="44"/>
        <v>#REF!</v>
      </c>
      <c r="AC65" t="e">
        <f t="shared" si="44"/>
        <v>#REF!</v>
      </c>
      <c r="AD65" t="e">
        <f t="shared" si="44"/>
        <v>#REF!</v>
      </c>
      <c r="AE65" t="e">
        <f t="shared" si="44"/>
        <v>#REF!</v>
      </c>
      <c r="AF65" t="e">
        <f t="shared" si="44"/>
        <v>#REF!</v>
      </c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</row>
    <row r="66" spans="22:45" ht="18" x14ac:dyDescent="0.25">
      <c r="V66" s="68"/>
      <c r="W66" s="82" t="s">
        <v>167</v>
      </c>
      <c r="X66" s="4" t="e">
        <f t="shared" ref="X66:Z67" si="45">X7</f>
        <v>#REF!</v>
      </c>
      <c r="Y66" s="4" t="e">
        <f t="shared" si="45"/>
        <v>#REF!</v>
      </c>
      <c r="Z66" s="4" t="e">
        <f t="shared" si="45"/>
        <v>#REF!</v>
      </c>
      <c r="AA66" s="4" t="e">
        <f t="shared" ref="AA66:AF66" si="46">AA7</f>
        <v>#REF!</v>
      </c>
      <c r="AB66" s="4" t="e">
        <f t="shared" si="46"/>
        <v>#REF!</v>
      </c>
      <c r="AC66" s="4" t="e">
        <f t="shared" si="46"/>
        <v>#REF!</v>
      </c>
      <c r="AD66" s="4" t="e">
        <f t="shared" si="46"/>
        <v>#REF!</v>
      </c>
      <c r="AE66" s="4" t="e">
        <f t="shared" si="46"/>
        <v>#REF!</v>
      </c>
      <c r="AF66" s="4" t="e">
        <f t="shared" si="46"/>
        <v>#REF!</v>
      </c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</row>
    <row r="67" spans="22:45" ht="18" x14ac:dyDescent="0.25">
      <c r="V67" s="68"/>
      <c r="W67" s="116" t="s">
        <v>168</v>
      </c>
      <c r="X67" s="4" t="e">
        <f t="shared" si="45"/>
        <v>#REF!</v>
      </c>
      <c r="Y67" s="4" t="e">
        <f t="shared" si="45"/>
        <v>#REF!</v>
      </c>
      <c r="Z67" s="4" t="e">
        <f t="shared" si="45"/>
        <v>#REF!</v>
      </c>
      <c r="AA67" s="4" t="e">
        <f t="shared" ref="AA67:AF67" si="47">AA8</f>
        <v>#REF!</v>
      </c>
      <c r="AB67" s="4" t="e">
        <f t="shared" si="47"/>
        <v>#REF!</v>
      </c>
      <c r="AC67" s="4" t="e">
        <f t="shared" si="47"/>
        <v>#REF!</v>
      </c>
      <c r="AD67" s="4" t="e">
        <f t="shared" si="47"/>
        <v>#REF!</v>
      </c>
      <c r="AE67" s="4" t="e">
        <f t="shared" si="47"/>
        <v>#REF!</v>
      </c>
      <c r="AF67" s="4" t="e">
        <f t="shared" si="47"/>
        <v>#REF!</v>
      </c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</row>
    <row r="68" spans="22:45" x14ac:dyDescent="0.2">
      <c r="W68" s="116" t="s">
        <v>169</v>
      </c>
      <c r="X68" s="37" t="e">
        <f>X11</f>
        <v>#REF!</v>
      </c>
      <c r="Y68" s="37" t="e">
        <f>Y11</f>
        <v>#REF!</v>
      </c>
      <c r="Z68" s="37" t="e">
        <f>Z11</f>
        <v>#REF!</v>
      </c>
      <c r="AA68" s="37" t="e">
        <f t="shared" ref="AA68:AF68" si="48">AA11</f>
        <v>#REF!</v>
      </c>
      <c r="AB68" s="37" t="e">
        <f t="shared" si="48"/>
        <v>#REF!</v>
      </c>
      <c r="AC68" s="37" t="e">
        <f t="shared" si="48"/>
        <v>#REF!</v>
      </c>
      <c r="AD68" s="37" t="e">
        <f t="shared" si="48"/>
        <v>#REF!</v>
      </c>
      <c r="AE68" s="37" t="e">
        <f t="shared" si="48"/>
        <v>#REF!</v>
      </c>
      <c r="AF68" s="37" t="e">
        <f t="shared" si="48"/>
        <v>#REF!</v>
      </c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</row>
    <row r="69" spans="22:45" x14ac:dyDescent="0.2">
      <c r="W69" s="116" t="s">
        <v>170</v>
      </c>
      <c r="X69" s="37" t="e">
        <f>+X66-X67-X68</f>
        <v>#REF!</v>
      </c>
      <c r="Y69" s="37" t="e">
        <f>+Y66-Y67-Y68</f>
        <v>#REF!</v>
      </c>
      <c r="Z69" s="37" t="e">
        <f>+Z66-Z67-Z68</f>
        <v>#REF!</v>
      </c>
      <c r="AA69" s="37" t="e">
        <f t="shared" ref="AA69:AF69" si="49">+AA66-AA67-AA68</f>
        <v>#REF!</v>
      </c>
      <c r="AB69" s="37" t="e">
        <f t="shared" si="49"/>
        <v>#REF!</v>
      </c>
      <c r="AC69" s="37" t="e">
        <f t="shared" si="49"/>
        <v>#REF!</v>
      </c>
      <c r="AD69" s="37" t="e">
        <f t="shared" si="49"/>
        <v>#REF!</v>
      </c>
      <c r="AE69" s="37" t="e">
        <f t="shared" si="49"/>
        <v>#REF!</v>
      </c>
      <c r="AF69" s="37" t="e">
        <f t="shared" si="49"/>
        <v>#REF!</v>
      </c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</row>
    <row r="70" spans="22:45" x14ac:dyDescent="0.2">
      <c r="W70" s="116" t="s">
        <v>171</v>
      </c>
      <c r="X70" s="37" t="e">
        <f>+X65-X69</f>
        <v>#REF!</v>
      </c>
      <c r="Y70" s="37" t="e">
        <f>+Y65-Y69</f>
        <v>#REF!</v>
      </c>
      <c r="Z70" s="37" t="e">
        <f>+Z65-Z69</f>
        <v>#REF!</v>
      </c>
      <c r="AA70" s="37" t="e">
        <f t="shared" ref="AA70:AF70" si="50">+AA65-AA69</f>
        <v>#REF!</v>
      </c>
      <c r="AB70" s="37" t="e">
        <f t="shared" si="50"/>
        <v>#REF!</v>
      </c>
      <c r="AC70" s="37" t="e">
        <f t="shared" si="50"/>
        <v>#REF!</v>
      </c>
      <c r="AD70" s="37" t="e">
        <f t="shared" si="50"/>
        <v>#REF!</v>
      </c>
      <c r="AE70" s="37" t="e">
        <f t="shared" si="50"/>
        <v>#REF!</v>
      </c>
      <c r="AF70" s="37" t="e">
        <f t="shared" si="50"/>
        <v>#REF!</v>
      </c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</row>
    <row r="71" spans="22:45" x14ac:dyDescent="0.2">
      <c r="W71" s="116"/>
      <c r="X71" s="37" t="e">
        <f>IF(X65/X69&gt;1,1,X65/X69)*0+3/12</f>
        <v>#REF!</v>
      </c>
      <c r="Y71" s="37" t="e">
        <f>IF(Y65/Y69&gt;1,1,Y65/Y69)</f>
        <v>#REF!</v>
      </c>
      <c r="Z71" s="37" t="e">
        <f>IF(Z65/Z69&gt;1,1,Z65/Z69)</f>
        <v>#REF!</v>
      </c>
      <c r="AA71" s="37"/>
      <c r="AB71" s="37"/>
      <c r="AC71" s="37"/>
      <c r="AD71" s="37"/>
      <c r="AE71" s="37"/>
      <c r="AF71" s="37"/>
      <c r="AG71" s="37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</row>
    <row r="72" spans="22:45" x14ac:dyDescent="0.2">
      <c r="W72" s="117" t="s">
        <v>172</v>
      </c>
      <c r="X72" s="120" t="e">
        <f>SUM(X71:AC71)</f>
        <v>#REF!</v>
      </c>
      <c r="Y72" s="43"/>
      <c r="Z72" s="118"/>
      <c r="AA72" s="12"/>
      <c r="AB72" s="19"/>
      <c r="AC72" s="19"/>
      <c r="AD72" s="12"/>
      <c r="AE72" s="12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</row>
    <row r="73" spans="22:45" x14ac:dyDescent="0.2"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</row>
    <row r="74" spans="22:45" x14ac:dyDescent="0.2">
      <c r="W74" s="37" t="s">
        <v>173</v>
      </c>
      <c r="X74" s="37"/>
      <c r="Y74" s="4"/>
      <c r="Z74" s="4" t="e">
        <f t="shared" ref="Z74:AJ74" si="51">Z7/(Z30+Z32)</f>
        <v>#REF!</v>
      </c>
      <c r="AA74" s="4" t="e">
        <f t="shared" si="51"/>
        <v>#REF!</v>
      </c>
      <c r="AB74" s="4" t="e">
        <f t="shared" si="51"/>
        <v>#REF!</v>
      </c>
      <c r="AC74" s="4" t="e">
        <f t="shared" si="51"/>
        <v>#REF!</v>
      </c>
      <c r="AD74" s="4" t="e">
        <f t="shared" si="51"/>
        <v>#REF!</v>
      </c>
      <c r="AE74" s="4" t="e">
        <f t="shared" si="51"/>
        <v>#REF!</v>
      </c>
      <c r="AF74" s="4" t="e">
        <f t="shared" si="51"/>
        <v>#REF!</v>
      </c>
      <c r="AG74" s="4" t="e">
        <f t="shared" si="51"/>
        <v>#REF!</v>
      </c>
      <c r="AH74" s="4" t="e">
        <f t="shared" si="51"/>
        <v>#REF!</v>
      </c>
      <c r="AI74" s="4" t="e">
        <f t="shared" si="51"/>
        <v>#REF!</v>
      </c>
      <c r="AJ74" s="4" t="e">
        <f t="shared" si="51"/>
        <v>#REF!</v>
      </c>
      <c r="AK74" s="119"/>
      <c r="AL74" s="119"/>
      <c r="AM74" s="119"/>
      <c r="AN74" s="4"/>
      <c r="AO74" s="4"/>
      <c r="AP74" s="4"/>
      <c r="AQ74" s="4"/>
      <c r="AR74" s="4"/>
      <c r="AS74" s="4"/>
    </row>
    <row r="75" spans="22:45" x14ac:dyDescent="0.2">
      <c r="W75" s="37" t="s">
        <v>174</v>
      </c>
      <c r="X75" s="37"/>
      <c r="Y75" s="37"/>
      <c r="Z75" s="37"/>
      <c r="AA75" s="37"/>
      <c r="AB75" s="37"/>
      <c r="AC75" s="37"/>
      <c r="AD75" s="37"/>
      <c r="AE75" s="37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</row>
    <row r="76" spans="22:45" x14ac:dyDescent="0.2">
      <c r="W76" s="37" t="s">
        <v>175</v>
      </c>
      <c r="X76" s="37"/>
      <c r="AA76" s="37"/>
      <c r="AB76" s="37"/>
      <c r="AC76" s="37"/>
      <c r="AD76" s="37"/>
      <c r="AE76" s="37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</row>
    <row r="77" spans="22:45" x14ac:dyDescent="0.2">
      <c r="W77" s="37" t="s">
        <v>176</v>
      </c>
      <c r="X77" s="37"/>
      <c r="Y77" s="4" t="e">
        <f>SUM(Y7:AG7)/SUM(Y30:AG32)</f>
        <v>#REF!</v>
      </c>
      <c r="Z77" s="4"/>
      <c r="AA77" s="4"/>
      <c r="AB77" s="4"/>
      <c r="AC77" s="4"/>
      <c r="AD77" s="4"/>
      <c r="AE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</row>
    <row r="78" spans="22:45" x14ac:dyDescent="0.2"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</row>
    <row r="79" spans="22:45" x14ac:dyDescent="0.2"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</row>
    <row r="80" spans="22:45" x14ac:dyDescent="0.2"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</row>
    <row r="81" spans="23:45" x14ac:dyDescent="0.2"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</row>
    <row r="82" spans="23:45" x14ac:dyDescent="0.2"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</row>
    <row r="83" spans="23:45" x14ac:dyDescent="0.2"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</row>
    <row r="84" spans="23:45" x14ac:dyDescent="0.2"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</row>
    <row r="85" spans="23:45" x14ac:dyDescent="0.2"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</row>
    <row r="86" spans="23:45" x14ac:dyDescent="0.2"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</row>
  </sheetData>
  <mergeCells count="2">
    <mergeCell ref="H3:I3"/>
    <mergeCell ref="H15:I15"/>
  </mergeCells>
  <phoneticPr fontId="33" type="noConversion"/>
  <pageMargins left="1.06" right="0.75" top="1.01" bottom="0.66" header="0.5" footer="0.47"/>
  <pageSetup scale="13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B7:I37"/>
  <sheetViews>
    <sheetView topLeftCell="A7" workbookViewId="0">
      <selection activeCell="E19" sqref="E19"/>
    </sheetView>
  </sheetViews>
  <sheetFormatPr defaultRowHeight="15" x14ac:dyDescent="0.2"/>
  <cols>
    <col min="3" max="3" width="28.6640625" customWidth="1"/>
    <col min="4" max="4" width="17.21875" customWidth="1"/>
    <col min="5" max="5" width="15" customWidth="1"/>
  </cols>
  <sheetData>
    <row r="7" spans="2:5" ht="18.75" x14ac:dyDescent="0.3">
      <c r="E7" s="103" t="s">
        <v>181</v>
      </c>
    </row>
    <row r="8" spans="2:5" ht="18.75" x14ac:dyDescent="0.3">
      <c r="D8" s="79"/>
    </row>
    <row r="9" spans="2:5" ht="15.75" x14ac:dyDescent="0.25">
      <c r="B9" s="805" t="e">
        <f>#REF!</f>
        <v>#REF!</v>
      </c>
      <c r="C9" s="805"/>
      <c r="D9" s="805"/>
      <c r="E9" s="805"/>
    </row>
    <row r="10" spans="2:5" ht="15.75" x14ac:dyDescent="0.25">
      <c r="B10" s="805" t="e">
        <f>#REF!</f>
        <v>#REF!</v>
      </c>
      <c r="C10" s="805"/>
      <c r="D10" s="805"/>
      <c r="E10" s="805"/>
    </row>
    <row r="11" spans="2:5" ht="15.75" x14ac:dyDescent="0.2">
      <c r="B11" s="818" t="e">
        <f>#REF!</f>
        <v>#REF!</v>
      </c>
      <c r="C11" s="818"/>
      <c r="D11" s="818"/>
      <c r="E11" s="818"/>
    </row>
    <row r="12" spans="2:5" ht="15.75" x14ac:dyDescent="0.25">
      <c r="B12" s="820" t="s">
        <v>119</v>
      </c>
      <c r="C12" s="820"/>
      <c r="D12" s="820"/>
      <c r="E12" s="820"/>
    </row>
    <row r="13" spans="2:5" ht="15.75" x14ac:dyDescent="0.25">
      <c r="B13" s="72"/>
      <c r="C13" s="72"/>
      <c r="D13" s="72"/>
      <c r="E13" s="72"/>
    </row>
    <row r="14" spans="2:5" x14ac:dyDescent="0.2">
      <c r="B14" s="87" t="s">
        <v>131</v>
      </c>
      <c r="C14" s="87" t="s">
        <v>116</v>
      </c>
      <c r="D14" s="87" t="s">
        <v>29</v>
      </c>
      <c r="E14" s="87" t="s">
        <v>132</v>
      </c>
    </row>
    <row r="15" spans="2:5" ht="15.75" x14ac:dyDescent="0.2">
      <c r="B15" s="440">
        <v>1</v>
      </c>
      <c r="C15" s="441" t="s">
        <v>178</v>
      </c>
      <c r="D15" s="442" t="s">
        <v>107</v>
      </c>
      <c r="E15" s="443" t="e">
        <f>+#REF!</f>
        <v>#REF!</v>
      </c>
    </row>
    <row r="16" spans="2:5" ht="15.75" x14ac:dyDescent="0.2">
      <c r="B16" s="444"/>
      <c r="C16" s="445"/>
      <c r="D16" s="446"/>
      <c r="E16" s="447"/>
    </row>
    <row r="17" spans="2:9" ht="31.5" x14ac:dyDescent="0.2">
      <c r="B17" s="444">
        <v>2</v>
      </c>
      <c r="C17" s="448" t="s">
        <v>368</v>
      </c>
      <c r="D17" s="449" t="s">
        <v>107</v>
      </c>
      <c r="E17" s="447" t="e">
        <f>GM!F30</f>
        <v>#REF!</v>
      </c>
    </row>
    <row r="18" spans="2:9" ht="15.75" x14ac:dyDescent="0.2">
      <c r="B18" s="444"/>
      <c r="C18" s="450"/>
      <c r="D18" s="449"/>
      <c r="E18" s="447"/>
    </row>
    <row r="19" spans="2:9" ht="15.75" x14ac:dyDescent="0.2">
      <c r="B19" s="451">
        <v>3</v>
      </c>
      <c r="C19" s="452" t="s">
        <v>152</v>
      </c>
      <c r="D19" s="453" t="s">
        <v>108</v>
      </c>
      <c r="E19" s="447" t="e">
        <f>'cash flow'!X55</f>
        <v>#REF!</v>
      </c>
    </row>
    <row r="20" spans="2:9" ht="15.75" x14ac:dyDescent="0.2">
      <c r="B20" s="444"/>
      <c r="C20" s="454"/>
      <c r="D20" s="455"/>
      <c r="E20" s="450"/>
      <c r="H20" t="e">
        <f>E17/E15</f>
        <v>#REF!</v>
      </c>
    </row>
    <row r="21" spans="2:9" ht="15.75" x14ac:dyDescent="0.2">
      <c r="B21" s="444">
        <v>4</v>
      </c>
      <c r="C21" s="452" t="s">
        <v>109</v>
      </c>
      <c r="D21" s="455" t="s">
        <v>27</v>
      </c>
      <c r="E21" s="456" t="e">
        <f>'cash flow'!X58</f>
        <v>#VALUE!</v>
      </c>
      <c r="H21" t="e">
        <f>H20*0.8</f>
        <v>#REF!</v>
      </c>
      <c r="I21" s="107">
        <v>0.17478531411229481</v>
      </c>
    </row>
    <row r="22" spans="2:9" ht="15.75" x14ac:dyDescent="0.2">
      <c r="B22" s="457"/>
      <c r="C22" s="458"/>
      <c r="D22" s="459"/>
      <c r="E22" s="460"/>
      <c r="H22" t="e">
        <f>H21*0.8</f>
        <v>#REF!</v>
      </c>
    </row>
    <row r="23" spans="2:9" ht="15.75" x14ac:dyDescent="0.2">
      <c r="B23" s="88"/>
      <c r="C23" s="821"/>
      <c r="D23" s="822"/>
      <c r="E23" s="822"/>
    </row>
    <row r="26" spans="2:9" ht="15.75" x14ac:dyDescent="0.25">
      <c r="B26" s="74"/>
      <c r="C26" s="72"/>
      <c r="D26" s="71"/>
      <c r="E26" s="71"/>
    </row>
    <row r="27" spans="2:9" ht="15.75" x14ac:dyDescent="0.25">
      <c r="B27" s="71"/>
      <c r="C27" s="71"/>
      <c r="D27" s="71"/>
      <c r="E27" s="71"/>
    </row>
    <row r="28" spans="2:9" ht="15.75" x14ac:dyDescent="0.25">
      <c r="B28" s="820" t="s">
        <v>110</v>
      </c>
      <c r="C28" s="820"/>
      <c r="D28" s="820"/>
      <c r="E28" s="820"/>
    </row>
    <row r="29" spans="2:9" ht="15.75" x14ac:dyDescent="0.25">
      <c r="B29" s="73"/>
      <c r="C29" s="73"/>
      <c r="D29" s="73"/>
      <c r="E29" s="73"/>
    </row>
    <row r="30" spans="2:9" ht="15.75" x14ac:dyDescent="0.25">
      <c r="B30" s="71"/>
      <c r="C30" s="71"/>
      <c r="D30" s="71"/>
      <c r="E30" s="71"/>
    </row>
    <row r="31" spans="2:9" ht="15.75" x14ac:dyDescent="0.25">
      <c r="B31" s="75" t="s">
        <v>19</v>
      </c>
      <c r="C31" s="89" t="s">
        <v>111</v>
      </c>
      <c r="D31" s="90" t="s">
        <v>26</v>
      </c>
      <c r="E31" s="71" t="s">
        <v>140</v>
      </c>
    </row>
    <row r="32" spans="2:9" ht="15.75" x14ac:dyDescent="0.25">
      <c r="B32" s="75"/>
      <c r="C32" s="76"/>
      <c r="D32" s="89" t="s">
        <v>112</v>
      </c>
      <c r="E32" s="71"/>
    </row>
    <row r="33" spans="2:5" ht="22.5" customHeight="1" x14ac:dyDescent="0.25">
      <c r="B33" s="91">
        <v>1</v>
      </c>
      <c r="C33" s="93" t="s">
        <v>137</v>
      </c>
      <c r="D33" s="92" t="e">
        <f>$E$21</f>
        <v>#VALUE!</v>
      </c>
      <c r="E33" s="71"/>
    </row>
    <row r="34" spans="2:5" ht="22.5" customHeight="1" x14ac:dyDescent="0.25">
      <c r="B34" s="91">
        <v>2</v>
      </c>
      <c r="C34" s="78" t="s">
        <v>136</v>
      </c>
      <c r="D34" s="92" t="e">
        <f t="shared" ref="D34:D37" si="0">$E$21</f>
        <v>#VALUE!</v>
      </c>
      <c r="E34" s="71"/>
    </row>
    <row r="35" spans="2:5" ht="24.75" customHeight="1" x14ac:dyDescent="0.25">
      <c r="B35" s="91">
        <v>3</v>
      </c>
      <c r="C35" s="78" t="s">
        <v>113</v>
      </c>
      <c r="D35" s="92" t="e">
        <f t="shared" si="0"/>
        <v>#VALUE!</v>
      </c>
      <c r="E35" s="71"/>
    </row>
    <row r="36" spans="2:5" ht="35.25" customHeight="1" x14ac:dyDescent="0.25">
      <c r="B36" s="91">
        <v>4</v>
      </c>
      <c r="C36" s="78" t="s">
        <v>114</v>
      </c>
      <c r="D36" s="92" t="e">
        <f t="shared" si="0"/>
        <v>#VALUE!</v>
      </c>
      <c r="E36" s="71"/>
    </row>
    <row r="37" spans="2:5" ht="15.75" x14ac:dyDescent="0.25">
      <c r="B37" s="75">
        <v>5</v>
      </c>
      <c r="C37" s="96" t="s">
        <v>138</v>
      </c>
      <c r="D37" s="92" t="e">
        <f t="shared" si="0"/>
        <v>#VALUE!</v>
      </c>
      <c r="E37" s="71">
        <v>74.411912864613029</v>
      </c>
    </row>
  </sheetData>
  <mergeCells count="6">
    <mergeCell ref="B12:E12"/>
    <mergeCell ref="B28:E28"/>
    <mergeCell ref="C23:E23"/>
    <mergeCell ref="B9:E9"/>
    <mergeCell ref="B10:E10"/>
    <mergeCell ref="B11:E1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V132"/>
  <sheetViews>
    <sheetView showZeros="0" workbookViewId="0">
      <selection activeCell="G9" sqref="G9"/>
    </sheetView>
  </sheetViews>
  <sheetFormatPr defaultRowHeight="15" x14ac:dyDescent="0.25"/>
  <cols>
    <col min="1" max="1" width="6.44140625" style="488" customWidth="1"/>
    <col min="2" max="2" width="43.33203125" style="488" customWidth="1"/>
    <col min="3" max="3" width="11.109375" style="488" customWidth="1"/>
    <col min="4" max="4" width="13.109375" style="488" customWidth="1"/>
    <col min="5" max="5" width="13.88671875" style="488" customWidth="1"/>
    <col min="6" max="6" width="12.44140625" style="488" customWidth="1"/>
    <col min="7" max="7" width="13" style="488" customWidth="1"/>
    <col min="8" max="8" width="11" style="488" customWidth="1"/>
    <col min="9" max="9" width="9.88671875" style="488" customWidth="1"/>
    <col min="10" max="10" width="11.109375" style="488" customWidth="1"/>
    <col min="11" max="11" width="9.44140625" style="488" customWidth="1"/>
    <col min="12" max="12" width="9.5546875" style="488" customWidth="1"/>
    <col min="13" max="13" width="10.77734375" style="488" customWidth="1"/>
    <col min="14" max="14" width="6.5546875" style="488" customWidth="1"/>
    <col min="15" max="15" width="7.5546875" style="488" customWidth="1"/>
    <col min="16" max="16" width="10.109375" style="488" customWidth="1"/>
    <col min="17" max="17" width="9.44140625" style="488" customWidth="1"/>
    <col min="18" max="18" width="11" style="488" customWidth="1"/>
    <col min="19" max="19" width="14" style="488" customWidth="1"/>
    <col min="20" max="20" width="9.88671875" style="488" customWidth="1"/>
    <col min="21" max="24" width="8.88671875" style="488"/>
    <col min="25" max="25" width="15" style="488" customWidth="1"/>
    <col min="26" max="26" width="6.44140625" style="488" customWidth="1"/>
    <col min="27" max="27" width="5.6640625" style="488" customWidth="1"/>
    <col min="28" max="28" width="9.109375" style="488" customWidth="1"/>
    <col min="29" max="31" width="8.88671875" style="488"/>
    <col min="32" max="32" width="11.6640625" style="488" customWidth="1"/>
    <col min="33" max="256" width="8.88671875" style="488"/>
    <col min="257" max="257" width="6.44140625" style="488" customWidth="1"/>
    <col min="258" max="258" width="43.33203125" style="488" customWidth="1"/>
    <col min="259" max="259" width="11.109375" style="488" customWidth="1"/>
    <col min="260" max="260" width="13.109375" style="488" customWidth="1"/>
    <col min="261" max="261" width="13.88671875" style="488" customWidth="1"/>
    <col min="262" max="262" width="12.44140625" style="488" customWidth="1"/>
    <col min="263" max="263" width="13" style="488" customWidth="1"/>
    <col min="264" max="264" width="11" style="488" customWidth="1"/>
    <col min="265" max="265" width="9.88671875" style="488" customWidth="1"/>
    <col min="266" max="266" width="11.109375" style="488" customWidth="1"/>
    <col min="267" max="267" width="9.44140625" style="488" customWidth="1"/>
    <col min="268" max="268" width="9.5546875" style="488" customWidth="1"/>
    <col min="269" max="269" width="10.77734375" style="488" customWidth="1"/>
    <col min="270" max="270" width="6.5546875" style="488" customWidth="1"/>
    <col min="271" max="271" width="7.5546875" style="488" customWidth="1"/>
    <col min="272" max="272" width="10.109375" style="488" customWidth="1"/>
    <col min="273" max="273" width="9.44140625" style="488" customWidth="1"/>
    <col min="274" max="274" width="11" style="488" customWidth="1"/>
    <col min="275" max="275" width="14" style="488" customWidth="1"/>
    <col min="276" max="276" width="9.88671875" style="488" customWidth="1"/>
    <col min="277" max="280" width="8.88671875" style="488"/>
    <col min="281" max="281" width="15" style="488" customWidth="1"/>
    <col min="282" max="282" width="6.44140625" style="488" customWidth="1"/>
    <col min="283" max="283" width="5.6640625" style="488" customWidth="1"/>
    <col min="284" max="284" width="9.109375" style="488" customWidth="1"/>
    <col min="285" max="287" width="8.88671875" style="488"/>
    <col min="288" max="288" width="11.6640625" style="488" customWidth="1"/>
    <col min="289" max="512" width="8.88671875" style="488"/>
    <col min="513" max="513" width="6.44140625" style="488" customWidth="1"/>
    <col min="514" max="514" width="43.33203125" style="488" customWidth="1"/>
    <col min="515" max="515" width="11.109375" style="488" customWidth="1"/>
    <col min="516" max="516" width="13.109375" style="488" customWidth="1"/>
    <col min="517" max="517" width="13.88671875" style="488" customWidth="1"/>
    <col min="518" max="518" width="12.44140625" style="488" customWidth="1"/>
    <col min="519" max="519" width="13" style="488" customWidth="1"/>
    <col min="520" max="520" width="11" style="488" customWidth="1"/>
    <col min="521" max="521" width="9.88671875" style="488" customWidth="1"/>
    <col min="522" max="522" width="11.109375" style="488" customWidth="1"/>
    <col min="523" max="523" width="9.44140625" style="488" customWidth="1"/>
    <col min="524" max="524" width="9.5546875" style="488" customWidth="1"/>
    <col min="525" max="525" width="10.77734375" style="488" customWidth="1"/>
    <col min="526" max="526" width="6.5546875" style="488" customWidth="1"/>
    <col min="527" max="527" width="7.5546875" style="488" customWidth="1"/>
    <col min="528" max="528" width="10.109375" style="488" customWidth="1"/>
    <col min="529" max="529" width="9.44140625" style="488" customWidth="1"/>
    <col min="530" max="530" width="11" style="488" customWidth="1"/>
    <col min="531" max="531" width="14" style="488" customWidth="1"/>
    <col min="532" max="532" width="9.88671875" style="488" customWidth="1"/>
    <col min="533" max="536" width="8.88671875" style="488"/>
    <col min="537" max="537" width="15" style="488" customWidth="1"/>
    <col min="538" max="538" width="6.44140625" style="488" customWidth="1"/>
    <col min="539" max="539" width="5.6640625" style="488" customWidth="1"/>
    <col min="540" max="540" width="9.109375" style="488" customWidth="1"/>
    <col min="541" max="543" width="8.88671875" style="488"/>
    <col min="544" max="544" width="11.6640625" style="488" customWidth="1"/>
    <col min="545" max="768" width="8.88671875" style="488"/>
    <col min="769" max="769" width="6.44140625" style="488" customWidth="1"/>
    <col min="770" max="770" width="43.33203125" style="488" customWidth="1"/>
    <col min="771" max="771" width="11.109375" style="488" customWidth="1"/>
    <col min="772" max="772" width="13.109375" style="488" customWidth="1"/>
    <col min="773" max="773" width="13.88671875" style="488" customWidth="1"/>
    <col min="774" max="774" width="12.44140625" style="488" customWidth="1"/>
    <col min="775" max="775" width="13" style="488" customWidth="1"/>
    <col min="776" max="776" width="11" style="488" customWidth="1"/>
    <col min="777" max="777" width="9.88671875" style="488" customWidth="1"/>
    <col min="778" max="778" width="11.109375" style="488" customWidth="1"/>
    <col min="779" max="779" width="9.44140625" style="488" customWidth="1"/>
    <col min="780" max="780" width="9.5546875" style="488" customWidth="1"/>
    <col min="781" max="781" width="10.77734375" style="488" customWidth="1"/>
    <col min="782" max="782" width="6.5546875" style="488" customWidth="1"/>
    <col min="783" max="783" width="7.5546875" style="488" customWidth="1"/>
    <col min="784" max="784" width="10.109375" style="488" customWidth="1"/>
    <col min="785" max="785" width="9.44140625" style="488" customWidth="1"/>
    <col min="786" max="786" width="11" style="488" customWidth="1"/>
    <col min="787" max="787" width="14" style="488" customWidth="1"/>
    <col min="788" max="788" width="9.88671875" style="488" customWidth="1"/>
    <col min="789" max="792" width="8.88671875" style="488"/>
    <col min="793" max="793" width="15" style="488" customWidth="1"/>
    <col min="794" max="794" width="6.44140625" style="488" customWidth="1"/>
    <col min="795" max="795" width="5.6640625" style="488" customWidth="1"/>
    <col min="796" max="796" width="9.109375" style="488" customWidth="1"/>
    <col min="797" max="799" width="8.88671875" style="488"/>
    <col min="800" max="800" width="11.6640625" style="488" customWidth="1"/>
    <col min="801" max="1024" width="8.88671875" style="488"/>
    <col min="1025" max="1025" width="6.44140625" style="488" customWidth="1"/>
    <col min="1026" max="1026" width="43.33203125" style="488" customWidth="1"/>
    <col min="1027" max="1027" width="11.109375" style="488" customWidth="1"/>
    <col min="1028" max="1028" width="13.109375" style="488" customWidth="1"/>
    <col min="1029" max="1029" width="13.88671875" style="488" customWidth="1"/>
    <col min="1030" max="1030" width="12.44140625" style="488" customWidth="1"/>
    <col min="1031" max="1031" width="13" style="488" customWidth="1"/>
    <col min="1032" max="1032" width="11" style="488" customWidth="1"/>
    <col min="1033" max="1033" width="9.88671875" style="488" customWidth="1"/>
    <col min="1034" max="1034" width="11.109375" style="488" customWidth="1"/>
    <col min="1035" max="1035" width="9.44140625" style="488" customWidth="1"/>
    <col min="1036" max="1036" width="9.5546875" style="488" customWidth="1"/>
    <col min="1037" max="1037" width="10.77734375" style="488" customWidth="1"/>
    <col min="1038" max="1038" width="6.5546875" style="488" customWidth="1"/>
    <col min="1039" max="1039" width="7.5546875" style="488" customWidth="1"/>
    <col min="1040" max="1040" width="10.109375" style="488" customWidth="1"/>
    <col min="1041" max="1041" width="9.44140625" style="488" customWidth="1"/>
    <col min="1042" max="1042" width="11" style="488" customWidth="1"/>
    <col min="1043" max="1043" width="14" style="488" customWidth="1"/>
    <col min="1044" max="1044" width="9.88671875" style="488" customWidth="1"/>
    <col min="1045" max="1048" width="8.88671875" style="488"/>
    <col min="1049" max="1049" width="15" style="488" customWidth="1"/>
    <col min="1050" max="1050" width="6.44140625" style="488" customWidth="1"/>
    <col min="1051" max="1051" width="5.6640625" style="488" customWidth="1"/>
    <col min="1052" max="1052" width="9.109375" style="488" customWidth="1"/>
    <col min="1053" max="1055" width="8.88671875" style="488"/>
    <col min="1056" max="1056" width="11.6640625" style="488" customWidth="1"/>
    <col min="1057" max="1280" width="8.88671875" style="488"/>
    <col min="1281" max="1281" width="6.44140625" style="488" customWidth="1"/>
    <col min="1282" max="1282" width="43.33203125" style="488" customWidth="1"/>
    <col min="1283" max="1283" width="11.109375" style="488" customWidth="1"/>
    <col min="1284" max="1284" width="13.109375" style="488" customWidth="1"/>
    <col min="1285" max="1285" width="13.88671875" style="488" customWidth="1"/>
    <col min="1286" max="1286" width="12.44140625" style="488" customWidth="1"/>
    <col min="1287" max="1287" width="13" style="488" customWidth="1"/>
    <col min="1288" max="1288" width="11" style="488" customWidth="1"/>
    <col min="1289" max="1289" width="9.88671875" style="488" customWidth="1"/>
    <col min="1290" max="1290" width="11.109375" style="488" customWidth="1"/>
    <col min="1291" max="1291" width="9.44140625" style="488" customWidth="1"/>
    <col min="1292" max="1292" width="9.5546875" style="488" customWidth="1"/>
    <col min="1293" max="1293" width="10.77734375" style="488" customWidth="1"/>
    <col min="1294" max="1294" width="6.5546875" style="488" customWidth="1"/>
    <col min="1295" max="1295" width="7.5546875" style="488" customWidth="1"/>
    <col min="1296" max="1296" width="10.109375" style="488" customWidth="1"/>
    <col min="1297" max="1297" width="9.44140625" style="488" customWidth="1"/>
    <col min="1298" max="1298" width="11" style="488" customWidth="1"/>
    <col min="1299" max="1299" width="14" style="488" customWidth="1"/>
    <col min="1300" max="1300" width="9.88671875" style="488" customWidth="1"/>
    <col min="1301" max="1304" width="8.88671875" style="488"/>
    <col min="1305" max="1305" width="15" style="488" customWidth="1"/>
    <col min="1306" max="1306" width="6.44140625" style="488" customWidth="1"/>
    <col min="1307" max="1307" width="5.6640625" style="488" customWidth="1"/>
    <col min="1308" max="1308" width="9.109375" style="488" customWidth="1"/>
    <col min="1309" max="1311" width="8.88671875" style="488"/>
    <col min="1312" max="1312" width="11.6640625" style="488" customWidth="1"/>
    <col min="1313" max="1536" width="8.88671875" style="488"/>
    <col min="1537" max="1537" width="6.44140625" style="488" customWidth="1"/>
    <col min="1538" max="1538" width="43.33203125" style="488" customWidth="1"/>
    <col min="1539" max="1539" width="11.109375" style="488" customWidth="1"/>
    <col min="1540" max="1540" width="13.109375" style="488" customWidth="1"/>
    <col min="1541" max="1541" width="13.88671875" style="488" customWidth="1"/>
    <col min="1542" max="1542" width="12.44140625" style="488" customWidth="1"/>
    <col min="1543" max="1543" width="13" style="488" customWidth="1"/>
    <col min="1544" max="1544" width="11" style="488" customWidth="1"/>
    <col min="1545" max="1545" width="9.88671875" style="488" customWidth="1"/>
    <col min="1546" max="1546" width="11.109375" style="488" customWidth="1"/>
    <col min="1547" max="1547" width="9.44140625" style="488" customWidth="1"/>
    <col min="1548" max="1548" width="9.5546875" style="488" customWidth="1"/>
    <col min="1549" max="1549" width="10.77734375" style="488" customWidth="1"/>
    <col min="1550" max="1550" width="6.5546875" style="488" customWidth="1"/>
    <col min="1551" max="1551" width="7.5546875" style="488" customWidth="1"/>
    <col min="1552" max="1552" width="10.109375" style="488" customWidth="1"/>
    <col min="1553" max="1553" width="9.44140625" style="488" customWidth="1"/>
    <col min="1554" max="1554" width="11" style="488" customWidth="1"/>
    <col min="1555" max="1555" width="14" style="488" customWidth="1"/>
    <col min="1556" max="1556" width="9.88671875" style="488" customWidth="1"/>
    <col min="1557" max="1560" width="8.88671875" style="488"/>
    <col min="1561" max="1561" width="15" style="488" customWidth="1"/>
    <col min="1562" max="1562" width="6.44140625" style="488" customWidth="1"/>
    <col min="1563" max="1563" width="5.6640625" style="488" customWidth="1"/>
    <col min="1564" max="1564" width="9.109375" style="488" customWidth="1"/>
    <col min="1565" max="1567" width="8.88671875" style="488"/>
    <col min="1568" max="1568" width="11.6640625" style="488" customWidth="1"/>
    <col min="1569" max="1792" width="8.88671875" style="488"/>
    <col min="1793" max="1793" width="6.44140625" style="488" customWidth="1"/>
    <col min="1794" max="1794" width="43.33203125" style="488" customWidth="1"/>
    <col min="1795" max="1795" width="11.109375" style="488" customWidth="1"/>
    <col min="1796" max="1796" width="13.109375" style="488" customWidth="1"/>
    <col min="1797" max="1797" width="13.88671875" style="488" customWidth="1"/>
    <col min="1798" max="1798" width="12.44140625" style="488" customWidth="1"/>
    <col min="1799" max="1799" width="13" style="488" customWidth="1"/>
    <col min="1800" max="1800" width="11" style="488" customWidth="1"/>
    <col min="1801" max="1801" width="9.88671875" style="488" customWidth="1"/>
    <col min="1802" max="1802" width="11.109375" style="488" customWidth="1"/>
    <col min="1803" max="1803" width="9.44140625" style="488" customWidth="1"/>
    <col min="1804" max="1804" width="9.5546875" style="488" customWidth="1"/>
    <col min="1805" max="1805" width="10.77734375" style="488" customWidth="1"/>
    <col min="1806" max="1806" width="6.5546875" style="488" customWidth="1"/>
    <col min="1807" max="1807" width="7.5546875" style="488" customWidth="1"/>
    <col min="1808" max="1808" width="10.109375" style="488" customWidth="1"/>
    <col min="1809" max="1809" width="9.44140625" style="488" customWidth="1"/>
    <col min="1810" max="1810" width="11" style="488" customWidth="1"/>
    <col min="1811" max="1811" width="14" style="488" customWidth="1"/>
    <col min="1812" max="1812" width="9.88671875" style="488" customWidth="1"/>
    <col min="1813" max="1816" width="8.88671875" style="488"/>
    <col min="1817" max="1817" width="15" style="488" customWidth="1"/>
    <col min="1818" max="1818" width="6.44140625" style="488" customWidth="1"/>
    <col min="1819" max="1819" width="5.6640625" style="488" customWidth="1"/>
    <col min="1820" max="1820" width="9.109375" style="488" customWidth="1"/>
    <col min="1821" max="1823" width="8.88671875" style="488"/>
    <col min="1824" max="1824" width="11.6640625" style="488" customWidth="1"/>
    <col min="1825" max="2048" width="8.88671875" style="488"/>
    <col min="2049" max="2049" width="6.44140625" style="488" customWidth="1"/>
    <col min="2050" max="2050" width="43.33203125" style="488" customWidth="1"/>
    <col min="2051" max="2051" width="11.109375" style="488" customWidth="1"/>
    <col min="2052" max="2052" width="13.109375" style="488" customWidth="1"/>
    <col min="2053" max="2053" width="13.88671875" style="488" customWidth="1"/>
    <col min="2054" max="2054" width="12.44140625" style="488" customWidth="1"/>
    <col min="2055" max="2055" width="13" style="488" customWidth="1"/>
    <col min="2056" max="2056" width="11" style="488" customWidth="1"/>
    <col min="2057" max="2057" width="9.88671875" style="488" customWidth="1"/>
    <col min="2058" max="2058" width="11.109375" style="488" customWidth="1"/>
    <col min="2059" max="2059" width="9.44140625" style="488" customWidth="1"/>
    <col min="2060" max="2060" width="9.5546875" style="488" customWidth="1"/>
    <col min="2061" max="2061" width="10.77734375" style="488" customWidth="1"/>
    <col min="2062" max="2062" width="6.5546875" style="488" customWidth="1"/>
    <col min="2063" max="2063" width="7.5546875" style="488" customWidth="1"/>
    <col min="2064" max="2064" width="10.109375" style="488" customWidth="1"/>
    <col min="2065" max="2065" width="9.44140625" style="488" customWidth="1"/>
    <col min="2066" max="2066" width="11" style="488" customWidth="1"/>
    <col min="2067" max="2067" width="14" style="488" customWidth="1"/>
    <col min="2068" max="2068" width="9.88671875" style="488" customWidth="1"/>
    <col min="2069" max="2072" width="8.88671875" style="488"/>
    <col min="2073" max="2073" width="15" style="488" customWidth="1"/>
    <col min="2074" max="2074" width="6.44140625" style="488" customWidth="1"/>
    <col min="2075" max="2075" width="5.6640625" style="488" customWidth="1"/>
    <col min="2076" max="2076" width="9.109375" style="488" customWidth="1"/>
    <col min="2077" max="2079" width="8.88671875" style="488"/>
    <col min="2080" max="2080" width="11.6640625" style="488" customWidth="1"/>
    <col min="2081" max="2304" width="8.88671875" style="488"/>
    <col min="2305" max="2305" width="6.44140625" style="488" customWidth="1"/>
    <col min="2306" max="2306" width="43.33203125" style="488" customWidth="1"/>
    <col min="2307" max="2307" width="11.109375" style="488" customWidth="1"/>
    <col min="2308" max="2308" width="13.109375" style="488" customWidth="1"/>
    <col min="2309" max="2309" width="13.88671875" style="488" customWidth="1"/>
    <col min="2310" max="2310" width="12.44140625" style="488" customWidth="1"/>
    <col min="2311" max="2311" width="13" style="488" customWidth="1"/>
    <col min="2312" max="2312" width="11" style="488" customWidth="1"/>
    <col min="2313" max="2313" width="9.88671875" style="488" customWidth="1"/>
    <col min="2314" max="2314" width="11.109375" style="488" customWidth="1"/>
    <col min="2315" max="2315" width="9.44140625" style="488" customWidth="1"/>
    <col min="2316" max="2316" width="9.5546875" style="488" customWidth="1"/>
    <col min="2317" max="2317" width="10.77734375" style="488" customWidth="1"/>
    <col min="2318" max="2318" width="6.5546875" style="488" customWidth="1"/>
    <col min="2319" max="2319" width="7.5546875" style="488" customWidth="1"/>
    <col min="2320" max="2320" width="10.109375" style="488" customWidth="1"/>
    <col min="2321" max="2321" width="9.44140625" style="488" customWidth="1"/>
    <col min="2322" max="2322" width="11" style="488" customWidth="1"/>
    <col min="2323" max="2323" width="14" style="488" customWidth="1"/>
    <col min="2324" max="2324" width="9.88671875" style="488" customWidth="1"/>
    <col min="2325" max="2328" width="8.88671875" style="488"/>
    <col min="2329" max="2329" width="15" style="488" customWidth="1"/>
    <col min="2330" max="2330" width="6.44140625" style="488" customWidth="1"/>
    <col min="2331" max="2331" width="5.6640625" style="488" customWidth="1"/>
    <col min="2332" max="2332" width="9.109375" style="488" customWidth="1"/>
    <col min="2333" max="2335" width="8.88671875" style="488"/>
    <col min="2336" max="2336" width="11.6640625" style="488" customWidth="1"/>
    <col min="2337" max="2560" width="8.88671875" style="488"/>
    <col min="2561" max="2561" width="6.44140625" style="488" customWidth="1"/>
    <col min="2562" max="2562" width="43.33203125" style="488" customWidth="1"/>
    <col min="2563" max="2563" width="11.109375" style="488" customWidth="1"/>
    <col min="2564" max="2564" width="13.109375" style="488" customWidth="1"/>
    <col min="2565" max="2565" width="13.88671875" style="488" customWidth="1"/>
    <col min="2566" max="2566" width="12.44140625" style="488" customWidth="1"/>
    <col min="2567" max="2567" width="13" style="488" customWidth="1"/>
    <col min="2568" max="2568" width="11" style="488" customWidth="1"/>
    <col min="2569" max="2569" width="9.88671875" style="488" customWidth="1"/>
    <col min="2570" max="2570" width="11.109375" style="488" customWidth="1"/>
    <col min="2571" max="2571" width="9.44140625" style="488" customWidth="1"/>
    <col min="2572" max="2572" width="9.5546875" style="488" customWidth="1"/>
    <col min="2573" max="2573" width="10.77734375" style="488" customWidth="1"/>
    <col min="2574" max="2574" width="6.5546875" style="488" customWidth="1"/>
    <col min="2575" max="2575" width="7.5546875" style="488" customWidth="1"/>
    <col min="2576" max="2576" width="10.109375" style="488" customWidth="1"/>
    <col min="2577" max="2577" width="9.44140625" style="488" customWidth="1"/>
    <col min="2578" max="2578" width="11" style="488" customWidth="1"/>
    <col min="2579" max="2579" width="14" style="488" customWidth="1"/>
    <col min="2580" max="2580" width="9.88671875" style="488" customWidth="1"/>
    <col min="2581" max="2584" width="8.88671875" style="488"/>
    <col min="2585" max="2585" width="15" style="488" customWidth="1"/>
    <col min="2586" max="2586" width="6.44140625" style="488" customWidth="1"/>
    <col min="2587" max="2587" width="5.6640625" style="488" customWidth="1"/>
    <col min="2588" max="2588" width="9.109375" style="488" customWidth="1"/>
    <col min="2589" max="2591" width="8.88671875" style="488"/>
    <col min="2592" max="2592" width="11.6640625" style="488" customWidth="1"/>
    <col min="2593" max="2816" width="8.88671875" style="488"/>
    <col min="2817" max="2817" width="6.44140625" style="488" customWidth="1"/>
    <col min="2818" max="2818" width="43.33203125" style="488" customWidth="1"/>
    <col min="2819" max="2819" width="11.109375" style="488" customWidth="1"/>
    <col min="2820" max="2820" width="13.109375" style="488" customWidth="1"/>
    <col min="2821" max="2821" width="13.88671875" style="488" customWidth="1"/>
    <col min="2822" max="2822" width="12.44140625" style="488" customWidth="1"/>
    <col min="2823" max="2823" width="13" style="488" customWidth="1"/>
    <col min="2824" max="2824" width="11" style="488" customWidth="1"/>
    <col min="2825" max="2825" width="9.88671875" style="488" customWidth="1"/>
    <col min="2826" max="2826" width="11.109375" style="488" customWidth="1"/>
    <col min="2827" max="2827" width="9.44140625" style="488" customWidth="1"/>
    <col min="2828" max="2828" width="9.5546875" style="488" customWidth="1"/>
    <col min="2829" max="2829" width="10.77734375" style="488" customWidth="1"/>
    <col min="2830" max="2830" width="6.5546875" style="488" customWidth="1"/>
    <col min="2831" max="2831" width="7.5546875" style="488" customWidth="1"/>
    <col min="2832" max="2832" width="10.109375" style="488" customWidth="1"/>
    <col min="2833" max="2833" width="9.44140625" style="488" customWidth="1"/>
    <col min="2834" max="2834" width="11" style="488" customWidth="1"/>
    <col min="2835" max="2835" width="14" style="488" customWidth="1"/>
    <col min="2836" max="2836" width="9.88671875" style="488" customWidth="1"/>
    <col min="2837" max="2840" width="8.88671875" style="488"/>
    <col min="2841" max="2841" width="15" style="488" customWidth="1"/>
    <col min="2842" max="2842" width="6.44140625" style="488" customWidth="1"/>
    <col min="2843" max="2843" width="5.6640625" style="488" customWidth="1"/>
    <col min="2844" max="2844" width="9.109375" style="488" customWidth="1"/>
    <col min="2845" max="2847" width="8.88671875" style="488"/>
    <col min="2848" max="2848" width="11.6640625" style="488" customWidth="1"/>
    <col min="2849" max="3072" width="8.88671875" style="488"/>
    <col min="3073" max="3073" width="6.44140625" style="488" customWidth="1"/>
    <col min="3074" max="3074" width="43.33203125" style="488" customWidth="1"/>
    <col min="3075" max="3075" width="11.109375" style="488" customWidth="1"/>
    <col min="3076" max="3076" width="13.109375" style="488" customWidth="1"/>
    <col min="3077" max="3077" width="13.88671875" style="488" customWidth="1"/>
    <col min="3078" max="3078" width="12.44140625" style="488" customWidth="1"/>
    <col min="3079" max="3079" width="13" style="488" customWidth="1"/>
    <col min="3080" max="3080" width="11" style="488" customWidth="1"/>
    <col min="3081" max="3081" width="9.88671875" style="488" customWidth="1"/>
    <col min="3082" max="3082" width="11.109375" style="488" customWidth="1"/>
    <col min="3083" max="3083" width="9.44140625" style="488" customWidth="1"/>
    <col min="3084" max="3084" width="9.5546875" style="488" customWidth="1"/>
    <col min="3085" max="3085" width="10.77734375" style="488" customWidth="1"/>
    <col min="3086" max="3086" width="6.5546875" style="488" customWidth="1"/>
    <col min="3087" max="3087" width="7.5546875" style="488" customWidth="1"/>
    <col min="3088" max="3088" width="10.109375" style="488" customWidth="1"/>
    <col min="3089" max="3089" width="9.44140625" style="488" customWidth="1"/>
    <col min="3090" max="3090" width="11" style="488" customWidth="1"/>
    <col min="3091" max="3091" width="14" style="488" customWidth="1"/>
    <col min="3092" max="3092" width="9.88671875" style="488" customWidth="1"/>
    <col min="3093" max="3096" width="8.88671875" style="488"/>
    <col min="3097" max="3097" width="15" style="488" customWidth="1"/>
    <col min="3098" max="3098" width="6.44140625" style="488" customWidth="1"/>
    <col min="3099" max="3099" width="5.6640625" style="488" customWidth="1"/>
    <col min="3100" max="3100" width="9.109375" style="488" customWidth="1"/>
    <col min="3101" max="3103" width="8.88671875" style="488"/>
    <col min="3104" max="3104" width="11.6640625" style="488" customWidth="1"/>
    <col min="3105" max="3328" width="8.88671875" style="488"/>
    <col min="3329" max="3329" width="6.44140625" style="488" customWidth="1"/>
    <col min="3330" max="3330" width="43.33203125" style="488" customWidth="1"/>
    <col min="3331" max="3331" width="11.109375" style="488" customWidth="1"/>
    <col min="3332" max="3332" width="13.109375" style="488" customWidth="1"/>
    <col min="3333" max="3333" width="13.88671875" style="488" customWidth="1"/>
    <col min="3334" max="3334" width="12.44140625" style="488" customWidth="1"/>
    <col min="3335" max="3335" width="13" style="488" customWidth="1"/>
    <col min="3336" max="3336" width="11" style="488" customWidth="1"/>
    <col min="3337" max="3337" width="9.88671875" style="488" customWidth="1"/>
    <col min="3338" max="3338" width="11.109375" style="488" customWidth="1"/>
    <col min="3339" max="3339" width="9.44140625" style="488" customWidth="1"/>
    <col min="3340" max="3340" width="9.5546875" style="488" customWidth="1"/>
    <col min="3341" max="3341" width="10.77734375" style="488" customWidth="1"/>
    <col min="3342" max="3342" width="6.5546875" style="488" customWidth="1"/>
    <col min="3343" max="3343" width="7.5546875" style="488" customWidth="1"/>
    <col min="3344" max="3344" width="10.109375" style="488" customWidth="1"/>
    <col min="3345" max="3345" width="9.44140625" style="488" customWidth="1"/>
    <col min="3346" max="3346" width="11" style="488" customWidth="1"/>
    <col min="3347" max="3347" width="14" style="488" customWidth="1"/>
    <col min="3348" max="3348" width="9.88671875" style="488" customWidth="1"/>
    <col min="3349" max="3352" width="8.88671875" style="488"/>
    <col min="3353" max="3353" width="15" style="488" customWidth="1"/>
    <col min="3354" max="3354" width="6.44140625" style="488" customWidth="1"/>
    <col min="3355" max="3355" width="5.6640625" style="488" customWidth="1"/>
    <col min="3356" max="3356" width="9.109375" style="488" customWidth="1"/>
    <col min="3357" max="3359" width="8.88671875" style="488"/>
    <col min="3360" max="3360" width="11.6640625" style="488" customWidth="1"/>
    <col min="3361" max="3584" width="8.88671875" style="488"/>
    <col min="3585" max="3585" width="6.44140625" style="488" customWidth="1"/>
    <col min="3586" max="3586" width="43.33203125" style="488" customWidth="1"/>
    <col min="3587" max="3587" width="11.109375" style="488" customWidth="1"/>
    <col min="3588" max="3588" width="13.109375" style="488" customWidth="1"/>
    <col min="3589" max="3589" width="13.88671875" style="488" customWidth="1"/>
    <col min="3590" max="3590" width="12.44140625" style="488" customWidth="1"/>
    <col min="3591" max="3591" width="13" style="488" customWidth="1"/>
    <col min="3592" max="3592" width="11" style="488" customWidth="1"/>
    <col min="3593" max="3593" width="9.88671875" style="488" customWidth="1"/>
    <col min="3594" max="3594" width="11.109375" style="488" customWidth="1"/>
    <col min="3595" max="3595" width="9.44140625" style="488" customWidth="1"/>
    <col min="3596" max="3596" width="9.5546875" style="488" customWidth="1"/>
    <col min="3597" max="3597" width="10.77734375" style="488" customWidth="1"/>
    <col min="3598" max="3598" width="6.5546875" style="488" customWidth="1"/>
    <col min="3599" max="3599" width="7.5546875" style="488" customWidth="1"/>
    <col min="3600" max="3600" width="10.109375" style="488" customWidth="1"/>
    <col min="3601" max="3601" width="9.44140625" style="488" customWidth="1"/>
    <col min="3602" max="3602" width="11" style="488" customWidth="1"/>
    <col min="3603" max="3603" width="14" style="488" customWidth="1"/>
    <col min="3604" max="3604" width="9.88671875" style="488" customWidth="1"/>
    <col min="3605" max="3608" width="8.88671875" style="488"/>
    <col min="3609" max="3609" width="15" style="488" customWidth="1"/>
    <col min="3610" max="3610" width="6.44140625" style="488" customWidth="1"/>
    <col min="3611" max="3611" width="5.6640625" style="488" customWidth="1"/>
    <col min="3612" max="3612" width="9.109375" style="488" customWidth="1"/>
    <col min="3613" max="3615" width="8.88671875" style="488"/>
    <col min="3616" max="3616" width="11.6640625" style="488" customWidth="1"/>
    <col min="3617" max="3840" width="8.88671875" style="488"/>
    <col min="3841" max="3841" width="6.44140625" style="488" customWidth="1"/>
    <col min="3842" max="3842" width="43.33203125" style="488" customWidth="1"/>
    <col min="3843" max="3843" width="11.109375" style="488" customWidth="1"/>
    <col min="3844" max="3844" width="13.109375" style="488" customWidth="1"/>
    <col min="3845" max="3845" width="13.88671875" style="488" customWidth="1"/>
    <col min="3846" max="3846" width="12.44140625" style="488" customWidth="1"/>
    <col min="3847" max="3847" width="13" style="488" customWidth="1"/>
    <col min="3848" max="3848" width="11" style="488" customWidth="1"/>
    <col min="3849" max="3849" width="9.88671875" style="488" customWidth="1"/>
    <col min="3850" max="3850" width="11.109375" style="488" customWidth="1"/>
    <col min="3851" max="3851" width="9.44140625" style="488" customWidth="1"/>
    <col min="3852" max="3852" width="9.5546875" style="488" customWidth="1"/>
    <col min="3853" max="3853" width="10.77734375" style="488" customWidth="1"/>
    <col min="3854" max="3854" width="6.5546875" style="488" customWidth="1"/>
    <col min="3855" max="3855" width="7.5546875" style="488" customWidth="1"/>
    <col min="3856" max="3856" width="10.109375" style="488" customWidth="1"/>
    <col min="3857" max="3857" width="9.44140625" style="488" customWidth="1"/>
    <col min="3858" max="3858" width="11" style="488" customWidth="1"/>
    <col min="3859" max="3859" width="14" style="488" customWidth="1"/>
    <col min="3860" max="3860" width="9.88671875" style="488" customWidth="1"/>
    <col min="3861" max="3864" width="8.88671875" style="488"/>
    <col min="3865" max="3865" width="15" style="488" customWidth="1"/>
    <col min="3866" max="3866" width="6.44140625" style="488" customWidth="1"/>
    <col min="3867" max="3867" width="5.6640625" style="488" customWidth="1"/>
    <col min="3868" max="3868" width="9.109375" style="488" customWidth="1"/>
    <col min="3869" max="3871" width="8.88671875" style="488"/>
    <col min="3872" max="3872" width="11.6640625" style="488" customWidth="1"/>
    <col min="3873" max="4096" width="8.88671875" style="488"/>
    <col min="4097" max="4097" width="6.44140625" style="488" customWidth="1"/>
    <col min="4098" max="4098" width="43.33203125" style="488" customWidth="1"/>
    <col min="4099" max="4099" width="11.109375" style="488" customWidth="1"/>
    <col min="4100" max="4100" width="13.109375" style="488" customWidth="1"/>
    <col min="4101" max="4101" width="13.88671875" style="488" customWidth="1"/>
    <col min="4102" max="4102" width="12.44140625" style="488" customWidth="1"/>
    <col min="4103" max="4103" width="13" style="488" customWidth="1"/>
    <col min="4104" max="4104" width="11" style="488" customWidth="1"/>
    <col min="4105" max="4105" width="9.88671875" style="488" customWidth="1"/>
    <col min="4106" max="4106" width="11.109375" style="488" customWidth="1"/>
    <col min="4107" max="4107" width="9.44140625" style="488" customWidth="1"/>
    <col min="4108" max="4108" width="9.5546875" style="488" customWidth="1"/>
    <col min="4109" max="4109" width="10.77734375" style="488" customWidth="1"/>
    <col min="4110" max="4110" width="6.5546875" style="488" customWidth="1"/>
    <col min="4111" max="4111" width="7.5546875" style="488" customWidth="1"/>
    <col min="4112" max="4112" width="10.109375" style="488" customWidth="1"/>
    <col min="4113" max="4113" width="9.44140625" style="488" customWidth="1"/>
    <col min="4114" max="4114" width="11" style="488" customWidth="1"/>
    <col min="4115" max="4115" width="14" style="488" customWidth="1"/>
    <col min="4116" max="4116" width="9.88671875" style="488" customWidth="1"/>
    <col min="4117" max="4120" width="8.88671875" style="488"/>
    <col min="4121" max="4121" width="15" style="488" customWidth="1"/>
    <col min="4122" max="4122" width="6.44140625" style="488" customWidth="1"/>
    <col min="4123" max="4123" width="5.6640625" style="488" customWidth="1"/>
    <col min="4124" max="4124" width="9.109375" style="488" customWidth="1"/>
    <col min="4125" max="4127" width="8.88671875" style="488"/>
    <col min="4128" max="4128" width="11.6640625" style="488" customWidth="1"/>
    <col min="4129" max="4352" width="8.88671875" style="488"/>
    <col min="4353" max="4353" width="6.44140625" style="488" customWidth="1"/>
    <col min="4354" max="4354" width="43.33203125" style="488" customWidth="1"/>
    <col min="4355" max="4355" width="11.109375" style="488" customWidth="1"/>
    <col min="4356" max="4356" width="13.109375" style="488" customWidth="1"/>
    <col min="4357" max="4357" width="13.88671875" style="488" customWidth="1"/>
    <col min="4358" max="4358" width="12.44140625" style="488" customWidth="1"/>
    <col min="4359" max="4359" width="13" style="488" customWidth="1"/>
    <col min="4360" max="4360" width="11" style="488" customWidth="1"/>
    <col min="4361" max="4361" width="9.88671875" style="488" customWidth="1"/>
    <col min="4362" max="4362" width="11.109375" style="488" customWidth="1"/>
    <col min="4363" max="4363" width="9.44140625" style="488" customWidth="1"/>
    <col min="4364" max="4364" width="9.5546875" style="488" customWidth="1"/>
    <col min="4365" max="4365" width="10.77734375" style="488" customWidth="1"/>
    <col min="4366" max="4366" width="6.5546875" style="488" customWidth="1"/>
    <col min="4367" max="4367" width="7.5546875" style="488" customWidth="1"/>
    <col min="4368" max="4368" width="10.109375" style="488" customWidth="1"/>
    <col min="4369" max="4369" width="9.44140625" style="488" customWidth="1"/>
    <col min="4370" max="4370" width="11" style="488" customWidth="1"/>
    <col min="4371" max="4371" width="14" style="488" customWidth="1"/>
    <col min="4372" max="4372" width="9.88671875" style="488" customWidth="1"/>
    <col min="4373" max="4376" width="8.88671875" style="488"/>
    <col min="4377" max="4377" width="15" style="488" customWidth="1"/>
    <col min="4378" max="4378" width="6.44140625" style="488" customWidth="1"/>
    <col min="4379" max="4379" width="5.6640625" style="488" customWidth="1"/>
    <col min="4380" max="4380" width="9.109375" style="488" customWidth="1"/>
    <col min="4381" max="4383" width="8.88671875" style="488"/>
    <col min="4384" max="4384" width="11.6640625" style="488" customWidth="1"/>
    <col min="4385" max="4608" width="8.88671875" style="488"/>
    <col min="4609" max="4609" width="6.44140625" style="488" customWidth="1"/>
    <col min="4610" max="4610" width="43.33203125" style="488" customWidth="1"/>
    <col min="4611" max="4611" width="11.109375" style="488" customWidth="1"/>
    <col min="4612" max="4612" width="13.109375" style="488" customWidth="1"/>
    <col min="4613" max="4613" width="13.88671875" style="488" customWidth="1"/>
    <col min="4614" max="4614" width="12.44140625" style="488" customWidth="1"/>
    <col min="4615" max="4615" width="13" style="488" customWidth="1"/>
    <col min="4616" max="4616" width="11" style="488" customWidth="1"/>
    <col min="4617" max="4617" width="9.88671875" style="488" customWidth="1"/>
    <col min="4618" max="4618" width="11.109375" style="488" customWidth="1"/>
    <col min="4619" max="4619" width="9.44140625" style="488" customWidth="1"/>
    <col min="4620" max="4620" width="9.5546875" style="488" customWidth="1"/>
    <col min="4621" max="4621" width="10.77734375" style="488" customWidth="1"/>
    <col min="4622" max="4622" width="6.5546875" style="488" customWidth="1"/>
    <col min="4623" max="4623" width="7.5546875" style="488" customWidth="1"/>
    <col min="4624" max="4624" width="10.109375" style="488" customWidth="1"/>
    <col min="4625" max="4625" width="9.44140625" style="488" customWidth="1"/>
    <col min="4626" max="4626" width="11" style="488" customWidth="1"/>
    <col min="4627" max="4627" width="14" style="488" customWidth="1"/>
    <col min="4628" max="4628" width="9.88671875" style="488" customWidth="1"/>
    <col min="4629" max="4632" width="8.88671875" style="488"/>
    <col min="4633" max="4633" width="15" style="488" customWidth="1"/>
    <col min="4634" max="4634" width="6.44140625" style="488" customWidth="1"/>
    <col min="4635" max="4635" width="5.6640625" style="488" customWidth="1"/>
    <col min="4636" max="4636" width="9.109375" style="488" customWidth="1"/>
    <col min="4637" max="4639" width="8.88671875" style="488"/>
    <col min="4640" max="4640" width="11.6640625" style="488" customWidth="1"/>
    <col min="4641" max="4864" width="8.88671875" style="488"/>
    <col min="4865" max="4865" width="6.44140625" style="488" customWidth="1"/>
    <col min="4866" max="4866" width="43.33203125" style="488" customWidth="1"/>
    <col min="4867" max="4867" width="11.109375" style="488" customWidth="1"/>
    <col min="4868" max="4868" width="13.109375" style="488" customWidth="1"/>
    <col min="4869" max="4869" width="13.88671875" style="488" customWidth="1"/>
    <col min="4870" max="4870" width="12.44140625" style="488" customWidth="1"/>
    <col min="4871" max="4871" width="13" style="488" customWidth="1"/>
    <col min="4872" max="4872" width="11" style="488" customWidth="1"/>
    <col min="4873" max="4873" width="9.88671875" style="488" customWidth="1"/>
    <col min="4874" max="4874" width="11.109375" style="488" customWidth="1"/>
    <col min="4875" max="4875" width="9.44140625" style="488" customWidth="1"/>
    <col min="4876" max="4876" width="9.5546875" style="488" customWidth="1"/>
    <col min="4877" max="4877" width="10.77734375" style="488" customWidth="1"/>
    <col min="4878" max="4878" width="6.5546875" style="488" customWidth="1"/>
    <col min="4879" max="4879" width="7.5546875" style="488" customWidth="1"/>
    <col min="4880" max="4880" width="10.109375" style="488" customWidth="1"/>
    <col min="4881" max="4881" width="9.44140625" style="488" customWidth="1"/>
    <col min="4882" max="4882" width="11" style="488" customWidth="1"/>
    <col min="4883" max="4883" width="14" style="488" customWidth="1"/>
    <col min="4884" max="4884" width="9.88671875" style="488" customWidth="1"/>
    <col min="4885" max="4888" width="8.88671875" style="488"/>
    <col min="4889" max="4889" width="15" style="488" customWidth="1"/>
    <col min="4890" max="4890" width="6.44140625" style="488" customWidth="1"/>
    <col min="4891" max="4891" width="5.6640625" style="488" customWidth="1"/>
    <col min="4892" max="4892" width="9.109375" style="488" customWidth="1"/>
    <col min="4893" max="4895" width="8.88671875" style="488"/>
    <col min="4896" max="4896" width="11.6640625" style="488" customWidth="1"/>
    <col min="4897" max="5120" width="8.88671875" style="488"/>
    <col min="5121" max="5121" width="6.44140625" style="488" customWidth="1"/>
    <col min="5122" max="5122" width="43.33203125" style="488" customWidth="1"/>
    <col min="5123" max="5123" width="11.109375" style="488" customWidth="1"/>
    <col min="5124" max="5124" width="13.109375" style="488" customWidth="1"/>
    <col min="5125" max="5125" width="13.88671875" style="488" customWidth="1"/>
    <col min="5126" max="5126" width="12.44140625" style="488" customWidth="1"/>
    <col min="5127" max="5127" width="13" style="488" customWidth="1"/>
    <col min="5128" max="5128" width="11" style="488" customWidth="1"/>
    <col min="5129" max="5129" width="9.88671875" style="488" customWidth="1"/>
    <col min="5130" max="5130" width="11.109375" style="488" customWidth="1"/>
    <col min="5131" max="5131" width="9.44140625" style="488" customWidth="1"/>
    <col min="5132" max="5132" width="9.5546875" style="488" customWidth="1"/>
    <col min="5133" max="5133" width="10.77734375" style="488" customWidth="1"/>
    <col min="5134" max="5134" width="6.5546875" style="488" customWidth="1"/>
    <col min="5135" max="5135" width="7.5546875" style="488" customWidth="1"/>
    <col min="5136" max="5136" width="10.109375" style="488" customWidth="1"/>
    <col min="5137" max="5137" width="9.44140625" style="488" customWidth="1"/>
    <col min="5138" max="5138" width="11" style="488" customWidth="1"/>
    <col min="5139" max="5139" width="14" style="488" customWidth="1"/>
    <col min="5140" max="5140" width="9.88671875" style="488" customWidth="1"/>
    <col min="5141" max="5144" width="8.88671875" style="488"/>
    <col min="5145" max="5145" width="15" style="488" customWidth="1"/>
    <col min="5146" max="5146" width="6.44140625" style="488" customWidth="1"/>
    <col min="5147" max="5147" width="5.6640625" style="488" customWidth="1"/>
    <col min="5148" max="5148" width="9.109375" style="488" customWidth="1"/>
    <col min="5149" max="5151" width="8.88671875" style="488"/>
    <col min="5152" max="5152" width="11.6640625" style="488" customWidth="1"/>
    <col min="5153" max="5376" width="8.88671875" style="488"/>
    <col min="5377" max="5377" width="6.44140625" style="488" customWidth="1"/>
    <col min="5378" max="5378" width="43.33203125" style="488" customWidth="1"/>
    <col min="5379" max="5379" width="11.109375" style="488" customWidth="1"/>
    <col min="5380" max="5380" width="13.109375" style="488" customWidth="1"/>
    <col min="5381" max="5381" width="13.88671875" style="488" customWidth="1"/>
    <col min="5382" max="5382" width="12.44140625" style="488" customWidth="1"/>
    <col min="5383" max="5383" width="13" style="488" customWidth="1"/>
    <col min="5384" max="5384" width="11" style="488" customWidth="1"/>
    <col min="5385" max="5385" width="9.88671875" style="488" customWidth="1"/>
    <col min="5386" max="5386" width="11.109375" style="488" customWidth="1"/>
    <col min="5387" max="5387" width="9.44140625" style="488" customWidth="1"/>
    <col min="5388" max="5388" width="9.5546875" style="488" customWidth="1"/>
    <col min="5389" max="5389" width="10.77734375" style="488" customWidth="1"/>
    <col min="5390" max="5390" width="6.5546875" style="488" customWidth="1"/>
    <col min="5391" max="5391" width="7.5546875" style="488" customWidth="1"/>
    <col min="5392" max="5392" width="10.109375" style="488" customWidth="1"/>
    <col min="5393" max="5393" width="9.44140625" style="488" customWidth="1"/>
    <col min="5394" max="5394" width="11" style="488" customWidth="1"/>
    <col min="5395" max="5395" width="14" style="488" customWidth="1"/>
    <col min="5396" max="5396" width="9.88671875" style="488" customWidth="1"/>
    <col min="5397" max="5400" width="8.88671875" style="488"/>
    <col min="5401" max="5401" width="15" style="488" customWidth="1"/>
    <col min="5402" max="5402" width="6.44140625" style="488" customWidth="1"/>
    <col min="5403" max="5403" width="5.6640625" style="488" customWidth="1"/>
    <col min="5404" max="5404" width="9.109375" style="488" customWidth="1"/>
    <col min="5405" max="5407" width="8.88671875" style="488"/>
    <col min="5408" max="5408" width="11.6640625" style="488" customWidth="1"/>
    <col min="5409" max="5632" width="8.88671875" style="488"/>
    <col min="5633" max="5633" width="6.44140625" style="488" customWidth="1"/>
    <col min="5634" max="5634" width="43.33203125" style="488" customWidth="1"/>
    <col min="5635" max="5635" width="11.109375" style="488" customWidth="1"/>
    <col min="5636" max="5636" width="13.109375" style="488" customWidth="1"/>
    <col min="5637" max="5637" width="13.88671875" style="488" customWidth="1"/>
    <col min="5638" max="5638" width="12.44140625" style="488" customWidth="1"/>
    <col min="5639" max="5639" width="13" style="488" customWidth="1"/>
    <col min="5640" max="5640" width="11" style="488" customWidth="1"/>
    <col min="5641" max="5641" width="9.88671875" style="488" customWidth="1"/>
    <col min="5642" max="5642" width="11.109375" style="488" customWidth="1"/>
    <col min="5643" max="5643" width="9.44140625" style="488" customWidth="1"/>
    <col min="5644" max="5644" width="9.5546875" style="488" customWidth="1"/>
    <col min="5645" max="5645" width="10.77734375" style="488" customWidth="1"/>
    <col min="5646" max="5646" width="6.5546875" style="488" customWidth="1"/>
    <col min="5647" max="5647" width="7.5546875" style="488" customWidth="1"/>
    <col min="5648" max="5648" width="10.109375" style="488" customWidth="1"/>
    <col min="5649" max="5649" width="9.44140625" style="488" customWidth="1"/>
    <col min="5650" max="5650" width="11" style="488" customWidth="1"/>
    <col min="5651" max="5651" width="14" style="488" customWidth="1"/>
    <col min="5652" max="5652" width="9.88671875" style="488" customWidth="1"/>
    <col min="5653" max="5656" width="8.88671875" style="488"/>
    <col min="5657" max="5657" width="15" style="488" customWidth="1"/>
    <col min="5658" max="5658" width="6.44140625" style="488" customWidth="1"/>
    <col min="5659" max="5659" width="5.6640625" style="488" customWidth="1"/>
    <col min="5660" max="5660" width="9.109375" style="488" customWidth="1"/>
    <col min="5661" max="5663" width="8.88671875" style="488"/>
    <col min="5664" max="5664" width="11.6640625" style="488" customWidth="1"/>
    <col min="5665" max="5888" width="8.88671875" style="488"/>
    <col min="5889" max="5889" width="6.44140625" style="488" customWidth="1"/>
    <col min="5890" max="5890" width="43.33203125" style="488" customWidth="1"/>
    <col min="5891" max="5891" width="11.109375" style="488" customWidth="1"/>
    <col min="5892" max="5892" width="13.109375" style="488" customWidth="1"/>
    <col min="5893" max="5893" width="13.88671875" style="488" customWidth="1"/>
    <col min="5894" max="5894" width="12.44140625" style="488" customWidth="1"/>
    <col min="5895" max="5895" width="13" style="488" customWidth="1"/>
    <col min="5896" max="5896" width="11" style="488" customWidth="1"/>
    <col min="5897" max="5897" width="9.88671875" style="488" customWidth="1"/>
    <col min="5898" max="5898" width="11.109375" style="488" customWidth="1"/>
    <col min="5899" max="5899" width="9.44140625" style="488" customWidth="1"/>
    <col min="5900" max="5900" width="9.5546875" style="488" customWidth="1"/>
    <col min="5901" max="5901" width="10.77734375" style="488" customWidth="1"/>
    <col min="5902" max="5902" width="6.5546875" style="488" customWidth="1"/>
    <col min="5903" max="5903" width="7.5546875" style="488" customWidth="1"/>
    <col min="5904" max="5904" width="10.109375" style="488" customWidth="1"/>
    <col min="5905" max="5905" width="9.44140625" style="488" customWidth="1"/>
    <col min="5906" max="5906" width="11" style="488" customWidth="1"/>
    <col min="5907" max="5907" width="14" style="488" customWidth="1"/>
    <col min="5908" max="5908" width="9.88671875" style="488" customWidth="1"/>
    <col min="5909" max="5912" width="8.88671875" style="488"/>
    <col min="5913" max="5913" width="15" style="488" customWidth="1"/>
    <col min="5914" max="5914" width="6.44140625" style="488" customWidth="1"/>
    <col min="5915" max="5915" width="5.6640625" style="488" customWidth="1"/>
    <col min="5916" max="5916" width="9.109375" style="488" customWidth="1"/>
    <col min="5917" max="5919" width="8.88671875" style="488"/>
    <col min="5920" max="5920" width="11.6640625" style="488" customWidth="1"/>
    <col min="5921" max="6144" width="8.88671875" style="488"/>
    <col min="6145" max="6145" width="6.44140625" style="488" customWidth="1"/>
    <col min="6146" max="6146" width="43.33203125" style="488" customWidth="1"/>
    <col min="6147" max="6147" width="11.109375" style="488" customWidth="1"/>
    <col min="6148" max="6148" width="13.109375" style="488" customWidth="1"/>
    <col min="6149" max="6149" width="13.88671875" style="488" customWidth="1"/>
    <col min="6150" max="6150" width="12.44140625" style="488" customWidth="1"/>
    <col min="6151" max="6151" width="13" style="488" customWidth="1"/>
    <col min="6152" max="6152" width="11" style="488" customWidth="1"/>
    <col min="6153" max="6153" width="9.88671875" style="488" customWidth="1"/>
    <col min="6154" max="6154" width="11.109375" style="488" customWidth="1"/>
    <col min="6155" max="6155" width="9.44140625" style="488" customWidth="1"/>
    <col min="6156" max="6156" width="9.5546875" style="488" customWidth="1"/>
    <col min="6157" max="6157" width="10.77734375" style="488" customWidth="1"/>
    <col min="6158" max="6158" width="6.5546875" style="488" customWidth="1"/>
    <col min="6159" max="6159" width="7.5546875" style="488" customWidth="1"/>
    <col min="6160" max="6160" width="10.109375" style="488" customWidth="1"/>
    <col min="6161" max="6161" width="9.44140625" style="488" customWidth="1"/>
    <col min="6162" max="6162" width="11" style="488" customWidth="1"/>
    <col min="6163" max="6163" width="14" style="488" customWidth="1"/>
    <col min="6164" max="6164" width="9.88671875" style="488" customWidth="1"/>
    <col min="6165" max="6168" width="8.88671875" style="488"/>
    <col min="6169" max="6169" width="15" style="488" customWidth="1"/>
    <col min="6170" max="6170" width="6.44140625" style="488" customWidth="1"/>
    <col min="6171" max="6171" width="5.6640625" style="488" customWidth="1"/>
    <col min="6172" max="6172" width="9.109375" style="488" customWidth="1"/>
    <col min="6173" max="6175" width="8.88671875" style="488"/>
    <col min="6176" max="6176" width="11.6640625" style="488" customWidth="1"/>
    <col min="6177" max="6400" width="8.88671875" style="488"/>
    <col min="6401" max="6401" width="6.44140625" style="488" customWidth="1"/>
    <col min="6402" max="6402" width="43.33203125" style="488" customWidth="1"/>
    <col min="6403" max="6403" width="11.109375" style="488" customWidth="1"/>
    <col min="6404" max="6404" width="13.109375" style="488" customWidth="1"/>
    <col min="6405" max="6405" width="13.88671875" style="488" customWidth="1"/>
    <col min="6406" max="6406" width="12.44140625" style="488" customWidth="1"/>
    <col min="6407" max="6407" width="13" style="488" customWidth="1"/>
    <col min="6408" max="6408" width="11" style="488" customWidth="1"/>
    <col min="6409" max="6409" width="9.88671875" style="488" customWidth="1"/>
    <col min="6410" max="6410" width="11.109375" style="488" customWidth="1"/>
    <col min="6411" max="6411" width="9.44140625" style="488" customWidth="1"/>
    <col min="6412" max="6412" width="9.5546875" style="488" customWidth="1"/>
    <col min="6413" max="6413" width="10.77734375" style="488" customWidth="1"/>
    <col min="6414" max="6414" width="6.5546875" style="488" customWidth="1"/>
    <col min="6415" max="6415" width="7.5546875" style="488" customWidth="1"/>
    <col min="6416" max="6416" width="10.109375" style="488" customWidth="1"/>
    <col min="6417" max="6417" width="9.44140625" style="488" customWidth="1"/>
    <col min="6418" max="6418" width="11" style="488" customWidth="1"/>
    <col min="6419" max="6419" width="14" style="488" customWidth="1"/>
    <col min="6420" max="6420" width="9.88671875" style="488" customWidth="1"/>
    <col min="6421" max="6424" width="8.88671875" style="488"/>
    <col min="6425" max="6425" width="15" style="488" customWidth="1"/>
    <col min="6426" max="6426" width="6.44140625" style="488" customWidth="1"/>
    <col min="6427" max="6427" width="5.6640625" style="488" customWidth="1"/>
    <col min="6428" max="6428" width="9.109375" style="488" customWidth="1"/>
    <col min="6429" max="6431" width="8.88671875" style="488"/>
    <col min="6432" max="6432" width="11.6640625" style="488" customWidth="1"/>
    <col min="6433" max="6656" width="8.88671875" style="488"/>
    <col min="6657" max="6657" width="6.44140625" style="488" customWidth="1"/>
    <col min="6658" max="6658" width="43.33203125" style="488" customWidth="1"/>
    <col min="6659" max="6659" width="11.109375" style="488" customWidth="1"/>
    <col min="6660" max="6660" width="13.109375" style="488" customWidth="1"/>
    <col min="6661" max="6661" width="13.88671875" style="488" customWidth="1"/>
    <col min="6662" max="6662" width="12.44140625" style="488" customWidth="1"/>
    <col min="6663" max="6663" width="13" style="488" customWidth="1"/>
    <col min="6664" max="6664" width="11" style="488" customWidth="1"/>
    <col min="6665" max="6665" width="9.88671875" style="488" customWidth="1"/>
    <col min="6666" max="6666" width="11.109375" style="488" customWidth="1"/>
    <col min="6667" max="6667" width="9.44140625" style="488" customWidth="1"/>
    <col min="6668" max="6668" width="9.5546875" style="488" customWidth="1"/>
    <col min="6669" max="6669" width="10.77734375" style="488" customWidth="1"/>
    <col min="6670" max="6670" width="6.5546875" style="488" customWidth="1"/>
    <col min="6671" max="6671" width="7.5546875" style="488" customWidth="1"/>
    <col min="6672" max="6672" width="10.109375" style="488" customWidth="1"/>
    <col min="6673" max="6673" width="9.44140625" style="488" customWidth="1"/>
    <col min="6674" max="6674" width="11" style="488" customWidth="1"/>
    <col min="6675" max="6675" width="14" style="488" customWidth="1"/>
    <col min="6676" max="6676" width="9.88671875" style="488" customWidth="1"/>
    <col min="6677" max="6680" width="8.88671875" style="488"/>
    <col min="6681" max="6681" width="15" style="488" customWidth="1"/>
    <col min="6682" max="6682" width="6.44140625" style="488" customWidth="1"/>
    <col min="6683" max="6683" width="5.6640625" style="488" customWidth="1"/>
    <col min="6684" max="6684" width="9.109375" style="488" customWidth="1"/>
    <col min="6685" max="6687" width="8.88671875" style="488"/>
    <col min="6688" max="6688" width="11.6640625" style="488" customWidth="1"/>
    <col min="6689" max="6912" width="8.88671875" style="488"/>
    <col min="6913" max="6913" width="6.44140625" style="488" customWidth="1"/>
    <col min="6914" max="6914" width="43.33203125" style="488" customWidth="1"/>
    <col min="6915" max="6915" width="11.109375" style="488" customWidth="1"/>
    <col min="6916" max="6916" width="13.109375" style="488" customWidth="1"/>
    <col min="6917" max="6917" width="13.88671875" style="488" customWidth="1"/>
    <col min="6918" max="6918" width="12.44140625" style="488" customWidth="1"/>
    <col min="6919" max="6919" width="13" style="488" customWidth="1"/>
    <col min="6920" max="6920" width="11" style="488" customWidth="1"/>
    <col min="6921" max="6921" width="9.88671875" style="488" customWidth="1"/>
    <col min="6922" max="6922" width="11.109375" style="488" customWidth="1"/>
    <col min="6923" max="6923" width="9.44140625" style="488" customWidth="1"/>
    <col min="6924" max="6924" width="9.5546875" style="488" customWidth="1"/>
    <col min="6925" max="6925" width="10.77734375" style="488" customWidth="1"/>
    <col min="6926" max="6926" width="6.5546875" style="488" customWidth="1"/>
    <col min="6927" max="6927" width="7.5546875" style="488" customWidth="1"/>
    <col min="6928" max="6928" width="10.109375" style="488" customWidth="1"/>
    <col min="6929" max="6929" width="9.44140625" style="488" customWidth="1"/>
    <col min="6930" max="6930" width="11" style="488" customWidth="1"/>
    <col min="6931" max="6931" width="14" style="488" customWidth="1"/>
    <col min="6932" max="6932" width="9.88671875" style="488" customWidth="1"/>
    <col min="6933" max="6936" width="8.88671875" style="488"/>
    <col min="6937" max="6937" width="15" style="488" customWidth="1"/>
    <col min="6938" max="6938" width="6.44140625" style="488" customWidth="1"/>
    <col min="6939" max="6939" width="5.6640625" style="488" customWidth="1"/>
    <col min="6940" max="6940" width="9.109375" style="488" customWidth="1"/>
    <col min="6941" max="6943" width="8.88671875" style="488"/>
    <col min="6944" max="6944" width="11.6640625" style="488" customWidth="1"/>
    <col min="6945" max="7168" width="8.88671875" style="488"/>
    <col min="7169" max="7169" width="6.44140625" style="488" customWidth="1"/>
    <col min="7170" max="7170" width="43.33203125" style="488" customWidth="1"/>
    <col min="7171" max="7171" width="11.109375" style="488" customWidth="1"/>
    <col min="7172" max="7172" width="13.109375" style="488" customWidth="1"/>
    <col min="7173" max="7173" width="13.88671875" style="488" customWidth="1"/>
    <col min="7174" max="7174" width="12.44140625" style="488" customWidth="1"/>
    <col min="7175" max="7175" width="13" style="488" customWidth="1"/>
    <col min="7176" max="7176" width="11" style="488" customWidth="1"/>
    <col min="7177" max="7177" width="9.88671875" style="488" customWidth="1"/>
    <col min="7178" max="7178" width="11.109375" style="488" customWidth="1"/>
    <col min="7179" max="7179" width="9.44140625" style="488" customWidth="1"/>
    <col min="7180" max="7180" width="9.5546875" style="488" customWidth="1"/>
    <col min="7181" max="7181" width="10.77734375" style="488" customWidth="1"/>
    <col min="7182" max="7182" width="6.5546875" style="488" customWidth="1"/>
    <col min="7183" max="7183" width="7.5546875" style="488" customWidth="1"/>
    <col min="7184" max="7184" width="10.109375" style="488" customWidth="1"/>
    <col min="7185" max="7185" width="9.44140625" style="488" customWidth="1"/>
    <col min="7186" max="7186" width="11" style="488" customWidth="1"/>
    <col min="7187" max="7187" width="14" style="488" customWidth="1"/>
    <col min="7188" max="7188" width="9.88671875" style="488" customWidth="1"/>
    <col min="7189" max="7192" width="8.88671875" style="488"/>
    <col min="7193" max="7193" width="15" style="488" customWidth="1"/>
    <col min="7194" max="7194" width="6.44140625" style="488" customWidth="1"/>
    <col min="7195" max="7195" width="5.6640625" style="488" customWidth="1"/>
    <col min="7196" max="7196" width="9.109375" style="488" customWidth="1"/>
    <col min="7197" max="7199" width="8.88671875" style="488"/>
    <col min="7200" max="7200" width="11.6640625" style="488" customWidth="1"/>
    <col min="7201" max="7424" width="8.88671875" style="488"/>
    <col min="7425" max="7425" width="6.44140625" style="488" customWidth="1"/>
    <col min="7426" max="7426" width="43.33203125" style="488" customWidth="1"/>
    <col min="7427" max="7427" width="11.109375" style="488" customWidth="1"/>
    <col min="7428" max="7428" width="13.109375" style="488" customWidth="1"/>
    <col min="7429" max="7429" width="13.88671875" style="488" customWidth="1"/>
    <col min="7430" max="7430" width="12.44140625" style="488" customWidth="1"/>
    <col min="7431" max="7431" width="13" style="488" customWidth="1"/>
    <col min="7432" max="7432" width="11" style="488" customWidth="1"/>
    <col min="7433" max="7433" width="9.88671875" style="488" customWidth="1"/>
    <col min="7434" max="7434" width="11.109375" style="488" customWidth="1"/>
    <col min="7435" max="7435" width="9.44140625" style="488" customWidth="1"/>
    <col min="7436" max="7436" width="9.5546875" style="488" customWidth="1"/>
    <col min="7437" max="7437" width="10.77734375" style="488" customWidth="1"/>
    <col min="7438" max="7438" width="6.5546875" style="488" customWidth="1"/>
    <col min="7439" max="7439" width="7.5546875" style="488" customWidth="1"/>
    <col min="7440" max="7440" width="10.109375" style="488" customWidth="1"/>
    <col min="7441" max="7441" width="9.44140625" style="488" customWidth="1"/>
    <col min="7442" max="7442" width="11" style="488" customWidth="1"/>
    <col min="7443" max="7443" width="14" style="488" customWidth="1"/>
    <col min="7444" max="7444" width="9.88671875" style="488" customWidth="1"/>
    <col min="7445" max="7448" width="8.88671875" style="488"/>
    <col min="7449" max="7449" width="15" style="488" customWidth="1"/>
    <col min="7450" max="7450" width="6.44140625" style="488" customWidth="1"/>
    <col min="7451" max="7451" width="5.6640625" style="488" customWidth="1"/>
    <col min="7452" max="7452" width="9.109375" style="488" customWidth="1"/>
    <col min="7453" max="7455" width="8.88671875" style="488"/>
    <col min="7456" max="7456" width="11.6640625" style="488" customWidth="1"/>
    <col min="7457" max="7680" width="8.88671875" style="488"/>
    <col min="7681" max="7681" width="6.44140625" style="488" customWidth="1"/>
    <col min="7682" max="7682" width="43.33203125" style="488" customWidth="1"/>
    <col min="7683" max="7683" width="11.109375" style="488" customWidth="1"/>
    <col min="7684" max="7684" width="13.109375" style="488" customWidth="1"/>
    <col min="7685" max="7685" width="13.88671875" style="488" customWidth="1"/>
    <col min="7686" max="7686" width="12.44140625" style="488" customWidth="1"/>
    <col min="7687" max="7687" width="13" style="488" customWidth="1"/>
    <col min="7688" max="7688" width="11" style="488" customWidth="1"/>
    <col min="7689" max="7689" width="9.88671875" style="488" customWidth="1"/>
    <col min="7690" max="7690" width="11.109375" style="488" customWidth="1"/>
    <col min="7691" max="7691" width="9.44140625" style="488" customWidth="1"/>
    <col min="7692" max="7692" width="9.5546875" style="488" customWidth="1"/>
    <col min="7693" max="7693" width="10.77734375" style="488" customWidth="1"/>
    <col min="7694" max="7694" width="6.5546875" style="488" customWidth="1"/>
    <col min="7695" max="7695" width="7.5546875" style="488" customWidth="1"/>
    <col min="7696" max="7696" width="10.109375" style="488" customWidth="1"/>
    <col min="7697" max="7697" width="9.44140625" style="488" customWidth="1"/>
    <col min="7698" max="7698" width="11" style="488" customWidth="1"/>
    <col min="7699" max="7699" width="14" style="488" customWidth="1"/>
    <col min="7700" max="7700" width="9.88671875" style="488" customWidth="1"/>
    <col min="7701" max="7704" width="8.88671875" style="488"/>
    <col min="7705" max="7705" width="15" style="488" customWidth="1"/>
    <col min="7706" max="7706" width="6.44140625" style="488" customWidth="1"/>
    <col min="7707" max="7707" width="5.6640625" style="488" customWidth="1"/>
    <col min="7708" max="7708" width="9.109375" style="488" customWidth="1"/>
    <col min="7709" max="7711" width="8.88671875" style="488"/>
    <col min="7712" max="7712" width="11.6640625" style="488" customWidth="1"/>
    <col min="7713" max="7936" width="8.88671875" style="488"/>
    <col min="7937" max="7937" width="6.44140625" style="488" customWidth="1"/>
    <col min="7938" max="7938" width="43.33203125" style="488" customWidth="1"/>
    <col min="7939" max="7939" width="11.109375" style="488" customWidth="1"/>
    <col min="7940" max="7940" width="13.109375" style="488" customWidth="1"/>
    <col min="7941" max="7941" width="13.88671875" style="488" customWidth="1"/>
    <col min="7942" max="7942" width="12.44140625" style="488" customWidth="1"/>
    <col min="7943" max="7943" width="13" style="488" customWidth="1"/>
    <col min="7944" max="7944" width="11" style="488" customWidth="1"/>
    <col min="7945" max="7945" width="9.88671875" style="488" customWidth="1"/>
    <col min="7946" max="7946" width="11.109375" style="488" customWidth="1"/>
    <col min="7947" max="7947" width="9.44140625" style="488" customWidth="1"/>
    <col min="7948" max="7948" width="9.5546875" style="488" customWidth="1"/>
    <col min="7949" max="7949" width="10.77734375" style="488" customWidth="1"/>
    <col min="7950" max="7950" width="6.5546875" style="488" customWidth="1"/>
    <col min="7951" max="7951" width="7.5546875" style="488" customWidth="1"/>
    <col min="7952" max="7952" width="10.109375" style="488" customWidth="1"/>
    <col min="7953" max="7953" width="9.44140625" style="488" customWidth="1"/>
    <col min="7954" max="7954" width="11" style="488" customWidth="1"/>
    <col min="7955" max="7955" width="14" style="488" customWidth="1"/>
    <col min="7956" max="7956" width="9.88671875" style="488" customWidth="1"/>
    <col min="7957" max="7960" width="8.88671875" style="488"/>
    <col min="7961" max="7961" width="15" style="488" customWidth="1"/>
    <col min="7962" max="7962" width="6.44140625" style="488" customWidth="1"/>
    <col min="7963" max="7963" width="5.6640625" style="488" customWidth="1"/>
    <col min="7964" max="7964" width="9.109375" style="488" customWidth="1"/>
    <col min="7965" max="7967" width="8.88671875" style="488"/>
    <col min="7968" max="7968" width="11.6640625" style="488" customWidth="1"/>
    <col min="7969" max="8192" width="8.88671875" style="488"/>
    <col min="8193" max="8193" width="6.44140625" style="488" customWidth="1"/>
    <col min="8194" max="8194" width="43.33203125" style="488" customWidth="1"/>
    <col min="8195" max="8195" width="11.109375" style="488" customWidth="1"/>
    <col min="8196" max="8196" width="13.109375" style="488" customWidth="1"/>
    <col min="8197" max="8197" width="13.88671875" style="488" customWidth="1"/>
    <col min="8198" max="8198" width="12.44140625" style="488" customWidth="1"/>
    <col min="8199" max="8199" width="13" style="488" customWidth="1"/>
    <col min="8200" max="8200" width="11" style="488" customWidth="1"/>
    <col min="8201" max="8201" width="9.88671875" style="488" customWidth="1"/>
    <col min="8202" max="8202" width="11.109375" style="488" customWidth="1"/>
    <col min="8203" max="8203" width="9.44140625" style="488" customWidth="1"/>
    <col min="8204" max="8204" width="9.5546875" style="488" customWidth="1"/>
    <col min="8205" max="8205" width="10.77734375" style="488" customWidth="1"/>
    <col min="8206" max="8206" width="6.5546875" style="488" customWidth="1"/>
    <col min="8207" max="8207" width="7.5546875" style="488" customWidth="1"/>
    <col min="8208" max="8208" width="10.109375" style="488" customWidth="1"/>
    <col min="8209" max="8209" width="9.44140625" style="488" customWidth="1"/>
    <col min="8210" max="8210" width="11" style="488" customWidth="1"/>
    <col min="8211" max="8211" width="14" style="488" customWidth="1"/>
    <col min="8212" max="8212" width="9.88671875" style="488" customWidth="1"/>
    <col min="8213" max="8216" width="8.88671875" style="488"/>
    <col min="8217" max="8217" width="15" style="488" customWidth="1"/>
    <col min="8218" max="8218" width="6.44140625" style="488" customWidth="1"/>
    <col min="8219" max="8219" width="5.6640625" style="488" customWidth="1"/>
    <col min="8220" max="8220" width="9.109375" style="488" customWidth="1"/>
    <col min="8221" max="8223" width="8.88671875" style="488"/>
    <col min="8224" max="8224" width="11.6640625" style="488" customWidth="1"/>
    <col min="8225" max="8448" width="8.88671875" style="488"/>
    <col min="8449" max="8449" width="6.44140625" style="488" customWidth="1"/>
    <col min="8450" max="8450" width="43.33203125" style="488" customWidth="1"/>
    <col min="8451" max="8451" width="11.109375" style="488" customWidth="1"/>
    <col min="8452" max="8452" width="13.109375" style="488" customWidth="1"/>
    <col min="8453" max="8453" width="13.88671875" style="488" customWidth="1"/>
    <col min="8454" max="8454" width="12.44140625" style="488" customWidth="1"/>
    <col min="8455" max="8455" width="13" style="488" customWidth="1"/>
    <col min="8456" max="8456" width="11" style="488" customWidth="1"/>
    <col min="8457" max="8457" width="9.88671875" style="488" customWidth="1"/>
    <col min="8458" max="8458" width="11.109375" style="488" customWidth="1"/>
    <col min="8459" max="8459" width="9.44140625" style="488" customWidth="1"/>
    <col min="8460" max="8460" width="9.5546875" style="488" customWidth="1"/>
    <col min="8461" max="8461" width="10.77734375" style="488" customWidth="1"/>
    <col min="8462" max="8462" width="6.5546875" style="488" customWidth="1"/>
    <col min="8463" max="8463" width="7.5546875" style="488" customWidth="1"/>
    <col min="8464" max="8464" width="10.109375" style="488" customWidth="1"/>
    <col min="8465" max="8465" width="9.44140625" style="488" customWidth="1"/>
    <col min="8466" max="8466" width="11" style="488" customWidth="1"/>
    <col min="8467" max="8467" width="14" style="488" customWidth="1"/>
    <col min="8468" max="8468" width="9.88671875" style="488" customWidth="1"/>
    <col min="8469" max="8472" width="8.88671875" style="488"/>
    <col min="8473" max="8473" width="15" style="488" customWidth="1"/>
    <col min="8474" max="8474" width="6.44140625" style="488" customWidth="1"/>
    <col min="8475" max="8475" width="5.6640625" style="488" customWidth="1"/>
    <col min="8476" max="8476" width="9.109375" style="488" customWidth="1"/>
    <col min="8477" max="8479" width="8.88671875" style="488"/>
    <col min="8480" max="8480" width="11.6640625" style="488" customWidth="1"/>
    <col min="8481" max="8704" width="8.88671875" style="488"/>
    <col min="8705" max="8705" width="6.44140625" style="488" customWidth="1"/>
    <col min="8706" max="8706" width="43.33203125" style="488" customWidth="1"/>
    <col min="8707" max="8707" width="11.109375" style="488" customWidth="1"/>
    <col min="8708" max="8708" width="13.109375" style="488" customWidth="1"/>
    <col min="8709" max="8709" width="13.88671875" style="488" customWidth="1"/>
    <col min="8710" max="8710" width="12.44140625" style="488" customWidth="1"/>
    <col min="8711" max="8711" width="13" style="488" customWidth="1"/>
    <col min="8712" max="8712" width="11" style="488" customWidth="1"/>
    <col min="8713" max="8713" width="9.88671875" style="488" customWidth="1"/>
    <col min="8714" max="8714" width="11.109375" style="488" customWidth="1"/>
    <col min="8715" max="8715" width="9.44140625" style="488" customWidth="1"/>
    <col min="8716" max="8716" width="9.5546875" style="488" customWidth="1"/>
    <col min="8717" max="8717" width="10.77734375" style="488" customWidth="1"/>
    <col min="8718" max="8718" width="6.5546875" style="488" customWidth="1"/>
    <col min="8719" max="8719" width="7.5546875" style="488" customWidth="1"/>
    <col min="8720" max="8720" width="10.109375" style="488" customWidth="1"/>
    <col min="8721" max="8721" width="9.44140625" style="488" customWidth="1"/>
    <col min="8722" max="8722" width="11" style="488" customWidth="1"/>
    <col min="8723" max="8723" width="14" style="488" customWidth="1"/>
    <col min="8724" max="8724" width="9.88671875" style="488" customWidth="1"/>
    <col min="8725" max="8728" width="8.88671875" style="488"/>
    <col min="8729" max="8729" width="15" style="488" customWidth="1"/>
    <col min="8730" max="8730" width="6.44140625" style="488" customWidth="1"/>
    <col min="8731" max="8731" width="5.6640625" style="488" customWidth="1"/>
    <col min="8732" max="8732" width="9.109375" style="488" customWidth="1"/>
    <col min="8733" max="8735" width="8.88671875" style="488"/>
    <col min="8736" max="8736" width="11.6640625" style="488" customWidth="1"/>
    <col min="8737" max="8960" width="8.88671875" style="488"/>
    <col min="8961" max="8961" width="6.44140625" style="488" customWidth="1"/>
    <col min="8962" max="8962" width="43.33203125" style="488" customWidth="1"/>
    <col min="8963" max="8963" width="11.109375" style="488" customWidth="1"/>
    <col min="8964" max="8964" width="13.109375" style="488" customWidth="1"/>
    <col min="8965" max="8965" width="13.88671875" style="488" customWidth="1"/>
    <col min="8966" max="8966" width="12.44140625" style="488" customWidth="1"/>
    <col min="8967" max="8967" width="13" style="488" customWidth="1"/>
    <col min="8968" max="8968" width="11" style="488" customWidth="1"/>
    <col min="8969" max="8969" width="9.88671875" style="488" customWidth="1"/>
    <col min="8970" max="8970" width="11.109375" style="488" customWidth="1"/>
    <col min="8971" max="8971" width="9.44140625" style="488" customWidth="1"/>
    <col min="8972" max="8972" width="9.5546875" style="488" customWidth="1"/>
    <col min="8973" max="8973" width="10.77734375" style="488" customWidth="1"/>
    <col min="8974" max="8974" width="6.5546875" style="488" customWidth="1"/>
    <col min="8975" max="8975" width="7.5546875" style="488" customWidth="1"/>
    <col min="8976" max="8976" width="10.109375" style="488" customWidth="1"/>
    <col min="8977" max="8977" width="9.44140625" style="488" customWidth="1"/>
    <col min="8978" max="8978" width="11" style="488" customWidth="1"/>
    <col min="8979" max="8979" width="14" style="488" customWidth="1"/>
    <col min="8980" max="8980" width="9.88671875" style="488" customWidth="1"/>
    <col min="8981" max="8984" width="8.88671875" style="488"/>
    <col min="8985" max="8985" width="15" style="488" customWidth="1"/>
    <col min="8986" max="8986" width="6.44140625" style="488" customWidth="1"/>
    <col min="8987" max="8987" width="5.6640625" style="488" customWidth="1"/>
    <col min="8988" max="8988" width="9.109375" style="488" customWidth="1"/>
    <col min="8989" max="8991" width="8.88671875" style="488"/>
    <col min="8992" max="8992" width="11.6640625" style="488" customWidth="1"/>
    <col min="8993" max="9216" width="8.88671875" style="488"/>
    <col min="9217" max="9217" width="6.44140625" style="488" customWidth="1"/>
    <col min="9218" max="9218" width="43.33203125" style="488" customWidth="1"/>
    <col min="9219" max="9219" width="11.109375" style="488" customWidth="1"/>
    <col min="9220" max="9220" width="13.109375" style="488" customWidth="1"/>
    <col min="9221" max="9221" width="13.88671875" style="488" customWidth="1"/>
    <col min="9222" max="9222" width="12.44140625" style="488" customWidth="1"/>
    <col min="9223" max="9223" width="13" style="488" customWidth="1"/>
    <col min="9224" max="9224" width="11" style="488" customWidth="1"/>
    <col min="9225" max="9225" width="9.88671875" style="488" customWidth="1"/>
    <col min="9226" max="9226" width="11.109375" style="488" customWidth="1"/>
    <col min="9227" max="9227" width="9.44140625" style="488" customWidth="1"/>
    <col min="9228" max="9228" width="9.5546875" style="488" customWidth="1"/>
    <col min="9229" max="9229" width="10.77734375" style="488" customWidth="1"/>
    <col min="9230" max="9230" width="6.5546875" style="488" customWidth="1"/>
    <col min="9231" max="9231" width="7.5546875" style="488" customWidth="1"/>
    <col min="9232" max="9232" width="10.109375" style="488" customWidth="1"/>
    <col min="9233" max="9233" width="9.44140625" style="488" customWidth="1"/>
    <col min="9234" max="9234" width="11" style="488" customWidth="1"/>
    <col min="9235" max="9235" width="14" style="488" customWidth="1"/>
    <col min="9236" max="9236" width="9.88671875" style="488" customWidth="1"/>
    <col min="9237" max="9240" width="8.88671875" style="488"/>
    <col min="9241" max="9241" width="15" style="488" customWidth="1"/>
    <col min="9242" max="9242" width="6.44140625" style="488" customWidth="1"/>
    <col min="9243" max="9243" width="5.6640625" style="488" customWidth="1"/>
    <col min="9244" max="9244" width="9.109375" style="488" customWidth="1"/>
    <col min="9245" max="9247" width="8.88671875" style="488"/>
    <col min="9248" max="9248" width="11.6640625" style="488" customWidth="1"/>
    <col min="9249" max="9472" width="8.88671875" style="488"/>
    <col min="9473" max="9473" width="6.44140625" style="488" customWidth="1"/>
    <col min="9474" max="9474" width="43.33203125" style="488" customWidth="1"/>
    <col min="9475" max="9475" width="11.109375" style="488" customWidth="1"/>
    <col min="9476" max="9476" width="13.109375" style="488" customWidth="1"/>
    <col min="9477" max="9477" width="13.88671875" style="488" customWidth="1"/>
    <col min="9478" max="9478" width="12.44140625" style="488" customWidth="1"/>
    <col min="9479" max="9479" width="13" style="488" customWidth="1"/>
    <col min="9480" max="9480" width="11" style="488" customWidth="1"/>
    <col min="9481" max="9481" width="9.88671875" style="488" customWidth="1"/>
    <col min="9482" max="9482" width="11.109375" style="488" customWidth="1"/>
    <col min="9483" max="9483" width="9.44140625" style="488" customWidth="1"/>
    <col min="9484" max="9484" width="9.5546875" style="488" customWidth="1"/>
    <col min="9485" max="9485" width="10.77734375" style="488" customWidth="1"/>
    <col min="9486" max="9486" width="6.5546875" style="488" customWidth="1"/>
    <col min="9487" max="9487" width="7.5546875" style="488" customWidth="1"/>
    <col min="9488" max="9488" width="10.109375" style="488" customWidth="1"/>
    <col min="9489" max="9489" width="9.44140625" style="488" customWidth="1"/>
    <col min="9490" max="9490" width="11" style="488" customWidth="1"/>
    <col min="9491" max="9491" width="14" style="488" customWidth="1"/>
    <col min="9492" max="9492" width="9.88671875" style="488" customWidth="1"/>
    <col min="9493" max="9496" width="8.88671875" style="488"/>
    <col min="9497" max="9497" width="15" style="488" customWidth="1"/>
    <col min="9498" max="9498" width="6.44140625" style="488" customWidth="1"/>
    <col min="9499" max="9499" width="5.6640625" style="488" customWidth="1"/>
    <col min="9500" max="9500" width="9.109375" style="488" customWidth="1"/>
    <col min="9501" max="9503" width="8.88671875" style="488"/>
    <col min="9504" max="9504" width="11.6640625" style="488" customWidth="1"/>
    <col min="9505" max="9728" width="8.88671875" style="488"/>
    <col min="9729" max="9729" width="6.44140625" style="488" customWidth="1"/>
    <col min="9730" max="9730" width="43.33203125" style="488" customWidth="1"/>
    <col min="9731" max="9731" width="11.109375" style="488" customWidth="1"/>
    <col min="9732" max="9732" width="13.109375" style="488" customWidth="1"/>
    <col min="9733" max="9733" width="13.88671875" style="488" customWidth="1"/>
    <col min="9734" max="9734" width="12.44140625" style="488" customWidth="1"/>
    <col min="9735" max="9735" width="13" style="488" customWidth="1"/>
    <col min="9736" max="9736" width="11" style="488" customWidth="1"/>
    <col min="9737" max="9737" width="9.88671875" style="488" customWidth="1"/>
    <col min="9738" max="9738" width="11.109375" style="488" customWidth="1"/>
    <col min="9739" max="9739" width="9.44140625" style="488" customWidth="1"/>
    <col min="9740" max="9740" width="9.5546875" style="488" customWidth="1"/>
    <col min="9741" max="9741" width="10.77734375" style="488" customWidth="1"/>
    <col min="9742" max="9742" width="6.5546875" style="488" customWidth="1"/>
    <col min="9743" max="9743" width="7.5546875" style="488" customWidth="1"/>
    <col min="9744" max="9744" width="10.109375" style="488" customWidth="1"/>
    <col min="9745" max="9745" width="9.44140625" style="488" customWidth="1"/>
    <col min="9746" max="9746" width="11" style="488" customWidth="1"/>
    <col min="9747" max="9747" width="14" style="488" customWidth="1"/>
    <col min="9748" max="9748" width="9.88671875" style="488" customWidth="1"/>
    <col min="9749" max="9752" width="8.88671875" style="488"/>
    <col min="9753" max="9753" width="15" style="488" customWidth="1"/>
    <col min="9754" max="9754" width="6.44140625" style="488" customWidth="1"/>
    <col min="9755" max="9755" width="5.6640625" style="488" customWidth="1"/>
    <col min="9756" max="9756" width="9.109375" style="488" customWidth="1"/>
    <col min="9757" max="9759" width="8.88671875" style="488"/>
    <col min="9760" max="9760" width="11.6640625" style="488" customWidth="1"/>
    <col min="9761" max="9984" width="8.88671875" style="488"/>
    <col min="9985" max="9985" width="6.44140625" style="488" customWidth="1"/>
    <col min="9986" max="9986" width="43.33203125" style="488" customWidth="1"/>
    <col min="9987" max="9987" width="11.109375" style="488" customWidth="1"/>
    <col min="9988" max="9988" width="13.109375" style="488" customWidth="1"/>
    <col min="9989" max="9989" width="13.88671875" style="488" customWidth="1"/>
    <col min="9990" max="9990" width="12.44140625" style="488" customWidth="1"/>
    <col min="9991" max="9991" width="13" style="488" customWidth="1"/>
    <col min="9992" max="9992" width="11" style="488" customWidth="1"/>
    <col min="9993" max="9993" width="9.88671875" style="488" customWidth="1"/>
    <col min="9994" max="9994" width="11.109375" style="488" customWidth="1"/>
    <col min="9995" max="9995" width="9.44140625" style="488" customWidth="1"/>
    <col min="9996" max="9996" width="9.5546875" style="488" customWidth="1"/>
    <col min="9997" max="9997" width="10.77734375" style="488" customWidth="1"/>
    <col min="9998" max="9998" width="6.5546875" style="488" customWidth="1"/>
    <col min="9999" max="9999" width="7.5546875" style="488" customWidth="1"/>
    <col min="10000" max="10000" width="10.109375" style="488" customWidth="1"/>
    <col min="10001" max="10001" width="9.44140625" style="488" customWidth="1"/>
    <col min="10002" max="10002" width="11" style="488" customWidth="1"/>
    <col min="10003" max="10003" width="14" style="488" customWidth="1"/>
    <col min="10004" max="10004" width="9.88671875" style="488" customWidth="1"/>
    <col min="10005" max="10008" width="8.88671875" style="488"/>
    <col min="10009" max="10009" width="15" style="488" customWidth="1"/>
    <col min="10010" max="10010" width="6.44140625" style="488" customWidth="1"/>
    <col min="10011" max="10011" width="5.6640625" style="488" customWidth="1"/>
    <col min="10012" max="10012" width="9.109375" style="488" customWidth="1"/>
    <col min="10013" max="10015" width="8.88671875" style="488"/>
    <col min="10016" max="10016" width="11.6640625" style="488" customWidth="1"/>
    <col min="10017" max="10240" width="8.88671875" style="488"/>
    <col min="10241" max="10241" width="6.44140625" style="488" customWidth="1"/>
    <col min="10242" max="10242" width="43.33203125" style="488" customWidth="1"/>
    <col min="10243" max="10243" width="11.109375" style="488" customWidth="1"/>
    <col min="10244" max="10244" width="13.109375" style="488" customWidth="1"/>
    <col min="10245" max="10245" width="13.88671875" style="488" customWidth="1"/>
    <col min="10246" max="10246" width="12.44140625" style="488" customWidth="1"/>
    <col min="10247" max="10247" width="13" style="488" customWidth="1"/>
    <col min="10248" max="10248" width="11" style="488" customWidth="1"/>
    <col min="10249" max="10249" width="9.88671875" style="488" customWidth="1"/>
    <col min="10250" max="10250" width="11.109375" style="488" customWidth="1"/>
    <col min="10251" max="10251" width="9.44140625" style="488" customWidth="1"/>
    <col min="10252" max="10252" width="9.5546875" style="488" customWidth="1"/>
    <col min="10253" max="10253" width="10.77734375" style="488" customWidth="1"/>
    <col min="10254" max="10254" width="6.5546875" style="488" customWidth="1"/>
    <col min="10255" max="10255" width="7.5546875" style="488" customWidth="1"/>
    <col min="10256" max="10256" width="10.109375" style="488" customWidth="1"/>
    <col min="10257" max="10257" width="9.44140625" style="488" customWidth="1"/>
    <col min="10258" max="10258" width="11" style="488" customWidth="1"/>
    <col min="10259" max="10259" width="14" style="488" customWidth="1"/>
    <col min="10260" max="10260" width="9.88671875" style="488" customWidth="1"/>
    <col min="10261" max="10264" width="8.88671875" style="488"/>
    <col min="10265" max="10265" width="15" style="488" customWidth="1"/>
    <col min="10266" max="10266" width="6.44140625" style="488" customWidth="1"/>
    <col min="10267" max="10267" width="5.6640625" style="488" customWidth="1"/>
    <col min="10268" max="10268" width="9.109375" style="488" customWidth="1"/>
    <col min="10269" max="10271" width="8.88671875" style="488"/>
    <col min="10272" max="10272" width="11.6640625" style="488" customWidth="1"/>
    <col min="10273" max="10496" width="8.88671875" style="488"/>
    <col min="10497" max="10497" width="6.44140625" style="488" customWidth="1"/>
    <col min="10498" max="10498" width="43.33203125" style="488" customWidth="1"/>
    <col min="10499" max="10499" width="11.109375" style="488" customWidth="1"/>
    <col min="10500" max="10500" width="13.109375" style="488" customWidth="1"/>
    <col min="10501" max="10501" width="13.88671875" style="488" customWidth="1"/>
    <col min="10502" max="10502" width="12.44140625" style="488" customWidth="1"/>
    <col min="10503" max="10503" width="13" style="488" customWidth="1"/>
    <col min="10504" max="10504" width="11" style="488" customWidth="1"/>
    <col min="10505" max="10505" width="9.88671875" style="488" customWidth="1"/>
    <col min="10506" max="10506" width="11.109375" style="488" customWidth="1"/>
    <col min="10507" max="10507" width="9.44140625" style="488" customWidth="1"/>
    <col min="10508" max="10508" width="9.5546875" style="488" customWidth="1"/>
    <col min="10509" max="10509" width="10.77734375" style="488" customWidth="1"/>
    <col min="10510" max="10510" width="6.5546875" style="488" customWidth="1"/>
    <col min="10511" max="10511" width="7.5546875" style="488" customWidth="1"/>
    <col min="10512" max="10512" width="10.109375" style="488" customWidth="1"/>
    <col min="10513" max="10513" width="9.44140625" style="488" customWidth="1"/>
    <col min="10514" max="10514" width="11" style="488" customWidth="1"/>
    <col min="10515" max="10515" width="14" style="488" customWidth="1"/>
    <col min="10516" max="10516" width="9.88671875" style="488" customWidth="1"/>
    <col min="10517" max="10520" width="8.88671875" style="488"/>
    <col min="10521" max="10521" width="15" style="488" customWidth="1"/>
    <col min="10522" max="10522" width="6.44140625" style="488" customWidth="1"/>
    <col min="10523" max="10523" width="5.6640625" style="488" customWidth="1"/>
    <col min="10524" max="10524" width="9.109375" style="488" customWidth="1"/>
    <col min="10525" max="10527" width="8.88671875" style="488"/>
    <col min="10528" max="10528" width="11.6640625" style="488" customWidth="1"/>
    <col min="10529" max="10752" width="8.88671875" style="488"/>
    <col min="10753" max="10753" width="6.44140625" style="488" customWidth="1"/>
    <col min="10754" max="10754" width="43.33203125" style="488" customWidth="1"/>
    <col min="10755" max="10755" width="11.109375" style="488" customWidth="1"/>
    <col min="10756" max="10756" width="13.109375" style="488" customWidth="1"/>
    <col min="10757" max="10757" width="13.88671875" style="488" customWidth="1"/>
    <col min="10758" max="10758" width="12.44140625" style="488" customWidth="1"/>
    <col min="10759" max="10759" width="13" style="488" customWidth="1"/>
    <col min="10760" max="10760" width="11" style="488" customWidth="1"/>
    <col min="10761" max="10761" width="9.88671875" style="488" customWidth="1"/>
    <col min="10762" max="10762" width="11.109375" style="488" customWidth="1"/>
    <col min="10763" max="10763" width="9.44140625" style="488" customWidth="1"/>
    <col min="10764" max="10764" width="9.5546875" style="488" customWidth="1"/>
    <col min="10765" max="10765" width="10.77734375" style="488" customWidth="1"/>
    <col min="10766" max="10766" width="6.5546875" style="488" customWidth="1"/>
    <col min="10767" max="10767" width="7.5546875" style="488" customWidth="1"/>
    <col min="10768" max="10768" width="10.109375" style="488" customWidth="1"/>
    <col min="10769" max="10769" width="9.44140625" style="488" customWidth="1"/>
    <col min="10770" max="10770" width="11" style="488" customWidth="1"/>
    <col min="10771" max="10771" width="14" style="488" customWidth="1"/>
    <col min="10772" max="10772" width="9.88671875" style="488" customWidth="1"/>
    <col min="10773" max="10776" width="8.88671875" style="488"/>
    <col min="10777" max="10777" width="15" style="488" customWidth="1"/>
    <col min="10778" max="10778" width="6.44140625" style="488" customWidth="1"/>
    <col min="10779" max="10779" width="5.6640625" style="488" customWidth="1"/>
    <col min="10780" max="10780" width="9.109375" style="488" customWidth="1"/>
    <col min="10781" max="10783" width="8.88671875" style="488"/>
    <col min="10784" max="10784" width="11.6640625" style="488" customWidth="1"/>
    <col min="10785" max="11008" width="8.88671875" style="488"/>
    <col min="11009" max="11009" width="6.44140625" style="488" customWidth="1"/>
    <col min="11010" max="11010" width="43.33203125" style="488" customWidth="1"/>
    <col min="11011" max="11011" width="11.109375" style="488" customWidth="1"/>
    <col min="11012" max="11012" width="13.109375" style="488" customWidth="1"/>
    <col min="11013" max="11013" width="13.88671875" style="488" customWidth="1"/>
    <col min="11014" max="11014" width="12.44140625" style="488" customWidth="1"/>
    <col min="11015" max="11015" width="13" style="488" customWidth="1"/>
    <col min="11016" max="11016" width="11" style="488" customWidth="1"/>
    <col min="11017" max="11017" width="9.88671875" style="488" customWidth="1"/>
    <col min="11018" max="11018" width="11.109375" style="488" customWidth="1"/>
    <col min="11019" max="11019" width="9.44140625" style="488" customWidth="1"/>
    <col min="11020" max="11020" width="9.5546875" style="488" customWidth="1"/>
    <col min="11021" max="11021" width="10.77734375" style="488" customWidth="1"/>
    <col min="11022" max="11022" width="6.5546875" style="488" customWidth="1"/>
    <col min="11023" max="11023" width="7.5546875" style="488" customWidth="1"/>
    <col min="11024" max="11024" width="10.109375" style="488" customWidth="1"/>
    <col min="11025" max="11025" width="9.44140625" style="488" customWidth="1"/>
    <col min="11026" max="11026" width="11" style="488" customWidth="1"/>
    <col min="11027" max="11027" width="14" style="488" customWidth="1"/>
    <col min="11028" max="11028" width="9.88671875" style="488" customWidth="1"/>
    <col min="11029" max="11032" width="8.88671875" style="488"/>
    <col min="11033" max="11033" width="15" style="488" customWidth="1"/>
    <col min="11034" max="11034" width="6.44140625" style="488" customWidth="1"/>
    <col min="11035" max="11035" width="5.6640625" style="488" customWidth="1"/>
    <col min="11036" max="11036" width="9.109375" style="488" customWidth="1"/>
    <col min="11037" max="11039" width="8.88671875" style="488"/>
    <col min="11040" max="11040" width="11.6640625" style="488" customWidth="1"/>
    <col min="11041" max="11264" width="8.88671875" style="488"/>
    <col min="11265" max="11265" width="6.44140625" style="488" customWidth="1"/>
    <col min="11266" max="11266" width="43.33203125" style="488" customWidth="1"/>
    <col min="11267" max="11267" width="11.109375" style="488" customWidth="1"/>
    <col min="11268" max="11268" width="13.109375" style="488" customWidth="1"/>
    <col min="11269" max="11269" width="13.88671875" style="488" customWidth="1"/>
    <col min="11270" max="11270" width="12.44140625" style="488" customWidth="1"/>
    <col min="11271" max="11271" width="13" style="488" customWidth="1"/>
    <col min="11272" max="11272" width="11" style="488" customWidth="1"/>
    <col min="11273" max="11273" width="9.88671875" style="488" customWidth="1"/>
    <col min="11274" max="11274" width="11.109375" style="488" customWidth="1"/>
    <col min="11275" max="11275" width="9.44140625" style="488" customWidth="1"/>
    <col min="11276" max="11276" width="9.5546875" style="488" customWidth="1"/>
    <col min="11277" max="11277" width="10.77734375" style="488" customWidth="1"/>
    <col min="11278" max="11278" width="6.5546875" style="488" customWidth="1"/>
    <col min="11279" max="11279" width="7.5546875" style="488" customWidth="1"/>
    <col min="11280" max="11280" width="10.109375" style="488" customWidth="1"/>
    <col min="11281" max="11281" width="9.44140625" style="488" customWidth="1"/>
    <col min="11282" max="11282" width="11" style="488" customWidth="1"/>
    <col min="11283" max="11283" width="14" style="488" customWidth="1"/>
    <col min="11284" max="11284" width="9.88671875" style="488" customWidth="1"/>
    <col min="11285" max="11288" width="8.88671875" style="488"/>
    <col min="11289" max="11289" width="15" style="488" customWidth="1"/>
    <col min="11290" max="11290" width="6.44140625" style="488" customWidth="1"/>
    <col min="11291" max="11291" width="5.6640625" style="488" customWidth="1"/>
    <col min="11292" max="11292" width="9.109375" style="488" customWidth="1"/>
    <col min="11293" max="11295" width="8.88671875" style="488"/>
    <col min="11296" max="11296" width="11.6640625" style="488" customWidth="1"/>
    <col min="11297" max="11520" width="8.88671875" style="488"/>
    <col min="11521" max="11521" width="6.44140625" style="488" customWidth="1"/>
    <col min="11522" max="11522" width="43.33203125" style="488" customWidth="1"/>
    <col min="11523" max="11523" width="11.109375" style="488" customWidth="1"/>
    <col min="11524" max="11524" width="13.109375" style="488" customWidth="1"/>
    <col min="11525" max="11525" width="13.88671875" style="488" customWidth="1"/>
    <col min="11526" max="11526" width="12.44140625" style="488" customWidth="1"/>
    <col min="11527" max="11527" width="13" style="488" customWidth="1"/>
    <col min="11528" max="11528" width="11" style="488" customWidth="1"/>
    <col min="11529" max="11529" width="9.88671875" style="488" customWidth="1"/>
    <col min="11530" max="11530" width="11.109375" style="488" customWidth="1"/>
    <col min="11531" max="11531" width="9.44140625" style="488" customWidth="1"/>
    <col min="11532" max="11532" width="9.5546875" style="488" customWidth="1"/>
    <col min="11533" max="11533" width="10.77734375" style="488" customWidth="1"/>
    <col min="11534" max="11534" width="6.5546875" style="488" customWidth="1"/>
    <col min="11535" max="11535" width="7.5546875" style="488" customWidth="1"/>
    <col min="11536" max="11536" width="10.109375" style="488" customWidth="1"/>
    <col min="11537" max="11537" width="9.44140625" style="488" customWidth="1"/>
    <col min="11538" max="11538" width="11" style="488" customWidth="1"/>
    <col min="11539" max="11539" width="14" style="488" customWidth="1"/>
    <col min="11540" max="11540" width="9.88671875" style="488" customWidth="1"/>
    <col min="11541" max="11544" width="8.88671875" style="488"/>
    <col min="11545" max="11545" width="15" style="488" customWidth="1"/>
    <col min="11546" max="11546" width="6.44140625" style="488" customWidth="1"/>
    <col min="11547" max="11547" width="5.6640625" style="488" customWidth="1"/>
    <col min="11548" max="11548" width="9.109375" style="488" customWidth="1"/>
    <col min="11549" max="11551" width="8.88671875" style="488"/>
    <col min="11552" max="11552" width="11.6640625" style="488" customWidth="1"/>
    <col min="11553" max="11776" width="8.88671875" style="488"/>
    <col min="11777" max="11777" width="6.44140625" style="488" customWidth="1"/>
    <col min="11778" max="11778" width="43.33203125" style="488" customWidth="1"/>
    <col min="11779" max="11779" width="11.109375" style="488" customWidth="1"/>
    <col min="11780" max="11780" width="13.109375" style="488" customWidth="1"/>
    <col min="11781" max="11781" width="13.88671875" style="488" customWidth="1"/>
    <col min="11782" max="11782" width="12.44140625" style="488" customWidth="1"/>
    <col min="11783" max="11783" width="13" style="488" customWidth="1"/>
    <col min="11784" max="11784" width="11" style="488" customWidth="1"/>
    <col min="11785" max="11785" width="9.88671875" style="488" customWidth="1"/>
    <col min="11786" max="11786" width="11.109375" style="488" customWidth="1"/>
    <col min="11787" max="11787" width="9.44140625" style="488" customWidth="1"/>
    <col min="11788" max="11788" width="9.5546875" style="488" customWidth="1"/>
    <col min="11789" max="11789" width="10.77734375" style="488" customWidth="1"/>
    <col min="11790" max="11790" width="6.5546875" style="488" customWidth="1"/>
    <col min="11791" max="11791" width="7.5546875" style="488" customWidth="1"/>
    <col min="11792" max="11792" width="10.109375" style="488" customWidth="1"/>
    <col min="11793" max="11793" width="9.44140625" style="488" customWidth="1"/>
    <col min="11794" max="11794" width="11" style="488" customWidth="1"/>
    <col min="11795" max="11795" width="14" style="488" customWidth="1"/>
    <col min="11796" max="11796" width="9.88671875" style="488" customWidth="1"/>
    <col min="11797" max="11800" width="8.88671875" style="488"/>
    <col min="11801" max="11801" width="15" style="488" customWidth="1"/>
    <col min="11802" max="11802" width="6.44140625" style="488" customWidth="1"/>
    <col min="11803" max="11803" width="5.6640625" style="488" customWidth="1"/>
    <col min="11804" max="11804" width="9.109375" style="488" customWidth="1"/>
    <col min="11805" max="11807" width="8.88671875" style="488"/>
    <col min="11808" max="11808" width="11.6640625" style="488" customWidth="1"/>
    <col min="11809" max="12032" width="8.88671875" style="488"/>
    <col min="12033" max="12033" width="6.44140625" style="488" customWidth="1"/>
    <col min="12034" max="12034" width="43.33203125" style="488" customWidth="1"/>
    <col min="12035" max="12035" width="11.109375" style="488" customWidth="1"/>
    <col min="12036" max="12036" width="13.109375" style="488" customWidth="1"/>
    <col min="12037" max="12037" width="13.88671875" style="488" customWidth="1"/>
    <col min="12038" max="12038" width="12.44140625" style="488" customWidth="1"/>
    <col min="12039" max="12039" width="13" style="488" customWidth="1"/>
    <col min="12040" max="12040" width="11" style="488" customWidth="1"/>
    <col min="12041" max="12041" width="9.88671875" style="488" customWidth="1"/>
    <col min="12042" max="12042" width="11.109375" style="488" customWidth="1"/>
    <col min="12043" max="12043" width="9.44140625" style="488" customWidth="1"/>
    <col min="12044" max="12044" width="9.5546875" style="488" customWidth="1"/>
    <col min="12045" max="12045" width="10.77734375" style="488" customWidth="1"/>
    <col min="12046" max="12046" width="6.5546875" style="488" customWidth="1"/>
    <col min="12047" max="12047" width="7.5546875" style="488" customWidth="1"/>
    <col min="12048" max="12048" width="10.109375" style="488" customWidth="1"/>
    <col min="12049" max="12049" width="9.44140625" style="488" customWidth="1"/>
    <col min="12050" max="12050" width="11" style="488" customWidth="1"/>
    <col min="12051" max="12051" width="14" style="488" customWidth="1"/>
    <col min="12052" max="12052" width="9.88671875" style="488" customWidth="1"/>
    <col min="12053" max="12056" width="8.88671875" style="488"/>
    <col min="12057" max="12057" width="15" style="488" customWidth="1"/>
    <col min="12058" max="12058" width="6.44140625" style="488" customWidth="1"/>
    <col min="12059" max="12059" width="5.6640625" style="488" customWidth="1"/>
    <col min="12060" max="12060" width="9.109375" style="488" customWidth="1"/>
    <col min="12061" max="12063" width="8.88671875" style="488"/>
    <col min="12064" max="12064" width="11.6640625" style="488" customWidth="1"/>
    <col min="12065" max="12288" width="8.88671875" style="488"/>
    <col min="12289" max="12289" width="6.44140625" style="488" customWidth="1"/>
    <col min="12290" max="12290" width="43.33203125" style="488" customWidth="1"/>
    <col min="12291" max="12291" width="11.109375" style="488" customWidth="1"/>
    <col min="12292" max="12292" width="13.109375" style="488" customWidth="1"/>
    <col min="12293" max="12293" width="13.88671875" style="488" customWidth="1"/>
    <col min="12294" max="12294" width="12.44140625" style="488" customWidth="1"/>
    <col min="12295" max="12295" width="13" style="488" customWidth="1"/>
    <col min="12296" max="12296" width="11" style="488" customWidth="1"/>
    <col min="12297" max="12297" width="9.88671875" style="488" customWidth="1"/>
    <col min="12298" max="12298" width="11.109375" style="488" customWidth="1"/>
    <col min="12299" max="12299" width="9.44140625" style="488" customWidth="1"/>
    <col min="12300" max="12300" width="9.5546875" style="488" customWidth="1"/>
    <col min="12301" max="12301" width="10.77734375" style="488" customWidth="1"/>
    <col min="12302" max="12302" width="6.5546875" style="488" customWidth="1"/>
    <col min="12303" max="12303" width="7.5546875" style="488" customWidth="1"/>
    <col min="12304" max="12304" width="10.109375" style="488" customWidth="1"/>
    <col min="12305" max="12305" width="9.44140625" style="488" customWidth="1"/>
    <col min="12306" max="12306" width="11" style="488" customWidth="1"/>
    <col min="12307" max="12307" width="14" style="488" customWidth="1"/>
    <col min="12308" max="12308" width="9.88671875" style="488" customWidth="1"/>
    <col min="12309" max="12312" width="8.88671875" style="488"/>
    <col min="12313" max="12313" width="15" style="488" customWidth="1"/>
    <col min="12314" max="12314" width="6.44140625" style="488" customWidth="1"/>
    <col min="12315" max="12315" width="5.6640625" style="488" customWidth="1"/>
    <col min="12316" max="12316" width="9.109375" style="488" customWidth="1"/>
    <col min="12317" max="12319" width="8.88671875" style="488"/>
    <col min="12320" max="12320" width="11.6640625" style="488" customWidth="1"/>
    <col min="12321" max="12544" width="8.88671875" style="488"/>
    <col min="12545" max="12545" width="6.44140625" style="488" customWidth="1"/>
    <col min="12546" max="12546" width="43.33203125" style="488" customWidth="1"/>
    <col min="12547" max="12547" width="11.109375" style="488" customWidth="1"/>
    <col min="12548" max="12548" width="13.109375" style="488" customWidth="1"/>
    <col min="12549" max="12549" width="13.88671875" style="488" customWidth="1"/>
    <col min="12550" max="12550" width="12.44140625" style="488" customWidth="1"/>
    <col min="12551" max="12551" width="13" style="488" customWidth="1"/>
    <col min="12552" max="12552" width="11" style="488" customWidth="1"/>
    <col min="12553" max="12553" width="9.88671875" style="488" customWidth="1"/>
    <col min="12554" max="12554" width="11.109375" style="488" customWidth="1"/>
    <col min="12555" max="12555" width="9.44140625" style="488" customWidth="1"/>
    <col min="12556" max="12556" width="9.5546875" style="488" customWidth="1"/>
    <col min="12557" max="12557" width="10.77734375" style="488" customWidth="1"/>
    <col min="12558" max="12558" width="6.5546875" style="488" customWidth="1"/>
    <col min="12559" max="12559" width="7.5546875" style="488" customWidth="1"/>
    <col min="12560" max="12560" width="10.109375" style="488" customWidth="1"/>
    <col min="12561" max="12561" width="9.44140625" style="488" customWidth="1"/>
    <col min="12562" max="12562" width="11" style="488" customWidth="1"/>
    <col min="12563" max="12563" width="14" style="488" customWidth="1"/>
    <col min="12564" max="12564" width="9.88671875" style="488" customWidth="1"/>
    <col min="12565" max="12568" width="8.88671875" style="488"/>
    <col min="12569" max="12569" width="15" style="488" customWidth="1"/>
    <col min="12570" max="12570" width="6.44140625" style="488" customWidth="1"/>
    <col min="12571" max="12571" width="5.6640625" style="488" customWidth="1"/>
    <col min="12572" max="12572" width="9.109375" style="488" customWidth="1"/>
    <col min="12573" max="12575" width="8.88671875" style="488"/>
    <col min="12576" max="12576" width="11.6640625" style="488" customWidth="1"/>
    <col min="12577" max="12800" width="8.88671875" style="488"/>
    <col min="12801" max="12801" width="6.44140625" style="488" customWidth="1"/>
    <col min="12802" max="12802" width="43.33203125" style="488" customWidth="1"/>
    <col min="12803" max="12803" width="11.109375" style="488" customWidth="1"/>
    <col min="12804" max="12804" width="13.109375" style="488" customWidth="1"/>
    <col min="12805" max="12805" width="13.88671875" style="488" customWidth="1"/>
    <col min="12806" max="12806" width="12.44140625" style="488" customWidth="1"/>
    <col min="12807" max="12807" width="13" style="488" customWidth="1"/>
    <col min="12808" max="12808" width="11" style="488" customWidth="1"/>
    <col min="12809" max="12809" width="9.88671875" style="488" customWidth="1"/>
    <col min="12810" max="12810" width="11.109375" style="488" customWidth="1"/>
    <col min="12811" max="12811" width="9.44140625" style="488" customWidth="1"/>
    <col min="12812" max="12812" width="9.5546875" style="488" customWidth="1"/>
    <col min="12813" max="12813" width="10.77734375" style="488" customWidth="1"/>
    <col min="12814" max="12814" width="6.5546875" style="488" customWidth="1"/>
    <col min="12815" max="12815" width="7.5546875" style="488" customWidth="1"/>
    <col min="12816" max="12816" width="10.109375" style="488" customWidth="1"/>
    <col min="12817" max="12817" width="9.44140625" style="488" customWidth="1"/>
    <col min="12818" max="12818" width="11" style="488" customWidth="1"/>
    <col min="12819" max="12819" width="14" style="488" customWidth="1"/>
    <col min="12820" max="12820" width="9.88671875" style="488" customWidth="1"/>
    <col min="12821" max="12824" width="8.88671875" style="488"/>
    <col min="12825" max="12825" width="15" style="488" customWidth="1"/>
    <col min="12826" max="12826" width="6.44140625" style="488" customWidth="1"/>
    <col min="12827" max="12827" width="5.6640625" style="488" customWidth="1"/>
    <col min="12828" max="12828" width="9.109375" style="488" customWidth="1"/>
    <col min="12829" max="12831" width="8.88671875" style="488"/>
    <col min="12832" max="12832" width="11.6640625" style="488" customWidth="1"/>
    <col min="12833" max="13056" width="8.88671875" style="488"/>
    <col min="13057" max="13057" width="6.44140625" style="488" customWidth="1"/>
    <col min="13058" max="13058" width="43.33203125" style="488" customWidth="1"/>
    <col min="13059" max="13059" width="11.109375" style="488" customWidth="1"/>
    <col min="13060" max="13060" width="13.109375" style="488" customWidth="1"/>
    <col min="13061" max="13061" width="13.88671875" style="488" customWidth="1"/>
    <col min="13062" max="13062" width="12.44140625" style="488" customWidth="1"/>
    <col min="13063" max="13063" width="13" style="488" customWidth="1"/>
    <col min="13064" max="13064" width="11" style="488" customWidth="1"/>
    <col min="13065" max="13065" width="9.88671875" style="488" customWidth="1"/>
    <col min="13066" max="13066" width="11.109375" style="488" customWidth="1"/>
    <col min="13067" max="13067" width="9.44140625" style="488" customWidth="1"/>
    <col min="13068" max="13068" width="9.5546875" style="488" customWidth="1"/>
    <col min="13069" max="13069" width="10.77734375" style="488" customWidth="1"/>
    <col min="13070" max="13070" width="6.5546875" style="488" customWidth="1"/>
    <col min="13071" max="13071" width="7.5546875" style="488" customWidth="1"/>
    <col min="13072" max="13072" width="10.109375" style="488" customWidth="1"/>
    <col min="13073" max="13073" width="9.44140625" style="488" customWidth="1"/>
    <col min="13074" max="13074" width="11" style="488" customWidth="1"/>
    <col min="13075" max="13075" width="14" style="488" customWidth="1"/>
    <col min="13076" max="13076" width="9.88671875" style="488" customWidth="1"/>
    <col min="13077" max="13080" width="8.88671875" style="488"/>
    <col min="13081" max="13081" width="15" style="488" customWidth="1"/>
    <col min="13082" max="13082" width="6.44140625" style="488" customWidth="1"/>
    <col min="13083" max="13083" width="5.6640625" style="488" customWidth="1"/>
    <col min="13084" max="13084" width="9.109375" style="488" customWidth="1"/>
    <col min="13085" max="13087" width="8.88671875" style="488"/>
    <col min="13088" max="13088" width="11.6640625" style="488" customWidth="1"/>
    <col min="13089" max="13312" width="8.88671875" style="488"/>
    <col min="13313" max="13313" width="6.44140625" style="488" customWidth="1"/>
    <col min="13314" max="13314" width="43.33203125" style="488" customWidth="1"/>
    <col min="13315" max="13315" width="11.109375" style="488" customWidth="1"/>
    <col min="13316" max="13316" width="13.109375" style="488" customWidth="1"/>
    <col min="13317" max="13317" width="13.88671875" style="488" customWidth="1"/>
    <col min="13318" max="13318" width="12.44140625" style="488" customWidth="1"/>
    <col min="13319" max="13319" width="13" style="488" customWidth="1"/>
    <col min="13320" max="13320" width="11" style="488" customWidth="1"/>
    <col min="13321" max="13321" width="9.88671875" style="488" customWidth="1"/>
    <col min="13322" max="13322" width="11.109375" style="488" customWidth="1"/>
    <col min="13323" max="13323" width="9.44140625" style="488" customWidth="1"/>
    <col min="13324" max="13324" width="9.5546875" style="488" customWidth="1"/>
    <col min="13325" max="13325" width="10.77734375" style="488" customWidth="1"/>
    <col min="13326" max="13326" width="6.5546875" style="488" customWidth="1"/>
    <col min="13327" max="13327" width="7.5546875" style="488" customWidth="1"/>
    <col min="13328" max="13328" width="10.109375" style="488" customWidth="1"/>
    <col min="13329" max="13329" width="9.44140625" style="488" customWidth="1"/>
    <col min="13330" max="13330" width="11" style="488" customWidth="1"/>
    <col min="13331" max="13331" width="14" style="488" customWidth="1"/>
    <col min="13332" max="13332" width="9.88671875" style="488" customWidth="1"/>
    <col min="13333" max="13336" width="8.88671875" style="488"/>
    <col min="13337" max="13337" width="15" style="488" customWidth="1"/>
    <col min="13338" max="13338" width="6.44140625" style="488" customWidth="1"/>
    <col min="13339" max="13339" width="5.6640625" style="488" customWidth="1"/>
    <col min="13340" max="13340" width="9.109375" style="488" customWidth="1"/>
    <col min="13341" max="13343" width="8.88671875" style="488"/>
    <col min="13344" max="13344" width="11.6640625" style="488" customWidth="1"/>
    <col min="13345" max="13568" width="8.88671875" style="488"/>
    <col min="13569" max="13569" width="6.44140625" style="488" customWidth="1"/>
    <col min="13570" max="13570" width="43.33203125" style="488" customWidth="1"/>
    <col min="13571" max="13571" width="11.109375" style="488" customWidth="1"/>
    <col min="13572" max="13572" width="13.109375" style="488" customWidth="1"/>
    <col min="13573" max="13573" width="13.88671875" style="488" customWidth="1"/>
    <col min="13574" max="13574" width="12.44140625" style="488" customWidth="1"/>
    <col min="13575" max="13575" width="13" style="488" customWidth="1"/>
    <col min="13576" max="13576" width="11" style="488" customWidth="1"/>
    <col min="13577" max="13577" width="9.88671875" style="488" customWidth="1"/>
    <col min="13578" max="13578" width="11.109375" style="488" customWidth="1"/>
    <col min="13579" max="13579" width="9.44140625" style="488" customWidth="1"/>
    <col min="13580" max="13580" width="9.5546875" style="488" customWidth="1"/>
    <col min="13581" max="13581" width="10.77734375" style="488" customWidth="1"/>
    <col min="13582" max="13582" width="6.5546875" style="488" customWidth="1"/>
    <col min="13583" max="13583" width="7.5546875" style="488" customWidth="1"/>
    <col min="13584" max="13584" width="10.109375" style="488" customWidth="1"/>
    <col min="13585" max="13585" width="9.44140625" style="488" customWidth="1"/>
    <col min="13586" max="13586" width="11" style="488" customWidth="1"/>
    <col min="13587" max="13587" width="14" style="488" customWidth="1"/>
    <col min="13588" max="13588" width="9.88671875" style="488" customWidth="1"/>
    <col min="13589" max="13592" width="8.88671875" style="488"/>
    <col min="13593" max="13593" width="15" style="488" customWidth="1"/>
    <col min="13594" max="13594" width="6.44140625" style="488" customWidth="1"/>
    <col min="13595" max="13595" width="5.6640625" style="488" customWidth="1"/>
    <col min="13596" max="13596" width="9.109375" style="488" customWidth="1"/>
    <col min="13597" max="13599" width="8.88671875" style="488"/>
    <col min="13600" max="13600" width="11.6640625" style="488" customWidth="1"/>
    <col min="13601" max="13824" width="8.88671875" style="488"/>
    <col min="13825" max="13825" width="6.44140625" style="488" customWidth="1"/>
    <col min="13826" max="13826" width="43.33203125" style="488" customWidth="1"/>
    <col min="13827" max="13827" width="11.109375" style="488" customWidth="1"/>
    <col min="13828" max="13828" width="13.109375" style="488" customWidth="1"/>
    <col min="13829" max="13829" width="13.88671875" style="488" customWidth="1"/>
    <col min="13830" max="13830" width="12.44140625" style="488" customWidth="1"/>
    <col min="13831" max="13831" width="13" style="488" customWidth="1"/>
    <col min="13832" max="13832" width="11" style="488" customWidth="1"/>
    <col min="13833" max="13833" width="9.88671875" style="488" customWidth="1"/>
    <col min="13834" max="13834" width="11.109375" style="488" customWidth="1"/>
    <col min="13835" max="13835" width="9.44140625" style="488" customWidth="1"/>
    <col min="13836" max="13836" width="9.5546875" style="488" customWidth="1"/>
    <col min="13837" max="13837" width="10.77734375" style="488" customWidth="1"/>
    <col min="13838" max="13838" width="6.5546875" style="488" customWidth="1"/>
    <col min="13839" max="13839" width="7.5546875" style="488" customWidth="1"/>
    <col min="13840" max="13840" width="10.109375" style="488" customWidth="1"/>
    <col min="13841" max="13841" width="9.44140625" style="488" customWidth="1"/>
    <col min="13842" max="13842" width="11" style="488" customWidth="1"/>
    <col min="13843" max="13843" width="14" style="488" customWidth="1"/>
    <col min="13844" max="13844" width="9.88671875" style="488" customWidth="1"/>
    <col min="13845" max="13848" width="8.88671875" style="488"/>
    <col min="13849" max="13849" width="15" style="488" customWidth="1"/>
    <col min="13850" max="13850" width="6.44140625" style="488" customWidth="1"/>
    <col min="13851" max="13851" width="5.6640625" style="488" customWidth="1"/>
    <col min="13852" max="13852" width="9.109375" style="488" customWidth="1"/>
    <col min="13853" max="13855" width="8.88671875" style="488"/>
    <col min="13856" max="13856" width="11.6640625" style="488" customWidth="1"/>
    <col min="13857" max="14080" width="8.88671875" style="488"/>
    <col min="14081" max="14081" width="6.44140625" style="488" customWidth="1"/>
    <col min="14082" max="14082" width="43.33203125" style="488" customWidth="1"/>
    <col min="14083" max="14083" width="11.109375" style="488" customWidth="1"/>
    <col min="14084" max="14084" width="13.109375" style="488" customWidth="1"/>
    <col min="14085" max="14085" width="13.88671875" style="488" customWidth="1"/>
    <col min="14086" max="14086" width="12.44140625" style="488" customWidth="1"/>
    <col min="14087" max="14087" width="13" style="488" customWidth="1"/>
    <col min="14088" max="14088" width="11" style="488" customWidth="1"/>
    <col min="14089" max="14089" width="9.88671875" style="488" customWidth="1"/>
    <col min="14090" max="14090" width="11.109375" style="488" customWidth="1"/>
    <col min="14091" max="14091" width="9.44140625" style="488" customWidth="1"/>
    <col min="14092" max="14092" width="9.5546875" style="488" customWidth="1"/>
    <col min="14093" max="14093" width="10.77734375" style="488" customWidth="1"/>
    <col min="14094" max="14094" width="6.5546875" style="488" customWidth="1"/>
    <col min="14095" max="14095" width="7.5546875" style="488" customWidth="1"/>
    <col min="14096" max="14096" width="10.109375" style="488" customWidth="1"/>
    <col min="14097" max="14097" width="9.44140625" style="488" customWidth="1"/>
    <col min="14098" max="14098" width="11" style="488" customWidth="1"/>
    <col min="14099" max="14099" width="14" style="488" customWidth="1"/>
    <col min="14100" max="14100" width="9.88671875" style="488" customWidth="1"/>
    <col min="14101" max="14104" width="8.88671875" style="488"/>
    <col min="14105" max="14105" width="15" style="488" customWidth="1"/>
    <col min="14106" max="14106" width="6.44140625" style="488" customWidth="1"/>
    <col min="14107" max="14107" width="5.6640625" style="488" customWidth="1"/>
    <col min="14108" max="14108" width="9.109375" style="488" customWidth="1"/>
    <col min="14109" max="14111" width="8.88671875" style="488"/>
    <col min="14112" max="14112" width="11.6640625" style="488" customWidth="1"/>
    <col min="14113" max="14336" width="8.88671875" style="488"/>
    <col min="14337" max="14337" width="6.44140625" style="488" customWidth="1"/>
    <col min="14338" max="14338" width="43.33203125" style="488" customWidth="1"/>
    <col min="14339" max="14339" width="11.109375" style="488" customWidth="1"/>
    <col min="14340" max="14340" width="13.109375" style="488" customWidth="1"/>
    <col min="14341" max="14341" width="13.88671875" style="488" customWidth="1"/>
    <col min="14342" max="14342" width="12.44140625" style="488" customWidth="1"/>
    <col min="14343" max="14343" width="13" style="488" customWidth="1"/>
    <col min="14344" max="14344" width="11" style="488" customWidth="1"/>
    <col min="14345" max="14345" width="9.88671875" style="488" customWidth="1"/>
    <col min="14346" max="14346" width="11.109375" style="488" customWidth="1"/>
    <col min="14347" max="14347" width="9.44140625" style="488" customWidth="1"/>
    <col min="14348" max="14348" width="9.5546875" style="488" customWidth="1"/>
    <col min="14349" max="14349" width="10.77734375" style="488" customWidth="1"/>
    <col min="14350" max="14350" width="6.5546875" style="488" customWidth="1"/>
    <col min="14351" max="14351" width="7.5546875" style="488" customWidth="1"/>
    <col min="14352" max="14352" width="10.109375" style="488" customWidth="1"/>
    <col min="14353" max="14353" width="9.44140625" style="488" customWidth="1"/>
    <col min="14354" max="14354" width="11" style="488" customWidth="1"/>
    <col min="14355" max="14355" width="14" style="488" customWidth="1"/>
    <col min="14356" max="14356" width="9.88671875" style="488" customWidth="1"/>
    <col min="14357" max="14360" width="8.88671875" style="488"/>
    <col min="14361" max="14361" width="15" style="488" customWidth="1"/>
    <col min="14362" max="14362" width="6.44140625" style="488" customWidth="1"/>
    <col min="14363" max="14363" width="5.6640625" style="488" customWidth="1"/>
    <col min="14364" max="14364" width="9.109375" style="488" customWidth="1"/>
    <col min="14365" max="14367" width="8.88671875" style="488"/>
    <col min="14368" max="14368" width="11.6640625" style="488" customWidth="1"/>
    <col min="14369" max="14592" width="8.88671875" style="488"/>
    <col min="14593" max="14593" width="6.44140625" style="488" customWidth="1"/>
    <col min="14594" max="14594" width="43.33203125" style="488" customWidth="1"/>
    <col min="14595" max="14595" width="11.109375" style="488" customWidth="1"/>
    <col min="14596" max="14596" width="13.109375" style="488" customWidth="1"/>
    <col min="14597" max="14597" width="13.88671875" style="488" customWidth="1"/>
    <col min="14598" max="14598" width="12.44140625" style="488" customWidth="1"/>
    <col min="14599" max="14599" width="13" style="488" customWidth="1"/>
    <col min="14600" max="14600" width="11" style="488" customWidth="1"/>
    <col min="14601" max="14601" width="9.88671875" style="488" customWidth="1"/>
    <col min="14602" max="14602" width="11.109375" style="488" customWidth="1"/>
    <col min="14603" max="14603" width="9.44140625" style="488" customWidth="1"/>
    <col min="14604" max="14604" width="9.5546875" style="488" customWidth="1"/>
    <col min="14605" max="14605" width="10.77734375" style="488" customWidth="1"/>
    <col min="14606" max="14606" width="6.5546875" style="488" customWidth="1"/>
    <col min="14607" max="14607" width="7.5546875" style="488" customWidth="1"/>
    <col min="14608" max="14608" width="10.109375" style="488" customWidth="1"/>
    <col min="14609" max="14609" width="9.44140625" style="488" customWidth="1"/>
    <col min="14610" max="14610" width="11" style="488" customWidth="1"/>
    <col min="14611" max="14611" width="14" style="488" customWidth="1"/>
    <col min="14612" max="14612" width="9.88671875" style="488" customWidth="1"/>
    <col min="14613" max="14616" width="8.88671875" style="488"/>
    <col min="14617" max="14617" width="15" style="488" customWidth="1"/>
    <col min="14618" max="14618" width="6.44140625" style="488" customWidth="1"/>
    <col min="14619" max="14619" width="5.6640625" style="488" customWidth="1"/>
    <col min="14620" max="14620" width="9.109375" style="488" customWidth="1"/>
    <col min="14621" max="14623" width="8.88671875" style="488"/>
    <col min="14624" max="14624" width="11.6640625" style="488" customWidth="1"/>
    <col min="14625" max="14848" width="8.88671875" style="488"/>
    <col min="14849" max="14849" width="6.44140625" style="488" customWidth="1"/>
    <col min="14850" max="14850" width="43.33203125" style="488" customWidth="1"/>
    <col min="14851" max="14851" width="11.109375" style="488" customWidth="1"/>
    <col min="14852" max="14852" width="13.109375" style="488" customWidth="1"/>
    <col min="14853" max="14853" width="13.88671875" style="488" customWidth="1"/>
    <col min="14854" max="14854" width="12.44140625" style="488" customWidth="1"/>
    <col min="14855" max="14855" width="13" style="488" customWidth="1"/>
    <col min="14856" max="14856" width="11" style="488" customWidth="1"/>
    <col min="14857" max="14857" width="9.88671875" style="488" customWidth="1"/>
    <col min="14858" max="14858" width="11.109375" style="488" customWidth="1"/>
    <col min="14859" max="14859" width="9.44140625" style="488" customWidth="1"/>
    <col min="14860" max="14860" width="9.5546875" style="488" customWidth="1"/>
    <col min="14861" max="14861" width="10.77734375" style="488" customWidth="1"/>
    <col min="14862" max="14862" width="6.5546875" style="488" customWidth="1"/>
    <col min="14863" max="14863" width="7.5546875" style="488" customWidth="1"/>
    <col min="14864" max="14864" width="10.109375" style="488" customWidth="1"/>
    <col min="14865" max="14865" width="9.44140625" style="488" customWidth="1"/>
    <col min="14866" max="14866" width="11" style="488" customWidth="1"/>
    <col min="14867" max="14867" width="14" style="488" customWidth="1"/>
    <col min="14868" max="14868" width="9.88671875" style="488" customWidth="1"/>
    <col min="14869" max="14872" width="8.88671875" style="488"/>
    <col min="14873" max="14873" width="15" style="488" customWidth="1"/>
    <col min="14874" max="14874" width="6.44140625" style="488" customWidth="1"/>
    <col min="14875" max="14875" width="5.6640625" style="488" customWidth="1"/>
    <col min="14876" max="14876" width="9.109375" style="488" customWidth="1"/>
    <col min="14877" max="14879" width="8.88671875" style="488"/>
    <col min="14880" max="14880" width="11.6640625" style="488" customWidth="1"/>
    <col min="14881" max="15104" width="8.88671875" style="488"/>
    <col min="15105" max="15105" width="6.44140625" style="488" customWidth="1"/>
    <col min="15106" max="15106" width="43.33203125" style="488" customWidth="1"/>
    <col min="15107" max="15107" width="11.109375" style="488" customWidth="1"/>
    <col min="15108" max="15108" width="13.109375" style="488" customWidth="1"/>
    <col min="15109" max="15109" width="13.88671875" style="488" customWidth="1"/>
    <col min="15110" max="15110" width="12.44140625" style="488" customWidth="1"/>
    <col min="15111" max="15111" width="13" style="488" customWidth="1"/>
    <col min="15112" max="15112" width="11" style="488" customWidth="1"/>
    <col min="15113" max="15113" width="9.88671875" style="488" customWidth="1"/>
    <col min="15114" max="15114" width="11.109375" style="488" customWidth="1"/>
    <col min="15115" max="15115" width="9.44140625" style="488" customWidth="1"/>
    <col min="15116" max="15116" width="9.5546875" style="488" customWidth="1"/>
    <col min="15117" max="15117" width="10.77734375" style="488" customWidth="1"/>
    <col min="15118" max="15118" width="6.5546875" style="488" customWidth="1"/>
    <col min="15119" max="15119" width="7.5546875" style="488" customWidth="1"/>
    <col min="15120" max="15120" width="10.109375" style="488" customWidth="1"/>
    <col min="15121" max="15121" width="9.44140625" style="488" customWidth="1"/>
    <col min="15122" max="15122" width="11" style="488" customWidth="1"/>
    <col min="15123" max="15123" width="14" style="488" customWidth="1"/>
    <col min="15124" max="15124" width="9.88671875" style="488" customWidth="1"/>
    <col min="15125" max="15128" width="8.88671875" style="488"/>
    <col min="15129" max="15129" width="15" style="488" customWidth="1"/>
    <col min="15130" max="15130" width="6.44140625" style="488" customWidth="1"/>
    <col min="15131" max="15131" width="5.6640625" style="488" customWidth="1"/>
    <col min="15132" max="15132" width="9.109375" style="488" customWidth="1"/>
    <col min="15133" max="15135" width="8.88671875" style="488"/>
    <col min="15136" max="15136" width="11.6640625" style="488" customWidth="1"/>
    <col min="15137" max="15360" width="8.88671875" style="488"/>
    <col min="15361" max="15361" width="6.44140625" style="488" customWidth="1"/>
    <col min="15362" max="15362" width="43.33203125" style="488" customWidth="1"/>
    <col min="15363" max="15363" width="11.109375" style="488" customWidth="1"/>
    <col min="15364" max="15364" width="13.109375" style="488" customWidth="1"/>
    <col min="15365" max="15365" width="13.88671875" style="488" customWidth="1"/>
    <col min="15366" max="15366" width="12.44140625" style="488" customWidth="1"/>
    <col min="15367" max="15367" width="13" style="488" customWidth="1"/>
    <col min="15368" max="15368" width="11" style="488" customWidth="1"/>
    <col min="15369" max="15369" width="9.88671875" style="488" customWidth="1"/>
    <col min="15370" max="15370" width="11.109375" style="488" customWidth="1"/>
    <col min="15371" max="15371" width="9.44140625" style="488" customWidth="1"/>
    <col min="15372" max="15372" width="9.5546875" style="488" customWidth="1"/>
    <col min="15373" max="15373" width="10.77734375" style="488" customWidth="1"/>
    <col min="15374" max="15374" width="6.5546875" style="488" customWidth="1"/>
    <col min="15375" max="15375" width="7.5546875" style="488" customWidth="1"/>
    <col min="15376" max="15376" width="10.109375" style="488" customWidth="1"/>
    <col min="15377" max="15377" width="9.44140625" style="488" customWidth="1"/>
    <col min="15378" max="15378" width="11" style="488" customWidth="1"/>
    <col min="15379" max="15379" width="14" style="488" customWidth="1"/>
    <col min="15380" max="15380" width="9.88671875" style="488" customWidth="1"/>
    <col min="15381" max="15384" width="8.88671875" style="488"/>
    <col min="15385" max="15385" width="15" style="488" customWidth="1"/>
    <col min="15386" max="15386" width="6.44140625" style="488" customWidth="1"/>
    <col min="15387" max="15387" width="5.6640625" style="488" customWidth="1"/>
    <col min="15388" max="15388" width="9.109375" style="488" customWidth="1"/>
    <col min="15389" max="15391" width="8.88671875" style="488"/>
    <col min="15392" max="15392" width="11.6640625" style="488" customWidth="1"/>
    <col min="15393" max="15616" width="8.88671875" style="488"/>
    <col min="15617" max="15617" width="6.44140625" style="488" customWidth="1"/>
    <col min="15618" max="15618" width="43.33203125" style="488" customWidth="1"/>
    <col min="15619" max="15619" width="11.109375" style="488" customWidth="1"/>
    <col min="15620" max="15620" width="13.109375" style="488" customWidth="1"/>
    <col min="15621" max="15621" width="13.88671875" style="488" customWidth="1"/>
    <col min="15622" max="15622" width="12.44140625" style="488" customWidth="1"/>
    <col min="15623" max="15623" width="13" style="488" customWidth="1"/>
    <col min="15624" max="15624" width="11" style="488" customWidth="1"/>
    <col min="15625" max="15625" width="9.88671875" style="488" customWidth="1"/>
    <col min="15626" max="15626" width="11.109375" style="488" customWidth="1"/>
    <col min="15627" max="15627" width="9.44140625" style="488" customWidth="1"/>
    <col min="15628" max="15628" width="9.5546875" style="488" customWidth="1"/>
    <col min="15629" max="15629" width="10.77734375" style="488" customWidth="1"/>
    <col min="15630" max="15630" width="6.5546875" style="488" customWidth="1"/>
    <col min="15631" max="15631" width="7.5546875" style="488" customWidth="1"/>
    <col min="15632" max="15632" width="10.109375" style="488" customWidth="1"/>
    <col min="15633" max="15633" width="9.44140625" style="488" customWidth="1"/>
    <col min="15634" max="15634" width="11" style="488" customWidth="1"/>
    <col min="15635" max="15635" width="14" style="488" customWidth="1"/>
    <col min="15636" max="15636" width="9.88671875" style="488" customWidth="1"/>
    <col min="15637" max="15640" width="8.88671875" style="488"/>
    <col min="15641" max="15641" width="15" style="488" customWidth="1"/>
    <col min="15642" max="15642" width="6.44140625" style="488" customWidth="1"/>
    <col min="15643" max="15643" width="5.6640625" style="488" customWidth="1"/>
    <col min="15644" max="15644" width="9.109375" style="488" customWidth="1"/>
    <col min="15645" max="15647" width="8.88671875" style="488"/>
    <col min="15648" max="15648" width="11.6640625" style="488" customWidth="1"/>
    <col min="15649" max="15872" width="8.88671875" style="488"/>
    <col min="15873" max="15873" width="6.44140625" style="488" customWidth="1"/>
    <col min="15874" max="15874" width="43.33203125" style="488" customWidth="1"/>
    <col min="15875" max="15875" width="11.109375" style="488" customWidth="1"/>
    <col min="15876" max="15876" width="13.109375" style="488" customWidth="1"/>
    <col min="15877" max="15877" width="13.88671875" style="488" customWidth="1"/>
    <col min="15878" max="15878" width="12.44140625" style="488" customWidth="1"/>
    <col min="15879" max="15879" width="13" style="488" customWidth="1"/>
    <col min="15880" max="15880" width="11" style="488" customWidth="1"/>
    <col min="15881" max="15881" width="9.88671875" style="488" customWidth="1"/>
    <col min="15882" max="15882" width="11.109375" style="488" customWidth="1"/>
    <col min="15883" max="15883" width="9.44140625" style="488" customWidth="1"/>
    <col min="15884" max="15884" width="9.5546875" style="488" customWidth="1"/>
    <col min="15885" max="15885" width="10.77734375" style="488" customWidth="1"/>
    <col min="15886" max="15886" width="6.5546875" style="488" customWidth="1"/>
    <col min="15887" max="15887" width="7.5546875" style="488" customWidth="1"/>
    <col min="15888" max="15888" width="10.109375" style="488" customWidth="1"/>
    <col min="15889" max="15889" width="9.44140625" style="488" customWidth="1"/>
    <col min="15890" max="15890" width="11" style="488" customWidth="1"/>
    <col min="15891" max="15891" width="14" style="488" customWidth="1"/>
    <col min="15892" max="15892" width="9.88671875" style="488" customWidth="1"/>
    <col min="15893" max="15896" width="8.88671875" style="488"/>
    <col min="15897" max="15897" width="15" style="488" customWidth="1"/>
    <col min="15898" max="15898" width="6.44140625" style="488" customWidth="1"/>
    <col min="15899" max="15899" width="5.6640625" style="488" customWidth="1"/>
    <col min="15900" max="15900" width="9.109375" style="488" customWidth="1"/>
    <col min="15901" max="15903" width="8.88671875" style="488"/>
    <col min="15904" max="15904" width="11.6640625" style="488" customWidth="1"/>
    <col min="15905" max="16128" width="8.88671875" style="488"/>
    <col min="16129" max="16129" width="6.44140625" style="488" customWidth="1"/>
    <col min="16130" max="16130" width="43.33203125" style="488" customWidth="1"/>
    <col min="16131" max="16131" width="11.109375" style="488" customWidth="1"/>
    <col min="16132" max="16132" width="13.109375" style="488" customWidth="1"/>
    <col min="16133" max="16133" width="13.88671875" style="488" customWidth="1"/>
    <col min="16134" max="16134" width="12.44140625" style="488" customWidth="1"/>
    <col min="16135" max="16135" width="13" style="488" customWidth="1"/>
    <col min="16136" max="16136" width="11" style="488" customWidth="1"/>
    <col min="16137" max="16137" width="9.88671875" style="488" customWidth="1"/>
    <col min="16138" max="16138" width="11.109375" style="488" customWidth="1"/>
    <col min="16139" max="16139" width="9.44140625" style="488" customWidth="1"/>
    <col min="16140" max="16140" width="9.5546875" style="488" customWidth="1"/>
    <col min="16141" max="16141" width="10.77734375" style="488" customWidth="1"/>
    <col min="16142" max="16142" width="6.5546875" style="488" customWidth="1"/>
    <col min="16143" max="16143" width="7.5546875" style="488" customWidth="1"/>
    <col min="16144" max="16144" width="10.109375" style="488" customWidth="1"/>
    <col min="16145" max="16145" width="9.44140625" style="488" customWidth="1"/>
    <col min="16146" max="16146" width="11" style="488" customWidth="1"/>
    <col min="16147" max="16147" width="14" style="488" customWidth="1"/>
    <col min="16148" max="16148" width="9.88671875" style="488" customWidth="1"/>
    <col min="16149" max="16152" width="8.88671875" style="488"/>
    <col min="16153" max="16153" width="15" style="488" customWidth="1"/>
    <col min="16154" max="16154" width="6.44140625" style="488" customWidth="1"/>
    <col min="16155" max="16155" width="5.6640625" style="488" customWidth="1"/>
    <col min="16156" max="16156" width="9.109375" style="488" customWidth="1"/>
    <col min="16157" max="16159" width="8.88671875" style="488"/>
    <col min="16160" max="16160" width="11.6640625" style="488" customWidth="1"/>
    <col min="16161" max="16384" width="8.88671875" style="488"/>
  </cols>
  <sheetData>
    <row r="1" spans="1:36" ht="15.75" x14ac:dyDescent="0.25">
      <c r="A1" s="121"/>
      <c r="B1" s="121"/>
      <c r="C1" s="121"/>
      <c r="D1" s="121"/>
      <c r="E1" s="122" t="s">
        <v>182</v>
      </c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</row>
    <row r="2" spans="1:36" ht="15.75" x14ac:dyDescent="0.25">
      <c r="A2" s="121"/>
      <c r="B2" s="121"/>
      <c r="D2" s="121"/>
      <c r="F2" s="122"/>
      <c r="G2" s="122"/>
      <c r="H2" s="122"/>
      <c r="I2" s="121"/>
      <c r="J2" s="121"/>
      <c r="K2" s="121"/>
      <c r="L2" s="121"/>
      <c r="M2" s="121"/>
      <c r="N2" s="121"/>
      <c r="O2" s="121"/>
      <c r="P2" s="124"/>
      <c r="Q2" s="121"/>
    </row>
    <row r="3" spans="1:36" ht="15.75" x14ac:dyDescent="0.25">
      <c r="A3" s="121"/>
      <c r="B3" s="121"/>
      <c r="D3" s="121"/>
      <c r="E3" s="654" t="s">
        <v>403</v>
      </c>
      <c r="F3" s="126"/>
      <c r="G3" s="126"/>
      <c r="H3" s="127"/>
      <c r="I3" s="121"/>
      <c r="J3" s="121"/>
      <c r="L3" s="121"/>
      <c r="M3" s="121"/>
      <c r="N3" s="121"/>
      <c r="O3" s="121"/>
      <c r="P3" s="121"/>
      <c r="Q3" s="121"/>
    </row>
    <row r="4" spans="1:36" ht="15.75" x14ac:dyDescent="0.25">
      <c r="A4" s="121"/>
      <c r="B4" s="121"/>
      <c r="D4" s="121"/>
      <c r="E4" s="125" t="s">
        <v>404</v>
      </c>
      <c r="F4" s="126"/>
      <c r="G4" s="126"/>
      <c r="H4" s="128"/>
      <c r="I4" s="121"/>
      <c r="J4" s="121"/>
      <c r="K4" s="121"/>
      <c r="L4" s="121"/>
      <c r="M4" s="121"/>
      <c r="N4" s="121"/>
      <c r="O4" s="121"/>
      <c r="P4" s="121"/>
      <c r="Q4" s="121"/>
    </row>
    <row r="5" spans="1:36" ht="15.75" x14ac:dyDescent="0.25">
      <c r="A5" s="121"/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67"/>
      <c r="Q5" s="121"/>
    </row>
    <row r="6" spans="1:36" ht="18" x14ac:dyDescent="0.25">
      <c r="A6" s="825" t="s">
        <v>183</v>
      </c>
      <c r="B6" s="825"/>
      <c r="C6" s="825"/>
      <c r="D6" s="825"/>
      <c r="E6" s="825"/>
      <c r="F6" s="129"/>
      <c r="G6" s="129"/>
      <c r="H6" s="129"/>
      <c r="I6" s="121"/>
      <c r="J6" s="121"/>
      <c r="K6" s="121"/>
      <c r="L6" s="121"/>
      <c r="M6" s="121"/>
      <c r="N6" s="121"/>
      <c r="O6" s="121"/>
      <c r="P6" s="36"/>
      <c r="Q6" s="121"/>
    </row>
    <row r="7" spans="1:36" ht="18" x14ac:dyDescent="0.25">
      <c r="A7" s="825" t="e">
        <f>#REF!</f>
        <v>#REF!</v>
      </c>
      <c r="B7" s="825"/>
      <c r="C7" s="825"/>
      <c r="D7" s="825"/>
      <c r="E7" s="825"/>
      <c r="F7" s="129"/>
      <c r="G7" s="129"/>
      <c r="H7" s="129"/>
      <c r="I7" s="121"/>
      <c r="J7" s="121"/>
      <c r="K7" s="121"/>
      <c r="L7" s="121"/>
      <c r="M7" s="121"/>
      <c r="N7" s="121"/>
      <c r="O7" s="121"/>
      <c r="P7" s="121"/>
      <c r="Q7" s="121"/>
    </row>
    <row r="8" spans="1:36" ht="18" x14ac:dyDescent="0.25">
      <c r="A8" s="826" t="e">
        <f>#REF!</f>
        <v>#REF!</v>
      </c>
      <c r="B8" s="826" t="s">
        <v>184</v>
      </c>
      <c r="C8" s="826"/>
      <c r="D8" s="826"/>
      <c r="E8" s="826"/>
      <c r="F8" s="129"/>
      <c r="G8" s="129"/>
      <c r="H8" s="129"/>
      <c r="I8" s="121"/>
      <c r="J8" s="121"/>
      <c r="K8" s="121"/>
      <c r="L8" s="121"/>
      <c r="M8" s="121"/>
      <c r="N8" s="121"/>
      <c r="O8" s="121"/>
      <c r="P8" s="121"/>
      <c r="Q8" s="121"/>
    </row>
    <row r="9" spans="1:36" ht="15.75" x14ac:dyDescent="0.25">
      <c r="A9" s="827" t="s">
        <v>185</v>
      </c>
      <c r="B9" s="827"/>
      <c r="C9" s="827"/>
      <c r="D9" s="827"/>
      <c r="E9" s="827"/>
      <c r="F9" s="130"/>
      <c r="G9" s="130"/>
      <c r="H9" s="130"/>
      <c r="I9" s="121"/>
      <c r="J9" s="121"/>
      <c r="K9" s="121"/>
      <c r="L9" s="121"/>
      <c r="M9" s="121"/>
      <c r="N9" s="121"/>
      <c r="O9" s="121"/>
      <c r="P9" s="121"/>
      <c r="Q9" s="121"/>
    </row>
    <row r="10" spans="1:36" ht="15.75" x14ac:dyDescent="0.25">
      <c r="A10" s="827" t="s">
        <v>411</v>
      </c>
      <c r="B10" s="827"/>
      <c r="C10" s="827"/>
      <c r="D10" s="827"/>
      <c r="E10" s="827"/>
      <c r="F10" s="130"/>
      <c r="G10" s="130"/>
      <c r="H10" s="130"/>
      <c r="I10" s="121"/>
      <c r="J10" s="121"/>
      <c r="K10" s="121"/>
      <c r="L10" s="121"/>
      <c r="M10" s="121"/>
      <c r="N10" s="121"/>
      <c r="O10" s="121"/>
      <c r="P10" s="121"/>
      <c r="Q10" s="121"/>
    </row>
    <row r="11" spans="1:36" ht="15.75" x14ac:dyDescent="0.25">
      <c r="A11" s="651"/>
      <c r="B11" s="652"/>
      <c r="C11" s="653"/>
      <c r="D11" s="121"/>
      <c r="E11" s="494"/>
      <c r="F11" s="136"/>
      <c r="G11" s="136"/>
      <c r="H11" s="136"/>
      <c r="I11" s="121"/>
      <c r="J11" s="121"/>
      <c r="K11" s="136"/>
      <c r="L11" s="121"/>
      <c r="M11" s="121"/>
      <c r="N11" s="121"/>
      <c r="O11" s="121"/>
      <c r="P11" s="121"/>
      <c r="Q11" s="121"/>
      <c r="S11" s="491"/>
      <c r="T11" s="492"/>
      <c r="U11" s="492"/>
      <c r="V11" s="493"/>
      <c r="W11" s="492"/>
      <c r="AE11" s="492"/>
      <c r="AF11" s="492"/>
      <c r="AG11" s="492"/>
      <c r="AH11" s="492"/>
      <c r="AI11" s="492"/>
      <c r="AJ11" s="492"/>
    </row>
    <row r="12" spans="1:36" ht="16.5" thickBot="1" x14ac:dyDescent="0.3">
      <c r="A12" s="489"/>
      <c r="B12" s="650"/>
      <c r="C12" s="490"/>
      <c r="D12" s="134"/>
      <c r="E12" s="655" t="s">
        <v>188</v>
      </c>
      <c r="F12" s="136"/>
      <c r="G12" s="136"/>
      <c r="H12" s="136"/>
      <c r="I12" s="121"/>
      <c r="J12" s="121"/>
      <c r="K12" s="136"/>
      <c r="L12" s="121"/>
      <c r="M12" s="121"/>
      <c r="N12" s="121"/>
      <c r="O12" s="121"/>
      <c r="P12" s="121"/>
      <c r="Q12" s="121"/>
      <c r="S12" s="491"/>
      <c r="T12" s="492"/>
      <c r="U12" s="492"/>
      <c r="V12" s="493"/>
      <c r="W12" s="492"/>
      <c r="AE12" s="492"/>
      <c r="AF12" s="492"/>
      <c r="AG12" s="492"/>
      <c r="AH12" s="492"/>
      <c r="AI12" s="492"/>
      <c r="AJ12" s="492"/>
    </row>
    <row r="13" spans="1:36" s="671" customFormat="1" ht="24.75" customHeight="1" thickBot="1" x14ac:dyDescent="0.25">
      <c r="A13" s="662" t="s">
        <v>190</v>
      </c>
      <c r="B13" s="663" t="s">
        <v>191</v>
      </c>
      <c r="C13" s="663" t="s">
        <v>14</v>
      </c>
      <c r="D13" s="664" t="s">
        <v>12</v>
      </c>
      <c r="E13" s="665" t="s">
        <v>4</v>
      </c>
      <c r="F13" s="156"/>
      <c r="G13" s="156"/>
      <c r="H13" s="666"/>
      <c r="I13" s="666"/>
      <c r="J13" s="666"/>
      <c r="K13" s="666"/>
      <c r="L13" s="146"/>
      <c r="M13" s="146"/>
      <c r="N13" s="146"/>
      <c r="O13" s="146"/>
      <c r="P13" s="146"/>
      <c r="Q13" s="667"/>
      <c r="R13" s="146"/>
      <c r="S13" s="668"/>
      <c r="T13" s="669"/>
      <c r="U13" s="669"/>
      <c r="V13" s="669"/>
      <c r="W13" s="669"/>
      <c r="X13" s="146"/>
      <c r="Y13" s="146"/>
      <c r="Z13" s="146"/>
      <c r="AA13" s="146"/>
      <c r="AB13" s="670"/>
      <c r="AE13" s="672"/>
      <c r="AF13" s="669"/>
      <c r="AG13" s="669"/>
      <c r="AH13" s="669"/>
      <c r="AI13" s="669"/>
      <c r="AJ13" s="669"/>
    </row>
    <row r="14" spans="1:36" ht="20.25" customHeight="1" x14ac:dyDescent="0.25">
      <c r="A14" s="495">
        <v>1</v>
      </c>
      <c r="B14" s="496" t="s">
        <v>374</v>
      </c>
      <c r="C14" s="497" t="e">
        <f>C55</f>
        <v>#REF!</v>
      </c>
      <c r="D14" s="153" t="e">
        <f>SUM(D55:G55)</f>
        <v>#REF!</v>
      </c>
      <c r="E14" s="154" t="e">
        <f>C14+D14</f>
        <v>#REF!</v>
      </c>
      <c r="F14" s="144"/>
      <c r="G14" s="144"/>
      <c r="H14" s="498"/>
      <c r="I14" s="156"/>
      <c r="J14" s="498"/>
      <c r="K14" s="156"/>
      <c r="L14" s="121"/>
      <c r="M14" s="121"/>
      <c r="N14" s="121"/>
      <c r="O14" s="121"/>
      <c r="P14" s="157"/>
      <c r="Q14" s="158"/>
      <c r="R14" s="159"/>
      <c r="S14" s="499"/>
      <c r="T14" s="492"/>
      <c r="U14" s="492"/>
      <c r="V14" s="492"/>
      <c r="W14" s="492"/>
      <c r="X14" s="159"/>
      <c r="Y14" s="159"/>
      <c r="Z14" s="159"/>
      <c r="AA14" s="159"/>
      <c r="AB14" s="159"/>
      <c r="AE14" s="500"/>
      <c r="AF14" s="501"/>
      <c r="AG14" s="492"/>
      <c r="AH14" s="492"/>
      <c r="AI14" s="492"/>
      <c r="AJ14" s="492"/>
    </row>
    <row r="15" spans="1:36" ht="30" x14ac:dyDescent="0.25">
      <c r="A15" s="495">
        <v>2</v>
      </c>
      <c r="B15" s="502" t="s">
        <v>192</v>
      </c>
      <c r="C15" s="497">
        <f>C56+C57+C58</f>
        <v>0</v>
      </c>
      <c r="D15" s="164" t="e">
        <f>SUM(D56:G58)</f>
        <v>#REF!</v>
      </c>
      <c r="E15" s="154" t="e">
        <f t="shared" ref="E15:E34" si="0">C15+D15</f>
        <v>#REF!</v>
      </c>
      <c r="F15" s="121"/>
      <c r="G15" s="121"/>
      <c r="H15" s="158"/>
      <c r="I15" s="124"/>
      <c r="J15" s="158"/>
      <c r="K15" s="503"/>
      <c r="L15" s="166"/>
      <c r="M15" s="166"/>
      <c r="N15" s="166"/>
      <c r="O15" s="166"/>
      <c r="P15" s="157"/>
      <c r="Q15" s="158"/>
      <c r="R15" s="159"/>
      <c r="S15" s="504"/>
      <c r="T15" s="505"/>
      <c r="U15" s="506"/>
      <c r="V15" s="506"/>
      <c r="W15" s="507"/>
      <c r="X15" s="159"/>
      <c r="Y15" s="159"/>
      <c r="Z15" s="159"/>
      <c r="AA15" s="159"/>
      <c r="AB15" s="159"/>
      <c r="AE15" s="500"/>
      <c r="AF15" s="501"/>
      <c r="AG15" s="492"/>
      <c r="AH15" s="508"/>
      <c r="AI15" s="492"/>
      <c r="AJ15" s="492"/>
    </row>
    <row r="16" spans="1:36" ht="32.25" customHeight="1" x14ac:dyDescent="0.25">
      <c r="A16" s="495">
        <v>3</v>
      </c>
      <c r="B16" s="502" t="s">
        <v>397</v>
      </c>
      <c r="C16" s="497"/>
      <c r="D16" s="172" t="e">
        <f>SUM(D59:G59)</f>
        <v>#REF!</v>
      </c>
      <c r="E16" s="154" t="e">
        <f t="shared" si="0"/>
        <v>#REF!</v>
      </c>
      <c r="F16" s="173"/>
      <c r="G16" s="173"/>
      <c r="H16" s="174"/>
      <c r="I16" s="175"/>
      <c r="J16" s="174"/>
      <c r="K16" s="175"/>
      <c r="L16" s="121"/>
      <c r="M16" s="121"/>
      <c r="N16" s="121"/>
      <c r="O16" s="121"/>
      <c r="P16" s="157"/>
      <c r="Q16" s="158"/>
      <c r="R16" s="159"/>
      <c r="S16" s="504"/>
      <c r="T16" s="509"/>
      <c r="U16" s="506"/>
      <c r="V16" s="506"/>
      <c r="W16" s="507"/>
      <c r="X16" s="159"/>
      <c r="Y16" s="159"/>
      <c r="Z16" s="159"/>
      <c r="AA16" s="159"/>
      <c r="AB16" s="159"/>
      <c r="AE16" s="492"/>
      <c r="AF16" s="492"/>
      <c r="AG16" s="492"/>
      <c r="AH16" s="492"/>
      <c r="AI16" s="492"/>
      <c r="AJ16" s="492"/>
    </row>
    <row r="17" spans="1:36" ht="18.75" customHeight="1" x14ac:dyDescent="0.25">
      <c r="A17" s="495">
        <v>4</v>
      </c>
      <c r="B17" s="510" t="s">
        <v>193</v>
      </c>
      <c r="C17" s="497">
        <f>C60</f>
        <v>0</v>
      </c>
      <c r="D17" s="172" t="e">
        <f>SUM(D60:G60)</f>
        <v>#REF!</v>
      </c>
      <c r="E17" s="154" t="e">
        <f t="shared" si="0"/>
        <v>#REF!</v>
      </c>
      <c r="F17" s="173"/>
      <c r="G17" s="173"/>
      <c r="H17" s="159"/>
      <c r="I17" s="157"/>
      <c r="J17" s="159"/>
      <c r="K17" s="511"/>
      <c r="L17" s="124"/>
      <c r="M17" s="124"/>
      <c r="N17" s="124"/>
      <c r="O17" s="124"/>
      <c r="P17" s="157"/>
      <c r="Q17" s="158"/>
      <c r="R17" s="159"/>
      <c r="S17" s="512"/>
      <c r="T17" s="513"/>
      <c r="U17" s="512"/>
      <c r="V17" s="512"/>
      <c r="W17" s="512"/>
      <c r="X17" s="159"/>
      <c r="Y17" s="159"/>
      <c r="Z17" s="159"/>
      <c r="AA17" s="159"/>
      <c r="AB17" s="159"/>
      <c r="AE17" s="512"/>
      <c r="AF17" s="512"/>
      <c r="AG17" s="514"/>
      <c r="AH17" s="514"/>
      <c r="AI17" s="506"/>
      <c r="AJ17" s="492"/>
    </row>
    <row r="18" spans="1:36" ht="36" customHeight="1" x14ac:dyDescent="0.25">
      <c r="A18" s="495">
        <v>5</v>
      </c>
      <c r="B18" s="502" t="s">
        <v>194</v>
      </c>
      <c r="C18" s="497"/>
      <c r="D18" s="172" t="e">
        <f>SUM(D62:G62)</f>
        <v>#REF!</v>
      </c>
      <c r="E18" s="154" t="e">
        <f t="shared" si="0"/>
        <v>#REF!</v>
      </c>
      <c r="F18" s="121"/>
      <c r="G18" s="173"/>
      <c r="H18" s="174"/>
      <c r="I18" s="175"/>
      <c r="J18" s="174"/>
      <c r="K18" s="175"/>
      <c r="L18" s="121"/>
      <c r="M18" s="121"/>
      <c r="N18" s="121"/>
      <c r="O18" s="121"/>
      <c r="P18" s="157"/>
      <c r="Q18" s="158"/>
      <c r="R18" s="159"/>
      <c r="S18" s="492"/>
      <c r="T18" s="492"/>
      <c r="U18" s="492"/>
      <c r="V18" s="492"/>
      <c r="W18" s="512"/>
      <c r="X18" s="159"/>
      <c r="Y18" s="159"/>
      <c r="Z18" s="159"/>
      <c r="AA18" s="159"/>
      <c r="AB18" s="159"/>
      <c r="AE18" s="512"/>
      <c r="AF18" s="512"/>
      <c r="AI18" s="515"/>
      <c r="AJ18" s="492"/>
    </row>
    <row r="19" spans="1:36" ht="35.25" customHeight="1" x14ac:dyDescent="0.25">
      <c r="A19" s="495">
        <v>6</v>
      </c>
      <c r="B19" s="502" t="s">
        <v>407</v>
      </c>
      <c r="C19" s="511"/>
      <c r="D19" s="172">
        <f>SUM(D61:G61)</f>
        <v>0</v>
      </c>
      <c r="E19" s="154">
        <f t="shared" si="0"/>
        <v>0</v>
      </c>
      <c r="F19" s="121"/>
      <c r="G19" s="173"/>
      <c r="H19" s="174"/>
      <c r="I19" s="175"/>
      <c r="J19" s="174"/>
      <c r="K19" s="175"/>
      <c r="L19" s="121"/>
      <c r="M19" s="121"/>
      <c r="N19" s="121"/>
      <c r="O19" s="121"/>
      <c r="P19" s="157"/>
      <c r="Q19" s="158"/>
      <c r="R19" s="159"/>
      <c r="S19" s="492"/>
      <c r="T19" s="492"/>
      <c r="U19" s="492"/>
      <c r="V19" s="492"/>
      <c r="W19" s="512"/>
      <c r="X19" s="159"/>
      <c r="Y19" s="159"/>
      <c r="Z19" s="159"/>
      <c r="AA19" s="159"/>
      <c r="AB19" s="159"/>
      <c r="AE19" s="512"/>
      <c r="AF19" s="512"/>
      <c r="AI19" s="515"/>
      <c r="AJ19" s="492"/>
    </row>
    <row r="20" spans="1:36" ht="48.75" customHeight="1" x14ac:dyDescent="0.25">
      <c r="A20" s="495">
        <v>7</v>
      </c>
      <c r="B20" s="502" t="s">
        <v>408</v>
      </c>
      <c r="C20" s="516"/>
      <c r="D20" s="164" t="e">
        <f>SUM(D63:G66)</f>
        <v>#REF!</v>
      </c>
      <c r="E20" s="154" t="e">
        <f t="shared" si="0"/>
        <v>#REF!</v>
      </c>
      <c r="H20" s="174"/>
      <c r="I20" s="175"/>
      <c r="J20" s="174"/>
      <c r="K20" s="175"/>
    </row>
    <row r="21" spans="1:36" ht="35.25" customHeight="1" x14ac:dyDescent="0.25">
      <c r="A21" s="495">
        <v>8</v>
      </c>
      <c r="B21" s="163" t="s">
        <v>378</v>
      </c>
      <c r="C21" s="516"/>
      <c r="D21" s="164" t="e">
        <f>SUM(D67:G67)</f>
        <v>#REF!</v>
      </c>
      <c r="E21" s="154" t="e">
        <f t="shared" si="0"/>
        <v>#REF!</v>
      </c>
      <c r="H21" s="174"/>
      <c r="I21" s="175"/>
      <c r="J21" s="174"/>
      <c r="K21" s="175"/>
    </row>
    <row r="22" spans="1:36" ht="42" customHeight="1" x14ac:dyDescent="0.25">
      <c r="A22" s="495">
        <v>9</v>
      </c>
      <c r="B22" s="184" t="s">
        <v>410</v>
      </c>
      <c r="C22" s="518">
        <f>C68</f>
        <v>0</v>
      </c>
      <c r="D22" s="186"/>
      <c r="E22" s="154">
        <f t="shared" si="0"/>
        <v>0</v>
      </c>
      <c r="F22" s="121"/>
      <c r="G22" s="174"/>
      <c r="H22" s="174"/>
      <c r="I22" s="187"/>
      <c r="J22" s="174"/>
      <c r="K22" s="503"/>
      <c r="L22" s="124"/>
      <c r="M22" s="124"/>
      <c r="N22" s="124"/>
      <c r="O22" s="124"/>
      <c r="P22" s="157"/>
      <c r="Q22" s="158"/>
      <c r="R22" s="159"/>
      <c r="S22" s="519"/>
      <c r="T22" s="520"/>
      <c r="U22" s="521"/>
      <c r="V22" s="522"/>
      <c r="W22" s="523"/>
      <c r="X22" s="159"/>
      <c r="Y22" s="159"/>
      <c r="Z22" s="159"/>
      <c r="AA22" s="159"/>
      <c r="AB22" s="159"/>
      <c r="AE22" s="520"/>
      <c r="AF22" s="524"/>
      <c r="AG22" s="525"/>
      <c r="AH22" s="516"/>
      <c r="AI22" s="501"/>
      <c r="AJ22" s="492"/>
    </row>
    <row r="23" spans="1:36" ht="54" customHeight="1" x14ac:dyDescent="0.25">
      <c r="A23" s="495">
        <v>10</v>
      </c>
      <c r="B23" s="479" t="s">
        <v>380</v>
      </c>
      <c r="C23" s="526">
        <f>C69</f>
        <v>0</v>
      </c>
      <c r="D23" s="172"/>
      <c r="E23" s="154">
        <f t="shared" si="0"/>
        <v>0</v>
      </c>
      <c r="F23" s="121"/>
      <c r="G23" s="173"/>
      <c r="H23" s="159"/>
      <c r="I23" s="157"/>
      <c r="J23" s="159"/>
      <c r="K23" s="511"/>
      <c r="L23" s="124"/>
      <c r="M23" s="124"/>
      <c r="N23" s="124"/>
      <c r="O23" s="124"/>
      <c r="P23" s="130"/>
      <c r="Q23" s="196"/>
      <c r="R23" s="173"/>
      <c r="S23" s="527"/>
      <c r="T23" s="520"/>
      <c r="U23" s="521"/>
      <c r="V23" s="522"/>
      <c r="W23" s="523"/>
      <c r="X23" s="173"/>
      <c r="Y23" s="173"/>
      <c r="Z23" s="173"/>
      <c r="AA23" s="159"/>
      <c r="AB23" s="159"/>
      <c r="AE23" s="520"/>
      <c r="AF23" s="524"/>
      <c r="AG23" s="528"/>
      <c r="AI23" s="492"/>
      <c r="AJ23" s="492"/>
    </row>
    <row r="24" spans="1:36" ht="47.25" customHeight="1" x14ac:dyDescent="0.25">
      <c r="A24" s="495">
        <v>11</v>
      </c>
      <c r="B24" s="517" t="s">
        <v>381</v>
      </c>
      <c r="C24" s="526">
        <f>C70</f>
        <v>0</v>
      </c>
      <c r="D24" s="172">
        <f>G71</f>
        <v>0</v>
      </c>
      <c r="E24" s="154">
        <f t="shared" si="0"/>
        <v>0</v>
      </c>
      <c r="F24" s="121"/>
      <c r="G24" s="173"/>
      <c r="H24" s="174"/>
      <c r="I24" s="529"/>
      <c r="J24" s="174"/>
      <c r="K24" s="174"/>
      <c r="L24" s="124"/>
      <c r="M24" s="124"/>
      <c r="N24" s="124"/>
      <c r="O24" s="124"/>
      <c r="P24" s="130"/>
      <c r="Q24" s="196"/>
      <c r="R24" s="173"/>
      <c r="S24" s="527"/>
      <c r="T24" s="520"/>
      <c r="U24" s="521"/>
      <c r="V24" s="522"/>
      <c r="W24" s="523"/>
      <c r="X24" s="173"/>
      <c r="Y24" s="173"/>
      <c r="Z24" s="173"/>
      <c r="AA24" s="159"/>
      <c r="AB24" s="159"/>
      <c r="AE24" s="530"/>
      <c r="AF24" s="524"/>
      <c r="AG24" s="528"/>
      <c r="AI24" s="492"/>
      <c r="AJ24" s="492"/>
    </row>
    <row r="25" spans="1:36" ht="34.5" customHeight="1" x14ac:dyDescent="0.25">
      <c r="A25" s="495">
        <v>12</v>
      </c>
      <c r="B25" s="517" t="s">
        <v>398</v>
      </c>
      <c r="D25" s="658" t="s">
        <v>195</v>
      </c>
      <c r="E25" s="659"/>
      <c r="F25" s="121"/>
      <c r="G25" s="173"/>
      <c r="H25" s="174"/>
      <c r="I25" s="203"/>
      <c r="J25" s="174"/>
      <c r="K25" s="204"/>
      <c r="L25" s="124"/>
      <c r="M25" s="124"/>
      <c r="N25" s="124"/>
      <c r="O25" s="124"/>
      <c r="P25" s="157"/>
      <c r="Q25" s="158"/>
      <c r="R25" s="159"/>
      <c r="S25" s="519"/>
      <c r="T25" s="532"/>
      <c r="U25" s="506"/>
      <c r="V25" s="533"/>
      <c r="W25" s="507"/>
      <c r="X25" s="159"/>
      <c r="Y25" s="159"/>
      <c r="Z25" s="159"/>
      <c r="AB25" s="159"/>
      <c r="AE25" s="534"/>
      <c r="AF25" s="524"/>
      <c r="AG25" s="528"/>
      <c r="AI25" s="492"/>
      <c r="AJ25" s="492"/>
    </row>
    <row r="26" spans="1:36" s="475" customFormat="1" ht="15.75" x14ac:dyDescent="0.25">
      <c r="A26" s="483">
        <v>13</v>
      </c>
      <c r="B26" s="484" t="s">
        <v>383</v>
      </c>
      <c r="C26" s="466">
        <f>C71</f>
        <v>0</v>
      </c>
      <c r="D26" s="467" t="e">
        <f>SUM(D72:G72)</f>
        <v>#REF!</v>
      </c>
      <c r="E26" s="466" t="e">
        <f>C26+D26</f>
        <v>#REF!</v>
      </c>
      <c r="F26" s="121"/>
      <c r="G26" s="173"/>
      <c r="H26" s="174">
        <v>0</v>
      </c>
      <c r="I26" s="203"/>
      <c r="J26" s="174"/>
      <c r="K26" s="204"/>
      <c r="L26" s="124"/>
      <c r="M26" s="124"/>
      <c r="N26" s="124"/>
      <c r="O26" s="124"/>
      <c r="P26" s="157"/>
      <c r="Q26" s="158"/>
      <c r="R26" s="159"/>
      <c r="S26" s="480"/>
      <c r="T26" s="485"/>
      <c r="U26" s="477"/>
      <c r="V26" s="486"/>
      <c r="W26" s="478"/>
      <c r="X26" s="159"/>
      <c r="Y26" s="159"/>
      <c r="Z26" s="159"/>
      <c r="AB26" s="159"/>
      <c r="AE26" s="487"/>
      <c r="AF26" s="481"/>
      <c r="AG26" s="482"/>
      <c r="AI26" s="476"/>
      <c r="AJ26" s="476"/>
    </row>
    <row r="27" spans="1:36" ht="15.75" hidden="1" x14ac:dyDescent="0.25">
      <c r="A27" s="531">
        <v>14</v>
      </c>
      <c r="B27" s="535" t="s">
        <v>399</v>
      </c>
      <c r="C27" s="536" t="e">
        <f>SUM(C14:C24)</f>
        <v>#REF!</v>
      </c>
      <c r="D27" s="536" t="e">
        <f>SUM(D14:D26)</f>
        <v>#REF!</v>
      </c>
      <c r="E27" s="210" t="e">
        <f t="shared" si="0"/>
        <v>#REF!</v>
      </c>
      <c r="F27" s="121"/>
      <c r="G27" s="173"/>
      <c r="H27" s="211"/>
      <c r="I27" s="212"/>
      <c r="J27" s="213"/>
      <c r="K27" s="214"/>
      <c r="L27" s="121"/>
      <c r="M27" s="121"/>
      <c r="N27" s="121"/>
      <c r="O27" s="121"/>
      <c r="P27" s="157"/>
      <c r="Q27" s="158"/>
      <c r="R27" s="159"/>
      <c r="S27" s="519"/>
      <c r="T27" s="532"/>
      <c r="U27" s="506"/>
      <c r="V27" s="533"/>
      <c r="W27" s="507"/>
      <c r="X27" s="159"/>
      <c r="Y27" s="159"/>
      <c r="Z27" s="159"/>
      <c r="AB27" s="159"/>
      <c r="AE27" s="534"/>
      <c r="AF27" s="524"/>
      <c r="AG27" s="528"/>
      <c r="AI27" s="492"/>
      <c r="AJ27" s="492"/>
    </row>
    <row r="28" spans="1:36" ht="15.75" hidden="1" x14ac:dyDescent="0.25">
      <c r="A28" s="495">
        <v>15</v>
      </c>
      <c r="B28" s="537" t="s">
        <v>196</v>
      </c>
      <c r="C28" s="538">
        <v>0</v>
      </c>
      <c r="D28" s="217"/>
      <c r="E28" s="217"/>
      <c r="F28" s="218"/>
      <c r="G28" s="121"/>
      <c r="H28" s="121"/>
      <c r="L28" s="121"/>
      <c r="M28" s="121"/>
      <c r="N28" s="121"/>
      <c r="O28" s="121"/>
      <c r="P28" s="121"/>
      <c r="Q28" s="121"/>
      <c r="S28" s="539"/>
      <c r="T28" s="540"/>
      <c r="U28" s="512"/>
      <c r="V28" s="541"/>
      <c r="W28" s="513"/>
      <c r="AE28" s="513"/>
      <c r="AF28" s="513"/>
      <c r="AI28" s="513"/>
      <c r="AJ28" s="492">
        <f>AE28-AI28</f>
        <v>0</v>
      </c>
    </row>
    <row r="29" spans="1:36" ht="15.75" hidden="1" x14ac:dyDescent="0.25">
      <c r="A29" s="542" t="s">
        <v>120</v>
      </c>
      <c r="B29" s="543" t="s">
        <v>385</v>
      </c>
      <c r="C29" s="497"/>
      <c r="D29" s="544">
        <f>+(C15+C16+C17+C24)*0.075</f>
        <v>0</v>
      </c>
      <c r="E29" s="154">
        <f t="shared" si="0"/>
        <v>0</v>
      </c>
      <c r="F29" s="121"/>
      <c r="G29" s="121"/>
      <c r="H29" s="121"/>
      <c r="L29" s="121"/>
      <c r="M29" s="121"/>
      <c r="N29" s="121"/>
      <c r="O29" s="121"/>
      <c r="P29" s="121"/>
      <c r="Q29" s="121"/>
      <c r="S29" s="492"/>
      <c r="T29" s="545"/>
      <c r="U29" s="514"/>
      <c r="V29" s="530"/>
      <c r="W29" s="530"/>
      <c r="AE29" s="492"/>
      <c r="AF29" s="492"/>
      <c r="AI29" s="492"/>
      <c r="AJ29" s="492"/>
    </row>
    <row r="30" spans="1:36" ht="15.75" hidden="1" x14ac:dyDescent="0.25">
      <c r="A30" s="542" t="s">
        <v>148</v>
      </c>
      <c r="B30" s="510" t="s">
        <v>197</v>
      </c>
      <c r="C30" s="497"/>
      <c r="D30" s="544">
        <f>+(D29)*0.1</f>
        <v>0</v>
      </c>
      <c r="E30" s="154">
        <f t="shared" si="0"/>
        <v>0</v>
      </c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S30" s="524"/>
      <c r="T30" s="546"/>
      <c r="U30" s="514"/>
      <c r="V30" s="530"/>
      <c r="W30" s="530"/>
      <c r="AE30" s="492"/>
      <c r="AF30" s="492"/>
      <c r="AI30" s="492"/>
      <c r="AJ30" s="492"/>
    </row>
    <row r="31" spans="1:36" ht="15.75" hidden="1" x14ac:dyDescent="0.25">
      <c r="A31" s="542" t="s">
        <v>149</v>
      </c>
      <c r="B31" s="510" t="s">
        <v>198</v>
      </c>
      <c r="C31" s="497"/>
      <c r="D31" s="544">
        <f>((C15+C16+C17+C24)+D29+D30)*0.18</f>
        <v>0</v>
      </c>
      <c r="E31" s="154">
        <f t="shared" si="0"/>
        <v>0</v>
      </c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1"/>
      <c r="S31" s="524"/>
      <c r="T31" s="546"/>
      <c r="U31" s="514"/>
      <c r="V31" s="530"/>
      <c r="W31" s="530"/>
      <c r="AE31" s="492"/>
      <c r="AF31" s="492"/>
      <c r="AI31" s="492"/>
      <c r="AJ31" s="492"/>
    </row>
    <row r="32" spans="1:36" ht="30" hidden="1" x14ac:dyDescent="0.25">
      <c r="A32" s="547" t="s">
        <v>150</v>
      </c>
      <c r="B32" s="517" t="s">
        <v>199</v>
      </c>
      <c r="C32" s="497"/>
      <c r="D32" s="544" t="e">
        <f>+(C14+C22+C23)*0.1/(1-0.1)</f>
        <v>#REF!</v>
      </c>
      <c r="E32" s="154" t="e">
        <f t="shared" si="0"/>
        <v>#REF!</v>
      </c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S32" s="492"/>
      <c r="T32" s="548"/>
      <c r="U32" s="514"/>
      <c r="V32" s="530"/>
      <c r="W32" s="530"/>
      <c r="AE32" s="549"/>
      <c r="AF32" s="492"/>
      <c r="AI32" s="549"/>
      <c r="AJ32" s="492"/>
    </row>
    <row r="33" spans="1:36" ht="15.75" hidden="1" x14ac:dyDescent="0.25">
      <c r="A33" s="547" t="s">
        <v>16</v>
      </c>
      <c r="B33" s="517" t="s">
        <v>200</v>
      </c>
      <c r="C33" s="550"/>
      <c r="D33" s="551" t="e">
        <f>+(C14+C22+C23+D32)*0.18</f>
        <v>#REF!</v>
      </c>
      <c r="E33" s="230" t="e">
        <f t="shared" si="0"/>
        <v>#REF!</v>
      </c>
      <c r="F33" s="121"/>
      <c r="G33" s="121"/>
      <c r="H33" s="121"/>
      <c r="I33" s="121"/>
      <c r="J33" s="173"/>
      <c r="K33" s="121"/>
      <c r="L33" s="121"/>
      <c r="M33" s="121"/>
      <c r="N33" s="121"/>
      <c r="O33" s="121"/>
      <c r="P33" s="121"/>
      <c r="Q33" s="121"/>
      <c r="S33" s="513"/>
      <c r="T33" s="552"/>
      <c r="U33" s="514"/>
      <c r="V33" s="514"/>
      <c r="W33" s="514"/>
      <c r="AE33" s="530"/>
      <c r="AF33" s="513"/>
      <c r="AI33" s="492"/>
      <c r="AJ33" s="492"/>
    </row>
    <row r="34" spans="1:36" ht="15.75" hidden="1" x14ac:dyDescent="0.25">
      <c r="A34" s="553"/>
      <c r="B34" s="554" t="s">
        <v>386</v>
      </c>
      <c r="C34" s="555">
        <f>SUM(C29:C33)</f>
        <v>0</v>
      </c>
      <c r="D34" s="544" t="e">
        <f>SUM(D29:D33)</f>
        <v>#REF!</v>
      </c>
      <c r="E34" s="154" t="e">
        <f t="shared" si="0"/>
        <v>#REF!</v>
      </c>
      <c r="F34" s="121"/>
      <c r="G34" s="121"/>
      <c r="H34" s="121"/>
      <c r="I34" s="121"/>
      <c r="J34" s="235"/>
      <c r="K34" s="173"/>
      <c r="L34" s="121"/>
      <c r="M34" s="121"/>
      <c r="N34" s="121"/>
      <c r="O34" s="121"/>
      <c r="P34" s="121"/>
      <c r="Q34" s="121"/>
      <c r="S34" s="513"/>
      <c r="T34" s="556"/>
      <c r="U34" s="557"/>
      <c r="V34" s="557"/>
      <c r="W34" s="557"/>
      <c r="AE34" s="534"/>
      <c r="AF34" s="513"/>
      <c r="AI34" s="492"/>
      <c r="AJ34" s="492"/>
    </row>
    <row r="35" spans="1:36" ht="15.75" x14ac:dyDescent="0.25">
      <c r="A35" s="558">
        <v>14</v>
      </c>
      <c r="B35" s="559" t="s">
        <v>400</v>
      </c>
      <c r="C35" s="560" t="e">
        <f>C34+C27</f>
        <v>#REF!</v>
      </c>
      <c r="D35" s="560" t="e">
        <f>D34+D27</f>
        <v>#REF!</v>
      </c>
      <c r="E35" s="560" t="e">
        <f>E34+E27</f>
        <v>#REF!</v>
      </c>
      <c r="F35" s="121"/>
      <c r="G35" s="121"/>
      <c r="H35" s="121"/>
      <c r="I35" s="121"/>
      <c r="J35" s="235"/>
      <c r="K35" s="173"/>
      <c r="L35" s="121"/>
      <c r="M35" s="121"/>
      <c r="N35" s="121"/>
      <c r="O35" s="121"/>
      <c r="P35" s="121"/>
      <c r="Q35" s="121"/>
      <c r="S35" s="513"/>
      <c r="T35" s="556"/>
      <c r="U35" s="514"/>
      <c r="V35" s="561"/>
      <c r="W35" s="530"/>
      <c r="AE35" s="534"/>
      <c r="AF35" s="513"/>
      <c r="AI35" s="492"/>
      <c r="AJ35" s="492"/>
    </row>
    <row r="36" spans="1:36" ht="15.75" x14ac:dyDescent="0.25">
      <c r="A36" s="562">
        <v>15</v>
      </c>
      <c r="B36" s="563" t="s">
        <v>388</v>
      </c>
      <c r="C36" s="564"/>
      <c r="D36" s="565" t="e">
        <f>I75</f>
        <v>#REF!</v>
      </c>
      <c r="E36" s="564" t="e">
        <f>C36+D36</f>
        <v>#REF!</v>
      </c>
      <c r="F36" s="121"/>
      <c r="G36" s="121"/>
      <c r="H36" s="121"/>
      <c r="I36" s="121"/>
      <c r="J36" s="235"/>
      <c r="K36" s="173"/>
      <c r="L36" s="121"/>
      <c r="M36" s="121"/>
      <c r="N36" s="121"/>
      <c r="O36" s="121"/>
      <c r="P36" s="121"/>
      <c r="Q36" s="121"/>
      <c r="S36" s="513"/>
      <c r="T36" s="556"/>
      <c r="U36" s="514"/>
      <c r="V36" s="561"/>
      <c r="W36" s="530"/>
      <c r="AE36" s="534"/>
      <c r="AF36" s="513"/>
      <c r="AI36" s="492"/>
      <c r="AJ36" s="492"/>
    </row>
    <row r="37" spans="1:36" ht="15.75" x14ac:dyDescent="0.25">
      <c r="A37" s="558">
        <v>16</v>
      </c>
      <c r="B37" s="559" t="s">
        <v>409</v>
      </c>
      <c r="C37" s="246" t="e">
        <f>C35-C36</f>
        <v>#REF!</v>
      </c>
      <c r="D37" s="246" t="e">
        <f>D35-D36</f>
        <v>#REF!</v>
      </c>
      <c r="E37" s="246" t="e">
        <f>E35-E36</f>
        <v>#REF!</v>
      </c>
      <c r="F37" s="121"/>
      <c r="G37" s="121"/>
      <c r="H37" s="67"/>
      <c r="I37" s="247"/>
      <c r="J37" s="248"/>
      <c r="K37" s="121"/>
      <c r="L37" s="121"/>
      <c r="M37" s="121"/>
      <c r="N37" s="121"/>
      <c r="O37" s="121"/>
      <c r="P37" s="121"/>
      <c r="Q37" s="121"/>
    </row>
    <row r="38" spans="1:36" ht="15.75" x14ac:dyDescent="0.25">
      <c r="A38" s="128"/>
      <c r="B38" s="249"/>
      <c r="C38" s="130"/>
      <c r="D38" s="121"/>
      <c r="E38" s="121"/>
      <c r="F38" s="121"/>
      <c r="G38" s="121"/>
      <c r="H38" s="121"/>
      <c r="I38" s="247"/>
      <c r="J38" s="250"/>
      <c r="K38" s="121"/>
      <c r="L38" s="121"/>
      <c r="M38" s="121"/>
      <c r="N38" s="121"/>
      <c r="O38" s="121"/>
      <c r="P38" s="121"/>
      <c r="Q38" s="121"/>
    </row>
    <row r="39" spans="1:36" ht="15.75" x14ac:dyDescent="0.25">
      <c r="A39" s="128"/>
      <c r="B39" s="249"/>
      <c r="C39" s="130"/>
      <c r="D39" s="121"/>
      <c r="E39" s="121"/>
      <c r="F39" s="121"/>
      <c r="G39" s="121"/>
      <c r="H39" s="121"/>
      <c r="I39" s="248"/>
      <c r="J39" s="250"/>
      <c r="K39" s="121"/>
      <c r="L39" s="121"/>
      <c r="M39" s="121"/>
      <c r="N39" s="121"/>
      <c r="O39" s="121"/>
      <c r="P39" s="121"/>
      <c r="Q39" s="121"/>
    </row>
    <row r="40" spans="1:36" ht="15.75" x14ac:dyDescent="0.25">
      <c r="A40" s="128"/>
      <c r="B40" s="249"/>
      <c r="C40" s="130"/>
      <c r="D40" s="121"/>
      <c r="E40" s="121"/>
      <c r="F40" s="121"/>
      <c r="G40" s="67"/>
      <c r="H40" s="121"/>
      <c r="I40" s="121"/>
      <c r="J40" s="250"/>
      <c r="K40" s="121"/>
      <c r="L40" s="121"/>
      <c r="M40" s="121"/>
      <c r="N40" s="121"/>
      <c r="O40" s="121"/>
      <c r="P40" s="121"/>
      <c r="Q40" s="121"/>
    </row>
    <row r="41" spans="1:36" ht="15.75" x14ac:dyDescent="0.25">
      <c r="A41" s="128"/>
      <c r="B41" s="249"/>
      <c r="C41" s="130"/>
      <c r="D41" s="121"/>
      <c r="E41" s="566" t="s">
        <v>390</v>
      </c>
      <c r="F41" s="121"/>
      <c r="G41" s="121"/>
      <c r="H41" s="121"/>
      <c r="I41" s="248"/>
      <c r="J41" s="250"/>
      <c r="K41" s="121"/>
      <c r="L41" s="121"/>
      <c r="M41" s="121"/>
      <c r="N41" s="121"/>
      <c r="O41" s="121"/>
      <c r="P41" s="121"/>
      <c r="Q41" s="121"/>
    </row>
    <row r="42" spans="1:36" ht="15.75" x14ac:dyDescent="0.25">
      <c r="A42" s="128"/>
      <c r="B42" s="249"/>
      <c r="C42" s="130"/>
      <c r="D42" s="121"/>
      <c r="E42" s="566" t="s">
        <v>391</v>
      </c>
      <c r="F42" s="121"/>
      <c r="G42" s="121"/>
      <c r="H42" s="121"/>
      <c r="I42" s="121"/>
      <c r="J42" s="250"/>
      <c r="K42" s="121"/>
      <c r="L42" s="121"/>
      <c r="M42" s="121"/>
      <c r="N42" s="121"/>
      <c r="O42" s="121"/>
      <c r="P42" s="121"/>
      <c r="Q42" s="121"/>
    </row>
    <row r="43" spans="1:36" ht="15.75" x14ac:dyDescent="0.25">
      <c r="A43" s="128"/>
      <c r="B43" s="249"/>
      <c r="C43" s="130"/>
      <c r="D43" s="121"/>
      <c r="E43" s="567" t="s">
        <v>201</v>
      </c>
      <c r="F43" s="121"/>
      <c r="G43" s="121"/>
      <c r="H43" s="121"/>
      <c r="I43" s="121"/>
      <c r="J43" s="250"/>
      <c r="K43" s="121"/>
      <c r="L43" s="121"/>
      <c r="M43" s="121"/>
      <c r="N43" s="121"/>
      <c r="O43" s="121"/>
      <c r="P43" s="121"/>
      <c r="Q43" s="121"/>
    </row>
    <row r="44" spans="1:36" ht="15.75" x14ac:dyDescent="0.25">
      <c r="A44" s="128"/>
      <c r="B44" s="249"/>
      <c r="C44" s="130"/>
      <c r="D44" s="121"/>
      <c r="E44" s="567"/>
      <c r="F44" s="121"/>
      <c r="G44" s="121"/>
      <c r="H44" s="121"/>
      <c r="I44" s="121"/>
      <c r="J44" s="250"/>
      <c r="K44" s="121"/>
      <c r="L44" s="121"/>
      <c r="M44" s="121"/>
      <c r="N44" s="121"/>
      <c r="O44" s="121"/>
      <c r="P44" s="121"/>
      <c r="Q44" s="121"/>
    </row>
    <row r="45" spans="1:36" ht="15.75" x14ac:dyDescent="0.25">
      <c r="A45" s="128"/>
      <c r="B45" s="568" t="s">
        <v>187</v>
      </c>
      <c r="C45" s="254">
        <v>75</v>
      </c>
      <c r="D45" s="569" t="s">
        <v>202</v>
      </c>
      <c r="F45" s="121"/>
      <c r="I45" s="250"/>
      <c r="L45" s="121"/>
      <c r="M45" s="121"/>
      <c r="N45" s="121"/>
      <c r="O45" s="121"/>
      <c r="P45" s="121"/>
      <c r="Q45" s="121"/>
      <c r="S45" s="570"/>
      <c r="T45" s="516"/>
      <c r="U45" s="516"/>
      <c r="V45" s="516"/>
      <c r="W45" s="516"/>
      <c r="AF45" s="516"/>
      <c r="AG45" s="516"/>
      <c r="AH45" s="516"/>
      <c r="AI45" s="516"/>
      <c r="AJ45" s="571"/>
    </row>
    <row r="46" spans="1:36" ht="15.75" x14ac:dyDescent="0.25">
      <c r="A46" s="128"/>
      <c r="B46" s="568" t="s">
        <v>189</v>
      </c>
      <c r="C46" s="254">
        <v>68</v>
      </c>
      <c r="D46" s="572" t="s">
        <v>203</v>
      </c>
      <c r="F46" s="121"/>
      <c r="G46" s="121"/>
      <c r="H46" s="121"/>
      <c r="I46" s="121"/>
      <c r="J46" s="250"/>
      <c r="L46" s="121"/>
      <c r="M46" s="121"/>
      <c r="N46" s="121"/>
      <c r="O46" s="121"/>
      <c r="P46" s="121"/>
      <c r="Q46" s="121"/>
      <c r="Y46" s="573"/>
      <c r="Z46" s="574"/>
      <c r="AA46" s="574"/>
      <c r="AB46" s="575"/>
      <c r="AC46" s="574"/>
    </row>
    <row r="47" spans="1:36" ht="15.75" x14ac:dyDescent="0.25">
      <c r="A47" s="128"/>
      <c r="B47" s="262" t="s">
        <v>204</v>
      </c>
      <c r="C47" s="263">
        <v>0.06</v>
      </c>
      <c r="D47" s="576"/>
      <c r="F47" s="121"/>
      <c r="G47" s="121"/>
      <c r="H47" s="121"/>
      <c r="I47" s="121"/>
      <c r="J47" s="250"/>
      <c r="K47" s="121"/>
      <c r="L47" s="121"/>
      <c r="M47" s="121"/>
      <c r="N47" s="121"/>
      <c r="O47" s="121"/>
      <c r="P47" s="121"/>
      <c r="Q47" s="121"/>
      <c r="Y47" s="573"/>
      <c r="Z47" s="574"/>
      <c r="AA47" s="574"/>
      <c r="AB47" s="575"/>
      <c r="AC47" s="574"/>
    </row>
    <row r="48" spans="1:36" ht="15.75" x14ac:dyDescent="0.25">
      <c r="A48" s="128"/>
      <c r="B48" s="262" t="s">
        <v>205</v>
      </c>
      <c r="C48" s="263">
        <v>0.15</v>
      </c>
      <c r="D48" s="265"/>
      <c r="E48" s="577"/>
      <c r="F48" s="121"/>
      <c r="G48" s="121"/>
      <c r="H48" s="121"/>
      <c r="I48" s="121"/>
      <c r="J48" s="250"/>
      <c r="K48" s="121"/>
      <c r="L48" s="121"/>
      <c r="M48" s="121"/>
      <c r="N48" s="121"/>
      <c r="O48" s="121"/>
      <c r="P48" s="121"/>
      <c r="Q48" s="121"/>
      <c r="Y48" s="573"/>
      <c r="Z48" s="574"/>
      <c r="AA48" s="574"/>
      <c r="AB48" s="575"/>
      <c r="AC48" s="574"/>
    </row>
    <row r="49" spans="1:256" ht="15.75" x14ac:dyDescent="0.25">
      <c r="A49" s="128"/>
      <c r="B49" s="262" t="s">
        <v>206</v>
      </c>
      <c r="C49" s="263">
        <v>0.25</v>
      </c>
      <c r="D49" s="265"/>
      <c r="E49" s="577"/>
      <c r="F49" s="121"/>
      <c r="G49" s="121"/>
      <c r="H49" s="121"/>
      <c r="K49" s="121"/>
      <c r="L49" s="121"/>
      <c r="M49" s="121"/>
      <c r="N49" s="121"/>
      <c r="O49" s="121"/>
      <c r="P49" s="121"/>
      <c r="Q49" s="121"/>
      <c r="Y49" s="573"/>
      <c r="Z49" s="574"/>
      <c r="AA49" s="574"/>
      <c r="AB49" s="575"/>
      <c r="AC49" s="574"/>
    </row>
    <row r="50" spans="1:256" ht="15.75" x14ac:dyDescent="0.25">
      <c r="A50" s="128"/>
      <c r="B50" s="262" t="s">
        <v>207</v>
      </c>
      <c r="C50" s="263">
        <v>0.12</v>
      </c>
      <c r="D50" s="576"/>
      <c r="F50" s="121"/>
      <c r="G50" s="121"/>
      <c r="H50" s="121"/>
      <c r="I50" s="121"/>
      <c r="J50" s="250"/>
      <c r="K50" s="121"/>
      <c r="L50" s="121"/>
      <c r="M50" s="121"/>
      <c r="N50" s="121"/>
      <c r="O50" s="121"/>
      <c r="P50" s="121"/>
      <c r="Q50" s="121"/>
      <c r="Y50" s="573"/>
      <c r="Z50" s="574"/>
      <c r="AA50" s="574"/>
      <c r="AB50" s="575"/>
      <c r="AC50" s="574"/>
    </row>
    <row r="51" spans="1:256" ht="15.75" x14ac:dyDescent="0.25">
      <c r="A51" s="128"/>
      <c r="B51" s="267" t="s">
        <v>32</v>
      </c>
      <c r="C51" s="263">
        <v>7.4999999999999997E-2</v>
      </c>
      <c r="D51" s="576"/>
      <c r="F51" s="121"/>
      <c r="G51" s="121"/>
      <c r="H51" s="121"/>
      <c r="I51" s="126" t="s">
        <v>145</v>
      </c>
      <c r="J51" s="250"/>
      <c r="K51" s="121"/>
      <c r="L51" s="121"/>
      <c r="M51" s="121"/>
      <c r="N51" s="121"/>
      <c r="O51" s="121"/>
      <c r="P51" s="121"/>
      <c r="Q51" s="121"/>
      <c r="Y51" s="573"/>
      <c r="Z51" s="574"/>
      <c r="AA51" s="574"/>
      <c r="AB51" s="575"/>
      <c r="AC51" s="574"/>
    </row>
    <row r="52" spans="1:256" ht="15.75" x14ac:dyDescent="0.25">
      <c r="A52" s="578" t="s">
        <v>19</v>
      </c>
      <c r="B52" s="579" t="s">
        <v>3</v>
      </c>
      <c r="C52" s="823" t="s">
        <v>208</v>
      </c>
      <c r="D52" s="823"/>
      <c r="E52" s="824" t="s">
        <v>209</v>
      </c>
      <c r="F52" s="824"/>
      <c r="G52" s="824"/>
      <c r="H52" s="580"/>
      <c r="I52" s="580"/>
      <c r="J52" s="552"/>
      <c r="K52" s="552"/>
      <c r="L52" s="121"/>
      <c r="M52" s="121"/>
      <c r="N52" s="121"/>
      <c r="O52" s="121"/>
      <c r="P52" s="121"/>
      <c r="Q52" s="121"/>
      <c r="S52" s="581"/>
      <c r="T52" s="581"/>
      <c r="U52" s="581"/>
      <c r="V52" s="581"/>
      <c r="W52" s="581"/>
      <c r="Y52" s="573"/>
      <c r="Z52" s="516"/>
      <c r="AA52" s="516"/>
      <c r="AB52" s="516"/>
      <c r="AC52" s="574"/>
    </row>
    <row r="53" spans="1:256" ht="30" x14ac:dyDescent="0.25">
      <c r="A53" s="582"/>
      <c r="B53" s="583"/>
      <c r="C53" s="584" t="s">
        <v>210</v>
      </c>
      <c r="D53" s="585" t="s">
        <v>211</v>
      </c>
      <c r="E53" s="276" t="s">
        <v>212</v>
      </c>
      <c r="F53" s="276" t="s">
        <v>213</v>
      </c>
      <c r="G53" s="584" t="s">
        <v>214</v>
      </c>
      <c r="H53" s="586" t="s">
        <v>215</v>
      </c>
      <c r="I53" s="587" t="s">
        <v>4</v>
      </c>
      <c r="L53" s="121"/>
      <c r="M53" s="121"/>
      <c r="N53" s="121"/>
      <c r="O53" s="121"/>
      <c r="P53" s="121"/>
      <c r="Q53" s="121"/>
      <c r="S53" s="581"/>
      <c r="T53" s="581"/>
      <c r="U53" s="581"/>
      <c r="V53" s="581"/>
      <c r="W53" s="581"/>
      <c r="Y53" s="588"/>
      <c r="AC53" s="516"/>
    </row>
    <row r="54" spans="1:256" ht="15.75" x14ac:dyDescent="0.25">
      <c r="A54" s="582"/>
      <c r="B54" s="589">
        <v>7.4999999999999997E-2</v>
      </c>
      <c r="C54" s="280"/>
      <c r="D54" s="281">
        <f>(B54-C54)</f>
        <v>7.4999999999999997E-2</v>
      </c>
      <c r="E54" s="282">
        <v>0.18</v>
      </c>
      <c r="F54" s="282">
        <v>0.18</v>
      </c>
      <c r="G54" s="282">
        <v>0</v>
      </c>
      <c r="H54" s="283"/>
      <c r="I54" s="587"/>
      <c r="L54" s="121"/>
      <c r="M54" s="121"/>
      <c r="N54" s="121"/>
      <c r="O54" s="121"/>
      <c r="P54" s="121"/>
      <c r="Q54" s="121"/>
      <c r="S54" s="581"/>
      <c r="T54" s="581"/>
      <c r="U54" s="581"/>
      <c r="V54" s="581"/>
      <c r="W54" s="581"/>
      <c r="Y54" s="588"/>
      <c r="AC54" s="516"/>
    </row>
    <row r="55" spans="1:256" ht="15.75" x14ac:dyDescent="0.25">
      <c r="A55" s="558">
        <v>1</v>
      </c>
      <c r="B55" s="590" t="s">
        <v>216</v>
      </c>
      <c r="C55" s="591" t="e">
        <f>(SUM(D56:D65)+SUM(C56:C60)*1.07-C57*1.07-D57)*C54</f>
        <v>#REF!</v>
      </c>
      <c r="D55" s="609" t="e">
        <f>(SUM(D56:D67)+SUM(C56:C60)*1.07-C57*1.07-D57)*D54</f>
        <v>#REF!</v>
      </c>
      <c r="E55" s="592"/>
      <c r="F55" s="591" t="e">
        <f>D55*F54</f>
        <v>#REF!</v>
      </c>
      <c r="G55" s="592"/>
      <c r="H55" s="592"/>
      <c r="I55" s="593" t="e">
        <f>SUM(C55:H55)</f>
        <v>#REF!</v>
      </c>
      <c r="L55" s="121"/>
      <c r="M55" s="121"/>
      <c r="N55" s="121"/>
      <c r="O55" s="121"/>
      <c r="P55" s="121"/>
      <c r="Q55" s="121"/>
      <c r="S55" s="581"/>
      <c r="T55" s="581"/>
      <c r="U55" s="581"/>
      <c r="V55" s="581"/>
      <c r="W55" s="581"/>
    </row>
    <row r="56" spans="1:256" ht="15.75" x14ac:dyDescent="0.25">
      <c r="A56" s="594">
        <v>2</v>
      </c>
      <c r="B56" s="595" t="s">
        <v>217</v>
      </c>
      <c r="C56" s="569"/>
      <c r="D56" s="569" t="e">
        <f>#REF!</f>
        <v>#REF!</v>
      </c>
      <c r="E56" s="597" t="e">
        <f>D56*E54</f>
        <v>#REF!</v>
      </c>
      <c r="F56" s="597" t="e">
        <f>G56*$F$54</f>
        <v>#REF!</v>
      </c>
      <c r="G56" s="599" t="e">
        <f>(D56*0.02)</f>
        <v>#REF!</v>
      </c>
      <c r="H56" s="599"/>
      <c r="I56" s="593" t="e">
        <f t="shared" ref="I56:I73" si="1">SUM(C56:H56)</f>
        <v>#REF!</v>
      </c>
      <c r="J56" s="488" t="e">
        <f>D56*0.02</f>
        <v>#REF!</v>
      </c>
      <c r="L56" s="121"/>
      <c r="M56" s="121"/>
      <c r="N56" s="121"/>
      <c r="O56" s="121"/>
      <c r="P56" s="121"/>
      <c r="Q56" s="121"/>
      <c r="S56" s="581"/>
      <c r="T56" s="581"/>
      <c r="U56" s="581"/>
      <c r="V56" s="581"/>
      <c r="W56" s="581"/>
    </row>
    <row r="57" spans="1:256" ht="15.75" x14ac:dyDescent="0.25">
      <c r="A57" s="594">
        <v>3</v>
      </c>
      <c r="B57" s="595" t="s">
        <v>218</v>
      </c>
      <c r="C57" s="569"/>
      <c r="D57" s="596"/>
      <c r="E57" s="597">
        <f>D57*E54</f>
        <v>0</v>
      </c>
      <c r="F57" s="597">
        <f>G57*$F$54</f>
        <v>0</v>
      </c>
      <c r="G57" s="598">
        <f>(D57*0.02)*(1+$G$54)*0</f>
        <v>0</v>
      </c>
      <c r="H57" s="599"/>
      <c r="I57" s="593">
        <f t="shared" si="1"/>
        <v>0</v>
      </c>
      <c r="L57" s="121"/>
      <c r="M57" s="121"/>
      <c r="N57" s="121"/>
      <c r="O57" s="121"/>
      <c r="P57" s="121"/>
      <c r="Q57" s="121"/>
      <c r="S57" s="581"/>
      <c r="T57" s="581"/>
      <c r="U57" s="581"/>
      <c r="V57" s="581"/>
      <c r="W57" s="581"/>
    </row>
    <row r="58" spans="1:256" ht="15.75" x14ac:dyDescent="0.25">
      <c r="A58" s="594">
        <v>4</v>
      </c>
      <c r="B58" s="595" t="s">
        <v>219</v>
      </c>
      <c r="C58" s="569"/>
      <c r="D58" s="569" t="e">
        <f>#REF!</f>
        <v>#REF!</v>
      </c>
      <c r="E58" s="597" t="e">
        <f>D58*E54</f>
        <v>#REF!</v>
      </c>
      <c r="F58" s="597" t="e">
        <f>G58*$F$54</f>
        <v>#REF!</v>
      </c>
      <c r="G58" s="599" t="e">
        <f>(D58*0.09)</f>
        <v>#REF!</v>
      </c>
      <c r="H58" s="599"/>
      <c r="I58" s="593" t="e">
        <f t="shared" si="1"/>
        <v>#REF!</v>
      </c>
      <c r="L58" s="121"/>
      <c r="M58" s="121"/>
      <c r="N58" s="121"/>
      <c r="O58" s="121"/>
      <c r="P58" s="121"/>
      <c r="Q58" s="121"/>
    </row>
    <row r="59" spans="1:256" ht="15.75" x14ac:dyDescent="0.25">
      <c r="A59" s="558">
        <v>5</v>
      </c>
      <c r="B59" s="590" t="s">
        <v>220</v>
      </c>
      <c r="C59" s="591"/>
      <c r="D59" s="569" t="e">
        <f>#REF!</f>
        <v>#REF!</v>
      </c>
      <c r="E59" s="591" t="e">
        <f>D59*E54</f>
        <v>#REF!</v>
      </c>
      <c r="F59" s="597" t="e">
        <f>G59*$F$54</f>
        <v>#REF!</v>
      </c>
      <c r="G59" s="599" t="e">
        <f>(D59*0.09)</f>
        <v>#REF!</v>
      </c>
      <c r="H59" s="593"/>
      <c r="I59" s="593" t="e">
        <f t="shared" si="1"/>
        <v>#REF!</v>
      </c>
      <c r="J59" s="516"/>
      <c r="K59" s="516"/>
      <c r="L59" s="124"/>
      <c r="M59" s="124"/>
      <c r="N59" s="124"/>
      <c r="O59" s="124"/>
      <c r="P59" s="124"/>
      <c r="Q59" s="124"/>
      <c r="R59" s="516"/>
      <c r="S59" s="516"/>
      <c r="T59" s="516"/>
      <c r="U59" s="588"/>
      <c r="V59" s="516"/>
      <c r="W59" s="588"/>
      <c r="X59" s="516"/>
      <c r="Y59" s="516"/>
      <c r="Z59" s="516"/>
      <c r="AA59" s="516"/>
      <c r="AB59" s="516"/>
      <c r="AC59" s="516"/>
      <c r="AD59" s="516"/>
      <c r="AE59" s="516"/>
      <c r="AF59" s="516"/>
      <c r="AG59" s="516"/>
      <c r="AH59" s="516"/>
      <c r="AI59" s="516"/>
      <c r="AJ59" s="516"/>
      <c r="AK59" s="516"/>
      <c r="AL59" s="516"/>
      <c r="AM59" s="516"/>
      <c r="AN59" s="516"/>
      <c r="AO59" s="516"/>
      <c r="AP59" s="516"/>
      <c r="AQ59" s="516"/>
      <c r="AR59" s="516"/>
      <c r="AS59" s="516"/>
      <c r="AT59" s="516"/>
      <c r="AU59" s="516"/>
      <c r="AV59" s="516"/>
      <c r="AW59" s="516"/>
      <c r="AX59" s="516"/>
      <c r="AY59" s="516"/>
      <c r="AZ59" s="516"/>
      <c r="BA59" s="516"/>
      <c r="BB59" s="516"/>
      <c r="BC59" s="516"/>
      <c r="BD59" s="516"/>
      <c r="BE59" s="516"/>
      <c r="BF59" s="516"/>
      <c r="BG59" s="516"/>
      <c r="BH59" s="516"/>
      <c r="BI59" s="516"/>
      <c r="BJ59" s="516"/>
      <c r="BK59" s="516"/>
      <c r="BL59" s="516"/>
      <c r="BM59" s="516"/>
      <c r="BN59" s="516"/>
      <c r="BO59" s="516"/>
      <c r="BP59" s="516"/>
      <c r="BQ59" s="516"/>
      <c r="BR59" s="516"/>
      <c r="BS59" s="516"/>
      <c r="BT59" s="516"/>
      <c r="BU59" s="516"/>
      <c r="BV59" s="516"/>
      <c r="BW59" s="516"/>
      <c r="BX59" s="516"/>
      <c r="BY59" s="516"/>
      <c r="BZ59" s="516"/>
      <c r="CA59" s="516"/>
      <c r="CB59" s="516"/>
      <c r="CC59" s="516"/>
      <c r="CD59" s="516"/>
      <c r="CE59" s="516"/>
      <c r="CF59" s="516"/>
      <c r="CG59" s="516"/>
      <c r="CH59" s="516"/>
      <c r="CI59" s="516"/>
      <c r="CJ59" s="516"/>
      <c r="CK59" s="516"/>
      <c r="CL59" s="516"/>
      <c r="CM59" s="516"/>
      <c r="CN59" s="516"/>
      <c r="CO59" s="516"/>
      <c r="CP59" s="516"/>
      <c r="CQ59" s="516"/>
      <c r="CR59" s="516"/>
      <c r="CS59" s="516"/>
      <c r="CT59" s="516"/>
      <c r="CU59" s="516"/>
      <c r="CV59" s="516"/>
      <c r="CW59" s="516"/>
      <c r="CX59" s="516"/>
      <c r="CY59" s="516"/>
      <c r="CZ59" s="516"/>
      <c r="DA59" s="516"/>
      <c r="DB59" s="516"/>
      <c r="DC59" s="516"/>
      <c r="DD59" s="516"/>
      <c r="DE59" s="516"/>
      <c r="DF59" s="516"/>
      <c r="DG59" s="516"/>
      <c r="DH59" s="516"/>
      <c r="DI59" s="516"/>
      <c r="DJ59" s="516"/>
      <c r="DK59" s="516"/>
      <c r="DL59" s="516"/>
      <c r="DM59" s="516"/>
      <c r="DN59" s="516"/>
      <c r="DO59" s="516"/>
      <c r="DP59" s="516"/>
      <c r="DQ59" s="516"/>
      <c r="DR59" s="516"/>
      <c r="DS59" s="516"/>
      <c r="DT59" s="516"/>
      <c r="DU59" s="516"/>
      <c r="DV59" s="516"/>
      <c r="DW59" s="516"/>
      <c r="DX59" s="516"/>
      <c r="DY59" s="516"/>
      <c r="DZ59" s="516"/>
      <c r="EA59" s="516"/>
      <c r="EB59" s="516"/>
      <c r="EC59" s="516"/>
      <c r="ED59" s="516"/>
      <c r="EE59" s="516"/>
      <c r="EF59" s="516"/>
      <c r="EG59" s="516"/>
      <c r="EH59" s="516"/>
      <c r="EI59" s="516"/>
      <c r="EJ59" s="516"/>
      <c r="EK59" s="516"/>
      <c r="EL59" s="516"/>
      <c r="EM59" s="516"/>
      <c r="EN59" s="516"/>
      <c r="EO59" s="516"/>
      <c r="EP59" s="516"/>
      <c r="EQ59" s="516"/>
      <c r="ER59" s="516"/>
      <c r="ES59" s="516"/>
      <c r="ET59" s="516"/>
      <c r="EU59" s="516"/>
      <c r="EV59" s="516"/>
      <c r="EW59" s="516"/>
      <c r="EX59" s="516"/>
      <c r="EY59" s="516"/>
      <c r="EZ59" s="516"/>
      <c r="FA59" s="516"/>
      <c r="FB59" s="516"/>
      <c r="FC59" s="516"/>
      <c r="FD59" s="516"/>
      <c r="FE59" s="516"/>
      <c r="FF59" s="516"/>
      <c r="FG59" s="516"/>
      <c r="FH59" s="516"/>
      <c r="FI59" s="516"/>
      <c r="FJ59" s="516"/>
      <c r="FK59" s="516"/>
      <c r="FL59" s="516"/>
      <c r="FM59" s="516"/>
      <c r="FN59" s="516"/>
      <c r="FO59" s="516"/>
      <c r="FP59" s="516"/>
      <c r="FQ59" s="516"/>
      <c r="FR59" s="516"/>
      <c r="FS59" s="516"/>
      <c r="FT59" s="516"/>
      <c r="FU59" s="516"/>
      <c r="FV59" s="516"/>
      <c r="FW59" s="516"/>
      <c r="FX59" s="516"/>
      <c r="FY59" s="516"/>
      <c r="FZ59" s="516"/>
      <c r="GA59" s="516"/>
      <c r="GB59" s="516"/>
      <c r="GC59" s="516"/>
      <c r="GD59" s="516"/>
      <c r="GE59" s="516"/>
      <c r="GF59" s="516"/>
      <c r="GG59" s="516"/>
      <c r="GH59" s="516"/>
      <c r="GI59" s="516"/>
      <c r="GJ59" s="516"/>
      <c r="GK59" s="516"/>
      <c r="GL59" s="516"/>
      <c r="GM59" s="516"/>
      <c r="GN59" s="516"/>
      <c r="GO59" s="516"/>
      <c r="GP59" s="516"/>
      <c r="GQ59" s="516"/>
      <c r="GR59" s="516"/>
      <c r="GS59" s="516"/>
      <c r="GT59" s="516"/>
      <c r="GU59" s="516"/>
      <c r="GV59" s="516"/>
      <c r="GW59" s="516"/>
      <c r="GX59" s="516"/>
      <c r="GY59" s="516"/>
      <c r="GZ59" s="516"/>
      <c r="HA59" s="516"/>
      <c r="HB59" s="516"/>
      <c r="HC59" s="516"/>
      <c r="HD59" s="516"/>
      <c r="HE59" s="516"/>
      <c r="HF59" s="516"/>
      <c r="HG59" s="516"/>
      <c r="HH59" s="516"/>
      <c r="HI59" s="516"/>
      <c r="HJ59" s="516"/>
      <c r="HK59" s="516"/>
      <c r="HL59" s="516"/>
      <c r="HM59" s="516"/>
      <c r="HN59" s="516"/>
      <c r="HO59" s="516"/>
      <c r="HP59" s="516"/>
      <c r="HQ59" s="516"/>
      <c r="HR59" s="516"/>
      <c r="HS59" s="516"/>
      <c r="HT59" s="516"/>
      <c r="HU59" s="516"/>
      <c r="HV59" s="516"/>
      <c r="HW59" s="516"/>
      <c r="HX59" s="516"/>
      <c r="HY59" s="516"/>
      <c r="HZ59" s="516"/>
      <c r="IA59" s="516"/>
      <c r="IB59" s="516"/>
      <c r="IC59" s="516"/>
      <c r="ID59" s="516"/>
      <c r="IE59" s="516"/>
      <c r="IF59" s="516"/>
      <c r="IG59" s="516"/>
      <c r="IH59" s="516"/>
      <c r="II59" s="516"/>
      <c r="IJ59" s="516"/>
      <c r="IK59" s="516"/>
      <c r="IL59" s="516"/>
      <c r="IM59" s="516"/>
      <c r="IN59" s="516"/>
      <c r="IO59" s="516"/>
      <c r="IP59" s="516"/>
      <c r="IQ59" s="516"/>
      <c r="IR59" s="516"/>
      <c r="IS59" s="516"/>
      <c r="IT59" s="516"/>
      <c r="IU59" s="516"/>
      <c r="IV59" s="516"/>
    </row>
    <row r="60" spans="1:256" ht="15.75" x14ac:dyDescent="0.25">
      <c r="A60" s="558">
        <v>6</v>
      </c>
      <c r="B60" s="590" t="s">
        <v>18</v>
      </c>
      <c r="C60" s="569"/>
      <c r="D60" s="569" t="e">
        <f>#REF!</f>
        <v>#REF!</v>
      </c>
      <c r="E60" s="591" t="e">
        <f>D60*E54</f>
        <v>#REF!</v>
      </c>
      <c r="F60" s="597" t="e">
        <f>G60*$F$54</f>
        <v>#REF!</v>
      </c>
      <c r="G60" s="599" t="e">
        <f>(D60*0.09)</f>
        <v>#REF!</v>
      </c>
      <c r="H60" s="593"/>
      <c r="I60" s="593" t="e">
        <f t="shared" si="1"/>
        <v>#REF!</v>
      </c>
      <c r="J60" s="516"/>
      <c r="K60" s="516"/>
      <c r="L60" s="124"/>
      <c r="M60" s="124"/>
      <c r="N60" s="124"/>
      <c r="O60" s="124"/>
      <c r="P60" s="124"/>
      <c r="Q60" s="124"/>
      <c r="R60" s="516"/>
      <c r="S60" s="600"/>
      <c r="T60" s="516"/>
      <c r="U60" s="601"/>
      <c r="V60" s="516"/>
      <c r="W60" s="516"/>
      <c r="X60" s="516"/>
      <c r="Y60" s="516"/>
      <c r="Z60" s="516"/>
      <c r="AA60" s="516"/>
      <c r="AB60" s="516"/>
      <c r="AC60" s="516"/>
      <c r="AD60" s="516"/>
      <c r="AE60" s="516"/>
      <c r="AF60" s="516"/>
      <c r="AG60" s="516"/>
      <c r="AH60" s="516"/>
      <c r="AI60" s="516"/>
      <c r="AJ60" s="516"/>
      <c r="AK60" s="516"/>
      <c r="AL60" s="516"/>
      <c r="AM60" s="516"/>
      <c r="AN60" s="516"/>
      <c r="AO60" s="516"/>
      <c r="AP60" s="516"/>
      <c r="AQ60" s="516"/>
      <c r="AR60" s="516"/>
      <c r="AS60" s="516"/>
      <c r="AT60" s="516"/>
      <c r="AU60" s="516"/>
      <c r="AV60" s="516"/>
      <c r="AW60" s="516"/>
      <c r="AX60" s="516"/>
      <c r="AY60" s="516"/>
      <c r="AZ60" s="516"/>
      <c r="BA60" s="516"/>
      <c r="BB60" s="516"/>
      <c r="BC60" s="516"/>
      <c r="BD60" s="516"/>
      <c r="BE60" s="516"/>
      <c r="BF60" s="516"/>
      <c r="BG60" s="516"/>
      <c r="BH60" s="516"/>
      <c r="BI60" s="516"/>
      <c r="BJ60" s="516"/>
      <c r="BK60" s="516"/>
      <c r="BL60" s="516"/>
      <c r="BM60" s="516"/>
      <c r="BN60" s="516"/>
      <c r="BO60" s="516"/>
      <c r="BP60" s="516"/>
      <c r="BQ60" s="516"/>
      <c r="BR60" s="516"/>
      <c r="BS60" s="516"/>
      <c r="BT60" s="516"/>
      <c r="BU60" s="516"/>
      <c r="BV60" s="516"/>
      <c r="BW60" s="516"/>
      <c r="BX60" s="516"/>
      <c r="BY60" s="516"/>
      <c r="BZ60" s="516"/>
      <c r="CA60" s="516"/>
      <c r="CB60" s="516"/>
      <c r="CC60" s="516"/>
      <c r="CD60" s="516"/>
      <c r="CE60" s="516"/>
      <c r="CF60" s="516"/>
      <c r="CG60" s="516"/>
      <c r="CH60" s="516"/>
      <c r="CI60" s="516"/>
      <c r="CJ60" s="516"/>
      <c r="CK60" s="516"/>
      <c r="CL60" s="516"/>
      <c r="CM60" s="516"/>
      <c r="CN60" s="516"/>
      <c r="CO60" s="516"/>
      <c r="CP60" s="516"/>
      <c r="CQ60" s="516"/>
      <c r="CR60" s="516"/>
      <c r="CS60" s="516"/>
      <c r="CT60" s="516"/>
      <c r="CU60" s="516"/>
      <c r="CV60" s="516"/>
      <c r="CW60" s="516"/>
      <c r="CX60" s="516"/>
      <c r="CY60" s="516"/>
      <c r="CZ60" s="516"/>
      <c r="DA60" s="516"/>
      <c r="DB60" s="516"/>
      <c r="DC60" s="516"/>
      <c r="DD60" s="516"/>
      <c r="DE60" s="516"/>
      <c r="DF60" s="516"/>
      <c r="DG60" s="516"/>
      <c r="DH60" s="516"/>
      <c r="DI60" s="516"/>
      <c r="DJ60" s="516"/>
      <c r="DK60" s="516"/>
      <c r="DL60" s="516"/>
      <c r="DM60" s="516"/>
      <c r="DN60" s="516"/>
      <c r="DO60" s="516"/>
      <c r="DP60" s="516"/>
      <c r="DQ60" s="516"/>
      <c r="DR60" s="516"/>
      <c r="DS60" s="516"/>
      <c r="DT60" s="516"/>
      <c r="DU60" s="516"/>
      <c r="DV60" s="516"/>
      <c r="DW60" s="516"/>
      <c r="DX60" s="516"/>
      <c r="DY60" s="516"/>
      <c r="DZ60" s="516"/>
      <c r="EA60" s="516"/>
      <c r="EB60" s="516"/>
      <c r="EC60" s="516"/>
      <c r="ED60" s="516"/>
      <c r="EE60" s="516"/>
      <c r="EF60" s="516"/>
      <c r="EG60" s="516"/>
      <c r="EH60" s="516"/>
      <c r="EI60" s="516"/>
      <c r="EJ60" s="516"/>
      <c r="EK60" s="516"/>
      <c r="EL60" s="516"/>
      <c r="EM60" s="516"/>
      <c r="EN60" s="516"/>
      <c r="EO60" s="516"/>
      <c r="EP60" s="516"/>
      <c r="EQ60" s="516"/>
      <c r="ER60" s="516"/>
      <c r="ES60" s="516"/>
      <c r="ET60" s="516"/>
      <c r="EU60" s="516"/>
      <c r="EV60" s="516"/>
      <c r="EW60" s="516"/>
      <c r="EX60" s="516"/>
      <c r="EY60" s="516"/>
      <c r="EZ60" s="516"/>
      <c r="FA60" s="516"/>
      <c r="FB60" s="516"/>
      <c r="FC60" s="516"/>
      <c r="FD60" s="516"/>
      <c r="FE60" s="516"/>
      <c r="FF60" s="516"/>
      <c r="FG60" s="516"/>
      <c r="FH60" s="516"/>
      <c r="FI60" s="516"/>
      <c r="FJ60" s="516"/>
      <c r="FK60" s="516"/>
      <c r="FL60" s="516"/>
      <c r="FM60" s="516"/>
      <c r="FN60" s="516"/>
      <c r="FO60" s="516"/>
      <c r="FP60" s="516"/>
      <c r="FQ60" s="516"/>
      <c r="FR60" s="516"/>
      <c r="FS60" s="516"/>
      <c r="FT60" s="516"/>
      <c r="FU60" s="516"/>
      <c r="FV60" s="516"/>
      <c r="FW60" s="516"/>
      <c r="FX60" s="516"/>
      <c r="FY60" s="516"/>
      <c r="FZ60" s="516"/>
      <c r="GA60" s="516"/>
      <c r="GB60" s="516"/>
      <c r="GC60" s="516"/>
      <c r="GD60" s="516"/>
      <c r="GE60" s="516"/>
      <c r="GF60" s="516"/>
      <c r="GG60" s="516"/>
      <c r="GH60" s="516"/>
      <c r="GI60" s="516"/>
      <c r="GJ60" s="516"/>
      <c r="GK60" s="516"/>
      <c r="GL60" s="516"/>
      <c r="GM60" s="516"/>
      <c r="GN60" s="516"/>
      <c r="GO60" s="516"/>
      <c r="GP60" s="516"/>
      <c r="GQ60" s="516"/>
      <c r="GR60" s="516"/>
      <c r="GS60" s="516"/>
      <c r="GT60" s="516"/>
      <c r="GU60" s="516"/>
      <c r="GV60" s="516"/>
      <c r="GW60" s="516"/>
      <c r="GX60" s="516"/>
      <c r="GY60" s="516"/>
      <c r="GZ60" s="516"/>
      <c r="HA60" s="516"/>
      <c r="HB60" s="516"/>
      <c r="HC60" s="516"/>
      <c r="HD60" s="516"/>
      <c r="HE60" s="516"/>
      <c r="HF60" s="516"/>
      <c r="HG60" s="516"/>
      <c r="HH60" s="516"/>
      <c r="HI60" s="516"/>
      <c r="HJ60" s="516"/>
      <c r="HK60" s="516"/>
      <c r="HL60" s="516"/>
      <c r="HM60" s="516"/>
      <c r="HN60" s="516"/>
      <c r="HO60" s="516"/>
      <c r="HP60" s="516"/>
      <c r="HQ60" s="516"/>
      <c r="HR60" s="516"/>
      <c r="HS60" s="516"/>
      <c r="HT60" s="516"/>
      <c r="HU60" s="516"/>
      <c r="HV60" s="516"/>
      <c r="HW60" s="516"/>
      <c r="HX60" s="516"/>
      <c r="HY60" s="516"/>
      <c r="HZ60" s="516"/>
      <c r="IA60" s="516"/>
      <c r="IB60" s="516"/>
      <c r="IC60" s="516"/>
      <c r="ID60" s="516"/>
      <c r="IE60" s="516"/>
      <c r="IF60" s="516"/>
      <c r="IG60" s="516"/>
      <c r="IH60" s="516"/>
      <c r="II60" s="516"/>
      <c r="IJ60" s="516"/>
      <c r="IK60" s="516"/>
      <c r="IL60" s="516"/>
      <c r="IM60" s="516"/>
      <c r="IN60" s="516"/>
      <c r="IO60" s="516"/>
      <c r="IP60" s="516"/>
      <c r="IQ60" s="516"/>
      <c r="IR60" s="516"/>
      <c r="IS60" s="516"/>
      <c r="IT60" s="516"/>
      <c r="IU60" s="516"/>
      <c r="IV60" s="516"/>
    </row>
    <row r="61" spans="1:256" x14ac:dyDescent="0.25">
      <c r="A61" s="558">
        <v>7</v>
      </c>
      <c r="B61" s="602" t="s">
        <v>401</v>
      </c>
      <c r="C61" s="591"/>
      <c r="D61" s="596"/>
      <c r="E61" s="591"/>
      <c r="F61" s="593">
        <f>D61*$F$54</f>
        <v>0</v>
      </c>
      <c r="G61" s="591"/>
      <c r="H61" s="591"/>
      <c r="I61" s="593">
        <f t="shared" si="1"/>
        <v>0</v>
      </c>
      <c r="J61" s="516"/>
      <c r="K61" s="516"/>
      <c r="L61" s="124"/>
      <c r="M61" s="124"/>
      <c r="N61" s="124"/>
      <c r="O61" s="124"/>
      <c r="P61" s="124"/>
      <c r="Q61" s="124"/>
      <c r="R61" s="516"/>
      <c r="S61" s="600"/>
      <c r="T61" s="516"/>
      <c r="U61" s="601"/>
      <c r="V61" s="516"/>
      <c r="W61" s="516"/>
      <c r="X61" s="516"/>
      <c r="Y61" s="516"/>
      <c r="Z61" s="516"/>
      <c r="AA61" s="516"/>
      <c r="AB61" s="516"/>
      <c r="AC61" s="516"/>
      <c r="AD61" s="516"/>
      <c r="AE61" s="516"/>
      <c r="AF61" s="516"/>
      <c r="AG61" s="516"/>
      <c r="AH61" s="516"/>
      <c r="AI61" s="516"/>
      <c r="AJ61" s="516"/>
      <c r="AK61" s="516"/>
      <c r="AL61" s="516"/>
      <c r="AM61" s="516"/>
      <c r="AN61" s="516"/>
      <c r="AO61" s="516"/>
      <c r="AP61" s="516"/>
      <c r="AQ61" s="516"/>
      <c r="AR61" s="516"/>
      <c r="AS61" s="516"/>
      <c r="AT61" s="516"/>
      <c r="AU61" s="516"/>
      <c r="AV61" s="516"/>
      <c r="AW61" s="516"/>
      <c r="AX61" s="516"/>
      <c r="AY61" s="516"/>
      <c r="AZ61" s="516"/>
      <c r="BA61" s="516"/>
      <c r="BB61" s="516"/>
      <c r="BC61" s="516"/>
      <c r="BD61" s="516"/>
      <c r="BE61" s="516"/>
      <c r="BF61" s="516"/>
      <c r="BG61" s="516"/>
      <c r="BH61" s="516"/>
      <c r="BI61" s="516"/>
      <c r="BJ61" s="516"/>
      <c r="BK61" s="516"/>
      <c r="BL61" s="516"/>
      <c r="BM61" s="516"/>
      <c r="BN61" s="516"/>
      <c r="BO61" s="516"/>
      <c r="BP61" s="516"/>
      <c r="BQ61" s="516"/>
      <c r="BR61" s="516"/>
      <c r="BS61" s="516"/>
      <c r="BT61" s="516"/>
      <c r="BU61" s="516"/>
      <c r="BV61" s="516"/>
      <c r="BW61" s="516"/>
      <c r="BX61" s="516"/>
      <c r="BY61" s="516"/>
      <c r="BZ61" s="516"/>
      <c r="CA61" s="516"/>
      <c r="CB61" s="516"/>
      <c r="CC61" s="516"/>
      <c r="CD61" s="516"/>
      <c r="CE61" s="516"/>
      <c r="CF61" s="516"/>
      <c r="CG61" s="516"/>
      <c r="CH61" s="516"/>
      <c r="CI61" s="516"/>
      <c r="CJ61" s="516"/>
      <c r="CK61" s="516"/>
      <c r="CL61" s="516"/>
      <c r="CM61" s="516"/>
      <c r="CN61" s="516"/>
      <c r="CO61" s="516"/>
      <c r="CP61" s="516"/>
      <c r="CQ61" s="516"/>
      <c r="CR61" s="516"/>
      <c r="CS61" s="516"/>
      <c r="CT61" s="516"/>
      <c r="CU61" s="516"/>
      <c r="CV61" s="516"/>
      <c r="CW61" s="516"/>
      <c r="CX61" s="516"/>
      <c r="CY61" s="516"/>
      <c r="CZ61" s="516"/>
      <c r="DA61" s="516"/>
      <c r="DB61" s="516"/>
      <c r="DC61" s="516"/>
      <c r="DD61" s="516"/>
      <c r="DE61" s="516"/>
      <c r="DF61" s="516"/>
      <c r="DG61" s="516"/>
      <c r="DH61" s="516"/>
      <c r="DI61" s="516"/>
      <c r="DJ61" s="516"/>
      <c r="DK61" s="516"/>
      <c r="DL61" s="516"/>
      <c r="DM61" s="516"/>
      <c r="DN61" s="516"/>
      <c r="DO61" s="516"/>
      <c r="DP61" s="516"/>
      <c r="DQ61" s="516"/>
      <c r="DR61" s="516"/>
      <c r="DS61" s="516"/>
      <c r="DT61" s="516"/>
      <c r="DU61" s="516"/>
      <c r="DV61" s="516"/>
      <c r="DW61" s="516"/>
      <c r="DX61" s="516"/>
      <c r="DY61" s="516"/>
      <c r="DZ61" s="516"/>
      <c r="EA61" s="516"/>
      <c r="EB61" s="516"/>
      <c r="EC61" s="516"/>
      <c r="ED61" s="516"/>
      <c r="EE61" s="516"/>
      <c r="EF61" s="516"/>
      <c r="EG61" s="516"/>
      <c r="EH61" s="516"/>
      <c r="EI61" s="516"/>
      <c r="EJ61" s="516"/>
      <c r="EK61" s="516"/>
      <c r="EL61" s="516"/>
      <c r="EM61" s="516"/>
      <c r="EN61" s="516"/>
      <c r="EO61" s="516"/>
      <c r="EP61" s="516"/>
      <c r="EQ61" s="516"/>
      <c r="ER61" s="516"/>
      <c r="ES61" s="516"/>
      <c r="ET61" s="516"/>
      <c r="EU61" s="516"/>
      <c r="EV61" s="516"/>
      <c r="EW61" s="516"/>
      <c r="EX61" s="516"/>
      <c r="EY61" s="516"/>
      <c r="EZ61" s="516"/>
      <c r="FA61" s="516"/>
      <c r="FB61" s="516"/>
      <c r="FC61" s="516"/>
      <c r="FD61" s="516"/>
      <c r="FE61" s="516"/>
      <c r="FF61" s="516"/>
      <c r="FG61" s="516"/>
      <c r="FH61" s="516"/>
      <c r="FI61" s="516"/>
      <c r="FJ61" s="516"/>
      <c r="FK61" s="516"/>
      <c r="FL61" s="516"/>
      <c r="FM61" s="516"/>
      <c r="FN61" s="516"/>
      <c r="FO61" s="516"/>
      <c r="FP61" s="516"/>
      <c r="FQ61" s="516"/>
      <c r="FR61" s="516"/>
      <c r="FS61" s="516"/>
      <c r="FT61" s="516"/>
      <c r="FU61" s="516"/>
      <c r="FV61" s="516"/>
      <c r="FW61" s="516"/>
      <c r="FX61" s="516"/>
      <c r="FY61" s="516"/>
      <c r="FZ61" s="516"/>
      <c r="GA61" s="516"/>
      <c r="GB61" s="516"/>
      <c r="GC61" s="516"/>
      <c r="GD61" s="516"/>
      <c r="GE61" s="516"/>
      <c r="GF61" s="516"/>
      <c r="GG61" s="516"/>
      <c r="GH61" s="516"/>
      <c r="GI61" s="516"/>
      <c r="GJ61" s="516"/>
      <c r="GK61" s="516"/>
      <c r="GL61" s="516"/>
      <c r="GM61" s="516"/>
      <c r="GN61" s="516"/>
      <c r="GO61" s="516"/>
      <c r="GP61" s="516"/>
      <c r="GQ61" s="516"/>
      <c r="GR61" s="516"/>
      <c r="GS61" s="516"/>
      <c r="GT61" s="516"/>
      <c r="GU61" s="516"/>
      <c r="GV61" s="516"/>
      <c r="GW61" s="516"/>
      <c r="GX61" s="516"/>
      <c r="GY61" s="516"/>
      <c r="GZ61" s="516"/>
      <c r="HA61" s="516"/>
      <c r="HB61" s="516"/>
      <c r="HC61" s="516"/>
      <c r="HD61" s="516"/>
      <c r="HE61" s="516"/>
      <c r="HF61" s="516"/>
      <c r="HG61" s="516"/>
      <c r="HH61" s="516"/>
      <c r="HI61" s="516"/>
      <c r="HJ61" s="516"/>
      <c r="HK61" s="516"/>
      <c r="HL61" s="516"/>
      <c r="HM61" s="516"/>
      <c r="HN61" s="516"/>
      <c r="HO61" s="516"/>
      <c r="HP61" s="516"/>
      <c r="HQ61" s="516"/>
      <c r="HR61" s="516"/>
      <c r="HS61" s="516"/>
      <c r="HT61" s="516"/>
      <c r="HU61" s="516"/>
      <c r="HV61" s="516"/>
      <c r="HW61" s="516"/>
      <c r="HX61" s="516"/>
      <c r="HY61" s="516"/>
      <c r="HZ61" s="516"/>
      <c r="IA61" s="516"/>
      <c r="IB61" s="516"/>
      <c r="IC61" s="516"/>
      <c r="ID61" s="516"/>
      <c r="IE61" s="516"/>
      <c r="IF61" s="516"/>
      <c r="IG61" s="516"/>
      <c r="IH61" s="516"/>
      <c r="II61" s="516"/>
      <c r="IJ61" s="516"/>
      <c r="IK61" s="516"/>
      <c r="IL61" s="516"/>
      <c r="IM61" s="516"/>
      <c r="IN61" s="516"/>
      <c r="IO61" s="516"/>
      <c r="IP61" s="516"/>
      <c r="IQ61" s="516"/>
      <c r="IR61" s="516"/>
      <c r="IS61" s="516"/>
      <c r="IT61" s="516"/>
      <c r="IU61" s="516"/>
      <c r="IV61" s="516"/>
    </row>
    <row r="62" spans="1:256" ht="30" x14ac:dyDescent="0.25">
      <c r="A62" s="558"/>
      <c r="B62" s="603" t="s">
        <v>402</v>
      </c>
      <c r="C62" s="591"/>
      <c r="D62" s="569" t="e">
        <f>#REF!</f>
        <v>#REF!</v>
      </c>
      <c r="E62" s="591"/>
      <c r="F62" s="593" t="e">
        <f t="shared" ref="F62:F67" si="2">D62*$F$54</f>
        <v>#REF!</v>
      </c>
      <c r="G62" s="591"/>
      <c r="H62" s="591"/>
      <c r="I62" s="593" t="e">
        <f t="shared" si="1"/>
        <v>#REF!</v>
      </c>
      <c r="J62" s="516"/>
      <c r="K62" s="516"/>
      <c r="L62" s="124"/>
      <c r="M62" s="124"/>
      <c r="N62" s="124"/>
      <c r="O62" s="124"/>
      <c r="P62" s="124"/>
      <c r="Q62" s="124"/>
      <c r="R62" s="516"/>
      <c r="S62" s="600"/>
      <c r="T62" s="516"/>
      <c r="U62" s="601"/>
      <c r="V62" s="516"/>
      <c r="W62" s="516"/>
      <c r="X62" s="516"/>
      <c r="Y62" s="516"/>
      <c r="Z62" s="516"/>
      <c r="AA62" s="516"/>
      <c r="AB62" s="516"/>
      <c r="AC62" s="516"/>
      <c r="AD62" s="516"/>
      <c r="AE62" s="516"/>
      <c r="AF62" s="516"/>
      <c r="AG62" s="516"/>
      <c r="AH62" s="516"/>
      <c r="AI62" s="516"/>
      <c r="AJ62" s="516"/>
      <c r="AK62" s="516"/>
      <c r="AL62" s="516"/>
      <c r="AM62" s="516"/>
      <c r="AN62" s="516"/>
      <c r="AO62" s="516"/>
      <c r="AP62" s="516"/>
      <c r="AQ62" s="516"/>
      <c r="AR62" s="516"/>
      <c r="AS62" s="516"/>
      <c r="AT62" s="516"/>
      <c r="AU62" s="516"/>
      <c r="AV62" s="516"/>
      <c r="AW62" s="516"/>
      <c r="AX62" s="516"/>
      <c r="AY62" s="516"/>
      <c r="AZ62" s="516"/>
      <c r="BA62" s="516"/>
      <c r="BB62" s="516"/>
      <c r="BC62" s="516"/>
      <c r="BD62" s="516"/>
      <c r="BE62" s="516"/>
      <c r="BF62" s="516"/>
      <c r="BG62" s="516"/>
      <c r="BH62" s="516"/>
      <c r="BI62" s="516"/>
      <c r="BJ62" s="516"/>
      <c r="BK62" s="516"/>
      <c r="BL62" s="516"/>
      <c r="BM62" s="516"/>
      <c r="BN62" s="516"/>
      <c r="BO62" s="516"/>
      <c r="BP62" s="516"/>
      <c r="BQ62" s="516"/>
      <c r="BR62" s="516"/>
      <c r="BS62" s="516"/>
      <c r="BT62" s="516"/>
      <c r="BU62" s="516"/>
      <c r="BV62" s="516"/>
      <c r="BW62" s="516"/>
      <c r="BX62" s="516"/>
      <c r="BY62" s="516"/>
      <c r="BZ62" s="516"/>
      <c r="CA62" s="516"/>
      <c r="CB62" s="516"/>
      <c r="CC62" s="516"/>
      <c r="CD62" s="516"/>
      <c r="CE62" s="516"/>
      <c r="CF62" s="516"/>
      <c r="CG62" s="516"/>
      <c r="CH62" s="516"/>
      <c r="CI62" s="516"/>
      <c r="CJ62" s="516"/>
      <c r="CK62" s="516"/>
      <c r="CL62" s="516"/>
      <c r="CM62" s="516"/>
      <c r="CN62" s="516"/>
      <c r="CO62" s="516"/>
      <c r="CP62" s="516"/>
      <c r="CQ62" s="516"/>
      <c r="CR62" s="516"/>
      <c r="CS62" s="516"/>
      <c r="CT62" s="516"/>
      <c r="CU62" s="516"/>
      <c r="CV62" s="516"/>
      <c r="CW62" s="516"/>
      <c r="CX62" s="516"/>
      <c r="CY62" s="516"/>
      <c r="CZ62" s="516"/>
      <c r="DA62" s="516"/>
      <c r="DB62" s="516"/>
      <c r="DC62" s="516"/>
      <c r="DD62" s="516"/>
      <c r="DE62" s="516"/>
      <c r="DF62" s="516"/>
      <c r="DG62" s="516"/>
      <c r="DH62" s="516"/>
      <c r="DI62" s="516"/>
      <c r="DJ62" s="516"/>
      <c r="DK62" s="516"/>
      <c r="DL62" s="516"/>
      <c r="DM62" s="516"/>
      <c r="DN62" s="516"/>
      <c r="DO62" s="516"/>
      <c r="DP62" s="516"/>
      <c r="DQ62" s="516"/>
      <c r="DR62" s="516"/>
      <c r="DS62" s="516"/>
      <c r="DT62" s="516"/>
      <c r="DU62" s="516"/>
      <c r="DV62" s="516"/>
      <c r="DW62" s="516"/>
      <c r="DX62" s="516"/>
      <c r="DY62" s="516"/>
      <c r="DZ62" s="516"/>
      <c r="EA62" s="516"/>
      <c r="EB62" s="516"/>
      <c r="EC62" s="516"/>
      <c r="ED62" s="516"/>
      <c r="EE62" s="516"/>
      <c r="EF62" s="516"/>
      <c r="EG62" s="516"/>
      <c r="EH62" s="516"/>
      <c r="EI62" s="516"/>
      <c r="EJ62" s="516"/>
      <c r="EK62" s="516"/>
      <c r="EL62" s="516"/>
      <c r="EM62" s="516"/>
      <c r="EN62" s="516"/>
      <c r="EO62" s="516"/>
      <c r="EP62" s="516"/>
      <c r="EQ62" s="516"/>
      <c r="ER62" s="516"/>
      <c r="ES62" s="516"/>
      <c r="ET62" s="516"/>
      <c r="EU62" s="516"/>
      <c r="EV62" s="516"/>
      <c r="EW62" s="516"/>
      <c r="EX62" s="516"/>
      <c r="EY62" s="516"/>
      <c r="EZ62" s="516"/>
      <c r="FA62" s="516"/>
      <c r="FB62" s="516"/>
      <c r="FC62" s="516"/>
      <c r="FD62" s="516"/>
      <c r="FE62" s="516"/>
      <c r="FF62" s="516"/>
      <c r="FG62" s="516"/>
      <c r="FH62" s="516"/>
      <c r="FI62" s="516"/>
      <c r="FJ62" s="516"/>
      <c r="FK62" s="516"/>
      <c r="FL62" s="516"/>
      <c r="FM62" s="516"/>
      <c r="FN62" s="516"/>
      <c r="FO62" s="516"/>
      <c r="FP62" s="516"/>
      <c r="FQ62" s="516"/>
      <c r="FR62" s="516"/>
      <c r="FS62" s="516"/>
      <c r="FT62" s="516"/>
      <c r="FU62" s="516"/>
      <c r="FV62" s="516"/>
      <c r="FW62" s="516"/>
      <c r="FX62" s="516"/>
      <c r="FY62" s="516"/>
      <c r="FZ62" s="516"/>
      <c r="GA62" s="516"/>
      <c r="GB62" s="516"/>
      <c r="GC62" s="516"/>
      <c r="GD62" s="516"/>
      <c r="GE62" s="516"/>
      <c r="GF62" s="516"/>
      <c r="GG62" s="516"/>
      <c r="GH62" s="516"/>
      <c r="GI62" s="516"/>
      <c r="GJ62" s="516"/>
      <c r="GK62" s="516"/>
      <c r="GL62" s="516"/>
      <c r="GM62" s="516"/>
      <c r="GN62" s="516"/>
      <c r="GO62" s="516"/>
      <c r="GP62" s="516"/>
      <c r="GQ62" s="516"/>
      <c r="GR62" s="516"/>
      <c r="GS62" s="516"/>
      <c r="GT62" s="516"/>
      <c r="GU62" s="516"/>
      <c r="GV62" s="516"/>
      <c r="GW62" s="516"/>
      <c r="GX62" s="516"/>
      <c r="GY62" s="516"/>
      <c r="GZ62" s="516"/>
      <c r="HA62" s="516"/>
      <c r="HB62" s="516"/>
      <c r="HC62" s="516"/>
      <c r="HD62" s="516"/>
      <c r="HE62" s="516"/>
      <c r="HF62" s="516"/>
      <c r="HG62" s="516"/>
      <c r="HH62" s="516"/>
      <c r="HI62" s="516"/>
      <c r="HJ62" s="516"/>
      <c r="HK62" s="516"/>
      <c r="HL62" s="516"/>
      <c r="HM62" s="516"/>
      <c r="HN62" s="516"/>
      <c r="HO62" s="516"/>
      <c r="HP62" s="516"/>
      <c r="HQ62" s="516"/>
      <c r="HR62" s="516"/>
      <c r="HS62" s="516"/>
      <c r="HT62" s="516"/>
      <c r="HU62" s="516"/>
      <c r="HV62" s="516"/>
      <c r="HW62" s="516"/>
      <c r="HX62" s="516"/>
      <c r="HY62" s="516"/>
      <c r="HZ62" s="516"/>
      <c r="IA62" s="516"/>
      <c r="IB62" s="516"/>
      <c r="IC62" s="516"/>
      <c r="ID62" s="516"/>
      <c r="IE62" s="516"/>
      <c r="IF62" s="516"/>
      <c r="IG62" s="516"/>
      <c r="IH62" s="516"/>
      <c r="II62" s="516"/>
      <c r="IJ62" s="516"/>
      <c r="IK62" s="516"/>
      <c r="IL62" s="516"/>
      <c r="IM62" s="516"/>
      <c r="IN62" s="516"/>
      <c r="IO62" s="516"/>
      <c r="IP62" s="516"/>
      <c r="IQ62" s="516"/>
      <c r="IR62" s="516"/>
      <c r="IS62" s="516"/>
      <c r="IT62" s="516"/>
      <c r="IU62" s="516"/>
      <c r="IV62" s="516"/>
    </row>
    <row r="63" spans="1:256" ht="15.75" x14ac:dyDescent="0.25">
      <c r="A63" s="558">
        <v>8</v>
      </c>
      <c r="B63" s="604" t="s">
        <v>221</v>
      </c>
      <c r="C63" s="591"/>
      <c r="D63" s="609" t="e">
        <f>C56*1.07*C47+D56*C48</f>
        <v>#REF!</v>
      </c>
      <c r="E63" s="605"/>
      <c r="F63" s="593" t="e">
        <f t="shared" si="2"/>
        <v>#REF!</v>
      </c>
      <c r="G63" s="605"/>
      <c r="H63" s="605"/>
      <c r="I63" s="593" t="e">
        <f t="shared" si="1"/>
        <v>#REF!</v>
      </c>
      <c r="J63" s="516"/>
      <c r="K63" s="516"/>
      <c r="L63" s="124"/>
      <c r="M63" s="124"/>
      <c r="N63" s="124"/>
      <c r="O63" s="124"/>
      <c r="P63" s="124"/>
      <c r="Q63" s="124"/>
      <c r="R63" s="516"/>
      <c r="S63" s="606"/>
      <c r="T63" s="516"/>
      <c r="U63" s="516"/>
      <c r="V63" s="516"/>
      <c r="W63" s="516"/>
      <c r="X63" s="516"/>
      <c r="Y63" s="516"/>
      <c r="Z63" s="516"/>
      <c r="AA63" s="516"/>
      <c r="AB63" s="516"/>
      <c r="AC63" s="516"/>
      <c r="AD63" s="516"/>
      <c r="AE63" s="516"/>
      <c r="AF63" s="516"/>
      <c r="AG63" s="516"/>
      <c r="AH63" s="516"/>
      <c r="AI63" s="516"/>
      <c r="AJ63" s="516"/>
      <c r="AK63" s="516"/>
      <c r="AL63" s="516"/>
      <c r="AM63" s="516"/>
      <c r="AN63" s="516"/>
      <c r="AO63" s="516"/>
      <c r="AP63" s="516"/>
      <c r="AQ63" s="516"/>
      <c r="AR63" s="516"/>
      <c r="AS63" s="516"/>
      <c r="AT63" s="516"/>
      <c r="AU63" s="516"/>
      <c r="AV63" s="516"/>
      <c r="AW63" s="516"/>
      <c r="AX63" s="516"/>
      <c r="AY63" s="516"/>
      <c r="AZ63" s="516"/>
      <c r="BA63" s="516"/>
      <c r="BB63" s="516"/>
      <c r="BC63" s="516"/>
      <c r="BD63" s="516"/>
      <c r="BE63" s="516"/>
      <c r="BF63" s="516"/>
      <c r="BG63" s="516"/>
      <c r="BH63" s="516"/>
      <c r="BI63" s="516"/>
      <c r="BJ63" s="516"/>
      <c r="BK63" s="516"/>
      <c r="BL63" s="516"/>
      <c r="BM63" s="516"/>
      <c r="BN63" s="516"/>
      <c r="BO63" s="516"/>
      <c r="BP63" s="516"/>
      <c r="BQ63" s="516"/>
      <c r="BR63" s="516"/>
      <c r="BS63" s="516"/>
      <c r="BT63" s="516"/>
      <c r="BU63" s="516"/>
      <c r="BV63" s="516"/>
      <c r="BW63" s="516"/>
      <c r="BX63" s="516"/>
      <c r="BY63" s="516"/>
      <c r="BZ63" s="516"/>
      <c r="CA63" s="516"/>
      <c r="CB63" s="516"/>
      <c r="CC63" s="516"/>
      <c r="CD63" s="516"/>
      <c r="CE63" s="516"/>
      <c r="CF63" s="516"/>
      <c r="CG63" s="516"/>
      <c r="CH63" s="516"/>
      <c r="CI63" s="516"/>
      <c r="CJ63" s="516"/>
      <c r="CK63" s="516"/>
      <c r="CL63" s="516"/>
      <c r="CM63" s="516"/>
      <c r="CN63" s="516"/>
      <c r="CO63" s="516"/>
      <c r="CP63" s="516"/>
      <c r="CQ63" s="516"/>
      <c r="CR63" s="516"/>
      <c r="CS63" s="516"/>
      <c r="CT63" s="516"/>
      <c r="CU63" s="516"/>
      <c r="CV63" s="516"/>
      <c r="CW63" s="516"/>
      <c r="CX63" s="516"/>
      <c r="CY63" s="516"/>
      <c r="CZ63" s="516"/>
      <c r="DA63" s="516"/>
      <c r="DB63" s="516"/>
      <c r="DC63" s="516"/>
      <c r="DD63" s="516"/>
      <c r="DE63" s="516"/>
      <c r="DF63" s="516"/>
      <c r="DG63" s="516"/>
      <c r="DH63" s="516"/>
      <c r="DI63" s="516"/>
      <c r="DJ63" s="516"/>
      <c r="DK63" s="516"/>
      <c r="DL63" s="516"/>
      <c r="DM63" s="516"/>
      <c r="DN63" s="516"/>
      <c r="DO63" s="516"/>
      <c r="DP63" s="516"/>
      <c r="DQ63" s="516"/>
      <c r="DR63" s="516"/>
      <c r="DS63" s="516"/>
      <c r="DT63" s="516"/>
      <c r="DU63" s="516"/>
      <c r="DV63" s="516"/>
      <c r="DW63" s="516"/>
      <c r="DX63" s="516"/>
      <c r="DY63" s="516"/>
      <c r="DZ63" s="516"/>
      <c r="EA63" s="516"/>
      <c r="EB63" s="516"/>
      <c r="EC63" s="516"/>
      <c r="ED63" s="516"/>
      <c r="EE63" s="516"/>
      <c r="EF63" s="516"/>
      <c r="EG63" s="516"/>
      <c r="EH63" s="516"/>
      <c r="EI63" s="516"/>
      <c r="EJ63" s="516"/>
      <c r="EK63" s="516"/>
      <c r="EL63" s="516"/>
      <c r="EM63" s="516"/>
      <c r="EN63" s="516"/>
      <c r="EO63" s="516"/>
      <c r="EP63" s="516"/>
      <c r="EQ63" s="516"/>
      <c r="ER63" s="516"/>
      <c r="ES63" s="516"/>
      <c r="ET63" s="516"/>
      <c r="EU63" s="516"/>
      <c r="EV63" s="516"/>
      <c r="EW63" s="516"/>
      <c r="EX63" s="516"/>
      <c r="EY63" s="516"/>
      <c r="EZ63" s="516"/>
      <c r="FA63" s="516"/>
      <c r="FB63" s="516"/>
      <c r="FC63" s="516"/>
      <c r="FD63" s="516"/>
      <c r="FE63" s="516"/>
      <c r="FF63" s="516"/>
      <c r="FG63" s="516"/>
      <c r="FH63" s="516"/>
      <c r="FI63" s="516"/>
      <c r="FJ63" s="516"/>
      <c r="FK63" s="516"/>
      <c r="FL63" s="516"/>
      <c r="FM63" s="516"/>
      <c r="FN63" s="516"/>
      <c r="FO63" s="516"/>
      <c r="FP63" s="516"/>
      <c r="FQ63" s="516"/>
      <c r="FR63" s="516"/>
      <c r="FS63" s="516"/>
      <c r="FT63" s="516"/>
      <c r="FU63" s="516"/>
      <c r="FV63" s="516"/>
      <c r="FW63" s="516"/>
      <c r="FX63" s="516"/>
      <c r="FY63" s="516"/>
      <c r="FZ63" s="516"/>
      <c r="GA63" s="516"/>
      <c r="GB63" s="516"/>
      <c r="GC63" s="516"/>
      <c r="GD63" s="516"/>
      <c r="GE63" s="516"/>
      <c r="GF63" s="516"/>
      <c r="GG63" s="516"/>
      <c r="GH63" s="516"/>
      <c r="GI63" s="516"/>
      <c r="GJ63" s="516"/>
      <c r="GK63" s="516"/>
      <c r="GL63" s="516"/>
      <c r="GM63" s="516"/>
      <c r="GN63" s="516"/>
      <c r="GO63" s="516"/>
      <c r="GP63" s="516"/>
      <c r="GQ63" s="516"/>
      <c r="GR63" s="516"/>
      <c r="GS63" s="516"/>
      <c r="GT63" s="516"/>
      <c r="GU63" s="516"/>
      <c r="GV63" s="516"/>
      <c r="GW63" s="516"/>
      <c r="GX63" s="516"/>
      <c r="GY63" s="516"/>
      <c r="GZ63" s="516"/>
      <c r="HA63" s="516"/>
      <c r="HB63" s="516"/>
      <c r="HC63" s="516"/>
      <c r="HD63" s="516"/>
      <c r="HE63" s="516"/>
      <c r="HF63" s="516"/>
      <c r="HG63" s="516"/>
      <c r="HH63" s="516"/>
      <c r="HI63" s="516"/>
      <c r="HJ63" s="516"/>
      <c r="HK63" s="516"/>
      <c r="HL63" s="516"/>
      <c r="HM63" s="516"/>
      <c r="HN63" s="516"/>
      <c r="HO63" s="516"/>
      <c r="HP63" s="516"/>
      <c r="HQ63" s="516"/>
      <c r="HR63" s="516"/>
      <c r="HS63" s="516"/>
      <c r="HT63" s="516"/>
      <c r="HU63" s="516"/>
      <c r="HV63" s="516"/>
      <c r="HW63" s="516"/>
      <c r="HX63" s="516"/>
      <c r="HY63" s="516"/>
      <c r="HZ63" s="516"/>
      <c r="IA63" s="516"/>
      <c r="IB63" s="516"/>
      <c r="IC63" s="516"/>
      <c r="ID63" s="516"/>
      <c r="IE63" s="516"/>
      <c r="IF63" s="516"/>
      <c r="IG63" s="516"/>
      <c r="IH63" s="516"/>
      <c r="II63" s="516"/>
      <c r="IJ63" s="516"/>
      <c r="IK63" s="516"/>
      <c r="IL63" s="516"/>
      <c r="IM63" s="516"/>
      <c r="IN63" s="516"/>
      <c r="IO63" s="516"/>
      <c r="IP63" s="516"/>
      <c r="IQ63" s="516"/>
      <c r="IR63" s="516"/>
      <c r="IS63" s="516"/>
      <c r="IT63" s="516"/>
      <c r="IU63" s="516"/>
      <c r="IV63" s="516"/>
    </row>
    <row r="64" spans="1:256" ht="15.75" x14ac:dyDescent="0.25">
      <c r="A64" s="558"/>
      <c r="B64" s="604" t="s">
        <v>222</v>
      </c>
      <c r="C64" s="591"/>
      <c r="D64" s="609" t="e">
        <f>C58*1.07*C49+D58*C49</f>
        <v>#REF!</v>
      </c>
      <c r="E64" s="605"/>
      <c r="F64" s="593" t="e">
        <f t="shared" si="2"/>
        <v>#REF!</v>
      </c>
      <c r="G64" s="605"/>
      <c r="H64" s="605"/>
      <c r="I64" s="593" t="e">
        <f t="shared" si="1"/>
        <v>#REF!</v>
      </c>
      <c r="J64" s="516"/>
      <c r="K64" s="516"/>
      <c r="L64" s="124"/>
      <c r="M64" s="124"/>
      <c r="N64" s="124"/>
      <c r="O64" s="124"/>
      <c r="P64" s="124"/>
      <c r="Q64" s="124"/>
      <c r="R64" s="516"/>
      <c r="S64" s="606"/>
      <c r="T64" s="516"/>
      <c r="U64" s="516"/>
      <c r="V64" s="516"/>
      <c r="W64" s="516"/>
      <c r="X64" s="516"/>
      <c r="Y64" s="516"/>
      <c r="Z64" s="516"/>
      <c r="AA64" s="516"/>
      <c r="AB64" s="516"/>
      <c r="AC64" s="516"/>
      <c r="AD64" s="516"/>
      <c r="AE64" s="516"/>
      <c r="AF64" s="516"/>
      <c r="AG64" s="516"/>
      <c r="AH64" s="516"/>
      <c r="AI64" s="516"/>
      <c r="AJ64" s="516"/>
      <c r="AK64" s="516"/>
      <c r="AL64" s="516"/>
      <c r="AM64" s="516"/>
      <c r="AN64" s="516"/>
      <c r="AO64" s="516"/>
      <c r="AP64" s="516"/>
      <c r="AQ64" s="516"/>
      <c r="AR64" s="516"/>
      <c r="AS64" s="516"/>
      <c r="AT64" s="516"/>
      <c r="AU64" s="516"/>
      <c r="AV64" s="516"/>
      <c r="AW64" s="516"/>
      <c r="AX64" s="516"/>
      <c r="AY64" s="516"/>
      <c r="AZ64" s="516"/>
      <c r="BA64" s="516"/>
      <c r="BB64" s="516"/>
      <c r="BC64" s="516"/>
      <c r="BD64" s="516"/>
      <c r="BE64" s="516"/>
      <c r="BF64" s="516"/>
      <c r="BG64" s="516"/>
      <c r="BH64" s="516"/>
      <c r="BI64" s="516"/>
      <c r="BJ64" s="516"/>
      <c r="BK64" s="516"/>
      <c r="BL64" s="516"/>
      <c r="BM64" s="516"/>
      <c r="BN64" s="516"/>
      <c r="BO64" s="516"/>
      <c r="BP64" s="516"/>
      <c r="BQ64" s="516"/>
      <c r="BR64" s="516"/>
      <c r="BS64" s="516"/>
      <c r="BT64" s="516"/>
      <c r="BU64" s="516"/>
      <c r="BV64" s="516"/>
      <c r="BW64" s="516"/>
      <c r="BX64" s="516"/>
      <c r="BY64" s="516"/>
      <c r="BZ64" s="516"/>
      <c r="CA64" s="516"/>
      <c r="CB64" s="516"/>
      <c r="CC64" s="516"/>
      <c r="CD64" s="516"/>
      <c r="CE64" s="516"/>
      <c r="CF64" s="516"/>
      <c r="CG64" s="516"/>
      <c r="CH64" s="516"/>
      <c r="CI64" s="516"/>
      <c r="CJ64" s="516"/>
      <c r="CK64" s="516"/>
      <c r="CL64" s="516"/>
      <c r="CM64" s="516"/>
      <c r="CN64" s="516"/>
      <c r="CO64" s="516"/>
      <c r="CP64" s="516"/>
      <c r="CQ64" s="516"/>
      <c r="CR64" s="516"/>
      <c r="CS64" s="516"/>
      <c r="CT64" s="516"/>
      <c r="CU64" s="516"/>
      <c r="CV64" s="516"/>
      <c r="CW64" s="516"/>
      <c r="CX64" s="516"/>
      <c r="CY64" s="516"/>
      <c r="CZ64" s="516"/>
      <c r="DA64" s="516"/>
      <c r="DB64" s="516"/>
      <c r="DC64" s="516"/>
      <c r="DD64" s="516"/>
      <c r="DE64" s="516"/>
      <c r="DF64" s="516"/>
      <c r="DG64" s="516"/>
      <c r="DH64" s="516"/>
      <c r="DI64" s="516"/>
      <c r="DJ64" s="516"/>
      <c r="DK64" s="516"/>
      <c r="DL64" s="516"/>
      <c r="DM64" s="516"/>
      <c r="DN64" s="516"/>
      <c r="DO64" s="516"/>
      <c r="DP64" s="516"/>
      <c r="DQ64" s="516"/>
      <c r="DR64" s="516"/>
      <c r="DS64" s="516"/>
      <c r="DT64" s="516"/>
      <c r="DU64" s="516"/>
      <c r="DV64" s="516"/>
      <c r="DW64" s="516"/>
      <c r="DX64" s="516"/>
      <c r="DY64" s="516"/>
      <c r="DZ64" s="516"/>
      <c r="EA64" s="516"/>
      <c r="EB64" s="516"/>
      <c r="EC64" s="516"/>
      <c r="ED64" s="516"/>
      <c r="EE64" s="516"/>
      <c r="EF64" s="516"/>
      <c r="EG64" s="516"/>
      <c r="EH64" s="516"/>
      <c r="EI64" s="516"/>
      <c r="EJ64" s="516"/>
      <c r="EK64" s="516"/>
      <c r="EL64" s="516"/>
      <c r="EM64" s="516"/>
      <c r="EN64" s="516"/>
      <c r="EO64" s="516"/>
      <c r="EP64" s="516"/>
      <c r="EQ64" s="516"/>
      <c r="ER64" s="516"/>
      <c r="ES64" s="516"/>
      <c r="ET64" s="516"/>
      <c r="EU64" s="516"/>
      <c r="EV64" s="516"/>
      <c r="EW64" s="516"/>
      <c r="EX64" s="516"/>
      <c r="EY64" s="516"/>
      <c r="EZ64" s="516"/>
      <c r="FA64" s="516"/>
      <c r="FB64" s="516"/>
      <c r="FC64" s="516"/>
      <c r="FD64" s="516"/>
      <c r="FE64" s="516"/>
      <c r="FF64" s="516"/>
      <c r="FG64" s="516"/>
      <c r="FH64" s="516"/>
      <c r="FI64" s="516"/>
      <c r="FJ64" s="516"/>
      <c r="FK64" s="516"/>
      <c r="FL64" s="516"/>
      <c r="FM64" s="516"/>
      <c r="FN64" s="516"/>
      <c r="FO64" s="516"/>
      <c r="FP64" s="516"/>
      <c r="FQ64" s="516"/>
      <c r="FR64" s="516"/>
      <c r="FS64" s="516"/>
      <c r="FT64" s="516"/>
      <c r="FU64" s="516"/>
      <c r="FV64" s="516"/>
      <c r="FW64" s="516"/>
      <c r="FX64" s="516"/>
      <c r="FY64" s="516"/>
      <c r="FZ64" s="516"/>
      <c r="GA64" s="516"/>
      <c r="GB64" s="516"/>
      <c r="GC64" s="516"/>
      <c r="GD64" s="516"/>
      <c r="GE64" s="516"/>
      <c r="GF64" s="516"/>
      <c r="GG64" s="516"/>
      <c r="GH64" s="516"/>
      <c r="GI64" s="516"/>
      <c r="GJ64" s="516"/>
      <c r="GK64" s="516"/>
      <c r="GL64" s="516"/>
      <c r="GM64" s="516"/>
      <c r="GN64" s="516"/>
      <c r="GO64" s="516"/>
      <c r="GP64" s="516"/>
      <c r="GQ64" s="516"/>
      <c r="GR64" s="516"/>
      <c r="GS64" s="516"/>
      <c r="GT64" s="516"/>
      <c r="GU64" s="516"/>
      <c r="GV64" s="516"/>
      <c r="GW64" s="516"/>
      <c r="GX64" s="516"/>
      <c r="GY64" s="516"/>
      <c r="GZ64" s="516"/>
      <c r="HA64" s="516"/>
      <c r="HB64" s="516"/>
      <c r="HC64" s="516"/>
      <c r="HD64" s="516"/>
      <c r="HE64" s="516"/>
      <c r="HF64" s="516"/>
      <c r="HG64" s="516"/>
      <c r="HH64" s="516"/>
      <c r="HI64" s="516"/>
      <c r="HJ64" s="516"/>
      <c r="HK64" s="516"/>
      <c r="HL64" s="516"/>
      <c r="HM64" s="516"/>
      <c r="HN64" s="516"/>
      <c r="HO64" s="516"/>
      <c r="HP64" s="516"/>
      <c r="HQ64" s="516"/>
      <c r="HR64" s="516"/>
      <c r="HS64" s="516"/>
      <c r="HT64" s="516"/>
      <c r="HU64" s="516"/>
      <c r="HV64" s="516"/>
      <c r="HW64" s="516"/>
      <c r="HX64" s="516"/>
      <c r="HY64" s="516"/>
      <c r="HZ64" s="516"/>
      <c r="IA64" s="516"/>
      <c r="IB64" s="516"/>
      <c r="IC64" s="516"/>
      <c r="ID64" s="516"/>
      <c r="IE64" s="516"/>
      <c r="IF64" s="516"/>
      <c r="IG64" s="516"/>
      <c r="IH64" s="516"/>
      <c r="II64" s="516"/>
      <c r="IJ64" s="516"/>
      <c r="IK64" s="516"/>
      <c r="IL64" s="516"/>
      <c r="IM64" s="516"/>
      <c r="IN64" s="516"/>
      <c r="IO64" s="516"/>
      <c r="IP64" s="516"/>
      <c r="IQ64" s="516"/>
      <c r="IR64" s="516"/>
      <c r="IS64" s="516"/>
      <c r="IT64" s="516"/>
      <c r="IU64" s="516"/>
      <c r="IV64" s="516"/>
    </row>
    <row r="65" spans="1:256" ht="15.75" x14ac:dyDescent="0.25">
      <c r="A65" s="558"/>
      <c r="B65" s="604" t="s">
        <v>394</v>
      </c>
      <c r="C65" s="591"/>
      <c r="D65" s="607" t="e">
        <f>(C60*1.07*C50+D60*C50)*0+#REF!</f>
        <v>#REF!</v>
      </c>
      <c r="E65" s="605"/>
      <c r="F65" s="593" t="e">
        <f t="shared" si="2"/>
        <v>#REF!</v>
      </c>
      <c r="G65" s="605"/>
      <c r="H65" s="605"/>
      <c r="I65" s="593" t="e">
        <f t="shared" si="1"/>
        <v>#REF!</v>
      </c>
      <c r="J65" s="516"/>
      <c r="K65" s="516"/>
      <c r="L65" s="124"/>
      <c r="M65" s="124"/>
      <c r="N65" s="124"/>
      <c r="O65" s="124"/>
      <c r="P65" s="124"/>
      <c r="Q65" s="124"/>
      <c r="R65" s="516"/>
      <c r="S65" s="606"/>
      <c r="T65" s="516"/>
      <c r="U65" s="516"/>
      <c r="V65" s="516"/>
      <c r="W65" s="516"/>
      <c r="X65" s="516"/>
      <c r="Y65" s="516"/>
      <c r="Z65" s="516"/>
      <c r="AA65" s="516"/>
      <c r="AB65" s="516"/>
      <c r="AC65" s="516"/>
      <c r="AD65" s="516"/>
      <c r="AE65" s="516"/>
      <c r="AF65" s="516"/>
      <c r="AG65" s="516"/>
      <c r="AH65" s="516"/>
      <c r="AI65" s="516"/>
      <c r="AJ65" s="516"/>
      <c r="AK65" s="516"/>
      <c r="AL65" s="516"/>
      <c r="AM65" s="516"/>
      <c r="AN65" s="516"/>
      <c r="AO65" s="516"/>
      <c r="AP65" s="516"/>
      <c r="AQ65" s="516"/>
      <c r="AR65" s="516"/>
      <c r="AS65" s="516"/>
      <c r="AT65" s="516"/>
      <c r="AU65" s="516"/>
      <c r="AV65" s="516"/>
      <c r="AW65" s="516"/>
      <c r="AX65" s="516"/>
      <c r="AY65" s="516"/>
      <c r="AZ65" s="516"/>
      <c r="BA65" s="516"/>
      <c r="BB65" s="516"/>
      <c r="BC65" s="516"/>
      <c r="BD65" s="516"/>
      <c r="BE65" s="516"/>
      <c r="BF65" s="516"/>
      <c r="BG65" s="516"/>
      <c r="BH65" s="516"/>
      <c r="BI65" s="516"/>
      <c r="BJ65" s="516"/>
      <c r="BK65" s="516"/>
      <c r="BL65" s="516"/>
      <c r="BM65" s="516"/>
      <c r="BN65" s="516"/>
      <c r="BO65" s="516"/>
      <c r="BP65" s="516"/>
      <c r="BQ65" s="516"/>
      <c r="BR65" s="516"/>
      <c r="BS65" s="516"/>
      <c r="BT65" s="516"/>
      <c r="BU65" s="516"/>
      <c r="BV65" s="516"/>
      <c r="BW65" s="516"/>
      <c r="BX65" s="516"/>
      <c r="BY65" s="516"/>
      <c r="BZ65" s="516"/>
      <c r="CA65" s="516"/>
      <c r="CB65" s="516"/>
      <c r="CC65" s="516"/>
      <c r="CD65" s="516"/>
      <c r="CE65" s="516"/>
      <c r="CF65" s="516"/>
      <c r="CG65" s="516"/>
      <c r="CH65" s="516"/>
      <c r="CI65" s="516"/>
      <c r="CJ65" s="516"/>
      <c r="CK65" s="516"/>
      <c r="CL65" s="516"/>
      <c r="CM65" s="516"/>
      <c r="CN65" s="516"/>
      <c r="CO65" s="516"/>
      <c r="CP65" s="516"/>
      <c r="CQ65" s="516"/>
      <c r="CR65" s="516"/>
      <c r="CS65" s="516"/>
      <c r="CT65" s="516"/>
      <c r="CU65" s="516"/>
      <c r="CV65" s="516"/>
      <c r="CW65" s="516"/>
      <c r="CX65" s="516"/>
      <c r="CY65" s="516"/>
      <c r="CZ65" s="516"/>
      <c r="DA65" s="516"/>
      <c r="DB65" s="516"/>
      <c r="DC65" s="516"/>
      <c r="DD65" s="516"/>
      <c r="DE65" s="516"/>
      <c r="DF65" s="516"/>
      <c r="DG65" s="516"/>
      <c r="DH65" s="516"/>
      <c r="DI65" s="516"/>
      <c r="DJ65" s="516"/>
      <c r="DK65" s="516"/>
      <c r="DL65" s="516"/>
      <c r="DM65" s="516"/>
      <c r="DN65" s="516"/>
      <c r="DO65" s="516"/>
      <c r="DP65" s="516"/>
      <c r="DQ65" s="516"/>
      <c r="DR65" s="516"/>
      <c r="DS65" s="516"/>
      <c r="DT65" s="516"/>
      <c r="DU65" s="516"/>
      <c r="DV65" s="516"/>
      <c r="DW65" s="516"/>
      <c r="DX65" s="516"/>
      <c r="DY65" s="516"/>
      <c r="DZ65" s="516"/>
      <c r="EA65" s="516"/>
      <c r="EB65" s="516"/>
      <c r="EC65" s="516"/>
      <c r="ED65" s="516"/>
      <c r="EE65" s="516"/>
      <c r="EF65" s="516"/>
      <c r="EG65" s="516"/>
      <c r="EH65" s="516"/>
      <c r="EI65" s="516"/>
      <c r="EJ65" s="516"/>
      <c r="EK65" s="516"/>
      <c r="EL65" s="516"/>
      <c r="EM65" s="516"/>
      <c r="EN65" s="516"/>
      <c r="EO65" s="516"/>
      <c r="EP65" s="516"/>
      <c r="EQ65" s="516"/>
      <c r="ER65" s="516"/>
      <c r="ES65" s="516"/>
      <c r="ET65" s="516"/>
      <c r="EU65" s="516"/>
      <c r="EV65" s="516"/>
      <c r="EW65" s="516"/>
      <c r="EX65" s="516"/>
      <c r="EY65" s="516"/>
      <c r="EZ65" s="516"/>
      <c r="FA65" s="516"/>
      <c r="FB65" s="516"/>
      <c r="FC65" s="516"/>
      <c r="FD65" s="516"/>
      <c r="FE65" s="516"/>
      <c r="FF65" s="516"/>
      <c r="FG65" s="516"/>
      <c r="FH65" s="516"/>
      <c r="FI65" s="516"/>
      <c r="FJ65" s="516"/>
      <c r="FK65" s="516"/>
      <c r="FL65" s="516"/>
      <c r="FM65" s="516"/>
      <c r="FN65" s="516"/>
      <c r="FO65" s="516"/>
      <c r="FP65" s="516"/>
      <c r="FQ65" s="516"/>
      <c r="FR65" s="516"/>
      <c r="FS65" s="516"/>
      <c r="FT65" s="516"/>
      <c r="FU65" s="516"/>
      <c r="FV65" s="516"/>
      <c r="FW65" s="516"/>
      <c r="FX65" s="516"/>
      <c r="FY65" s="516"/>
      <c r="FZ65" s="516"/>
      <c r="GA65" s="516"/>
      <c r="GB65" s="516"/>
      <c r="GC65" s="516"/>
      <c r="GD65" s="516"/>
      <c r="GE65" s="516"/>
      <c r="GF65" s="516"/>
      <c r="GG65" s="516"/>
      <c r="GH65" s="516"/>
      <c r="GI65" s="516"/>
      <c r="GJ65" s="516"/>
      <c r="GK65" s="516"/>
      <c r="GL65" s="516"/>
      <c r="GM65" s="516"/>
      <c r="GN65" s="516"/>
      <c r="GO65" s="516"/>
      <c r="GP65" s="516"/>
      <c r="GQ65" s="516"/>
      <c r="GR65" s="516"/>
      <c r="GS65" s="516"/>
      <c r="GT65" s="516"/>
      <c r="GU65" s="516"/>
      <c r="GV65" s="516"/>
      <c r="GW65" s="516"/>
      <c r="GX65" s="516"/>
      <c r="GY65" s="516"/>
      <c r="GZ65" s="516"/>
      <c r="HA65" s="516"/>
      <c r="HB65" s="516"/>
      <c r="HC65" s="516"/>
      <c r="HD65" s="516"/>
      <c r="HE65" s="516"/>
      <c r="HF65" s="516"/>
      <c r="HG65" s="516"/>
      <c r="HH65" s="516"/>
      <c r="HI65" s="516"/>
      <c r="HJ65" s="516"/>
      <c r="HK65" s="516"/>
      <c r="HL65" s="516"/>
      <c r="HM65" s="516"/>
      <c r="HN65" s="516"/>
      <c r="HO65" s="516"/>
      <c r="HP65" s="516"/>
      <c r="HQ65" s="516"/>
      <c r="HR65" s="516"/>
      <c r="HS65" s="516"/>
      <c r="HT65" s="516"/>
      <c r="HU65" s="516"/>
      <c r="HV65" s="516"/>
      <c r="HW65" s="516"/>
      <c r="HX65" s="516"/>
      <c r="HY65" s="516"/>
      <c r="HZ65" s="516"/>
      <c r="IA65" s="516"/>
      <c r="IB65" s="516"/>
      <c r="IC65" s="516"/>
      <c r="ID65" s="516"/>
      <c r="IE65" s="516"/>
      <c r="IF65" s="516"/>
      <c r="IG65" s="516"/>
      <c r="IH65" s="516"/>
      <c r="II65" s="516"/>
      <c r="IJ65" s="516"/>
      <c r="IK65" s="516"/>
      <c r="IL65" s="516"/>
      <c r="IM65" s="516"/>
      <c r="IN65" s="516"/>
      <c r="IO65" s="516"/>
      <c r="IP65" s="516"/>
      <c r="IQ65" s="516"/>
      <c r="IR65" s="516"/>
      <c r="IS65" s="516"/>
      <c r="IT65" s="516"/>
      <c r="IU65" s="516"/>
      <c r="IV65" s="516"/>
    </row>
    <row r="66" spans="1:256" ht="15.75" x14ac:dyDescent="0.25">
      <c r="A66" s="558"/>
      <c r="B66" s="604" t="s">
        <v>24</v>
      </c>
      <c r="C66" s="591"/>
      <c r="D66" s="608" t="e">
        <f>#REF!</f>
        <v>#REF!</v>
      </c>
      <c r="E66" s="605"/>
      <c r="F66" s="593" t="e">
        <f t="shared" si="2"/>
        <v>#REF!</v>
      </c>
      <c r="G66" s="605"/>
      <c r="H66" s="605"/>
      <c r="I66" s="593" t="e">
        <f t="shared" si="1"/>
        <v>#REF!</v>
      </c>
      <c r="J66" s="516"/>
      <c r="K66" s="516"/>
      <c r="L66" s="124"/>
      <c r="M66" s="124"/>
      <c r="N66" s="124"/>
      <c r="O66" s="124"/>
      <c r="P66" s="124"/>
      <c r="Q66" s="124"/>
      <c r="R66" s="516"/>
      <c r="S66" s="606"/>
      <c r="T66" s="516"/>
      <c r="U66" s="516"/>
      <c r="V66" s="516"/>
      <c r="W66" s="516"/>
      <c r="X66" s="516"/>
      <c r="Y66" s="516"/>
      <c r="Z66" s="516"/>
      <c r="AA66" s="516"/>
      <c r="AB66" s="516"/>
      <c r="AC66" s="516"/>
      <c r="AD66" s="516"/>
      <c r="AE66" s="516"/>
      <c r="AF66" s="516"/>
      <c r="AG66" s="516"/>
      <c r="AH66" s="516"/>
      <c r="AI66" s="516"/>
      <c r="AJ66" s="516"/>
      <c r="AK66" s="516"/>
      <c r="AL66" s="516"/>
      <c r="AM66" s="516"/>
      <c r="AN66" s="516"/>
      <c r="AO66" s="516"/>
      <c r="AP66" s="516"/>
      <c r="AQ66" s="516"/>
      <c r="AR66" s="516"/>
      <c r="AS66" s="516"/>
      <c r="AT66" s="516"/>
      <c r="AU66" s="516"/>
      <c r="AV66" s="516"/>
      <c r="AW66" s="516"/>
      <c r="AX66" s="516"/>
      <c r="AY66" s="516"/>
      <c r="AZ66" s="516"/>
      <c r="BA66" s="516"/>
      <c r="BB66" s="516"/>
      <c r="BC66" s="516"/>
      <c r="BD66" s="516"/>
      <c r="BE66" s="516"/>
      <c r="BF66" s="516"/>
      <c r="BG66" s="516"/>
      <c r="BH66" s="516"/>
      <c r="BI66" s="516"/>
      <c r="BJ66" s="516"/>
      <c r="BK66" s="516"/>
      <c r="BL66" s="516"/>
      <c r="BM66" s="516"/>
      <c r="BN66" s="516"/>
      <c r="BO66" s="516"/>
      <c r="BP66" s="516"/>
      <c r="BQ66" s="516"/>
      <c r="BR66" s="516"/>
      <c r="BS66" s="516"/>
      <c r="BT66" s="516"/>
      <c r="BU66" s="516"/>
      <c r="BV66" s="516"/>
      <c r="BW66" s="516"/>
      <c r="BX66" s="516"/>
      <c r="BY66" s="516"/>
      <c r="BZ66" s="516"/>
      <c r="CA66" s="516"/>
      <c r="CB66" s="516"/>
      <c r="CC66" s="516"/>
      <c r="CD66" s="516"/>
      <c r="CE66" s="516"/>
      <c r="CF66" s="516"/>
      <c r="CG66" s="516"/>
      <c r="CH66" s="516"/>
      <c r="CI66" s="516"/>
      <c r="CJ66" s="516"/>
      <c r="CK66" s="516"/>
      <c r="CL66" s="516"/>
      <c r="CM66" s="516"/>
      <c r="CN66" s="516"/>
      <c r="CO66" s="516"/>
      <c r="CP66" s="516"/>
      <c r="CQ66" s="516"/>
      <c r="CR66" s="516"/>
      <c r="CS66" s="516"/>
      <c r="CT66" s="516"/>
      <c r="CU66" s="516"/>
      <c r="CV66" s="516"/>
      <c r="CW66" s="516"/>
      <c r="CX66" s="516"/>
      <c r="CY66" s="516"/>
      <c r="CZ66" s="516"/>
      <c r="DA66" s="516"/>
      <c r="DB66" s="516"/>
      <c r="DC66" s="516"/>
      <c r="DD66" s="516"/>
      <c r="DE66" s="516"/>
      <c r="DF66" s="516"/>
      <c r="DG66" s="516"/>
      <c r="DH66" s="516"/>
      <c r="DI66" s="516"/>
      <c r="DJ66" s="516"/>
      <c r="DK66" s="516"/>
      <c r="DL66" s="516"/>
      <c r="DM66" s="516"/>
      <c r="DN66" s="516"/>
      <c r="DO66" s="516"/>
      <c r="DP66" s="516"/>
      <c r="DQ66" s="516"/>
      <c r="DR66" s="516"/>
      <c r="DS66" s="516"/>
      <c r="DT66" s="516"/>
      <c r="DU66" s="516"/>
      <c r="DV66" s="516"/>
      <c r="DW66" s="516"/>
      <c r="DX66" s="516"/>
      <c r="DY66" s="516"/>
      <c r="DZ66" s="516"/>
      <c r="EA66" s="516"/>
      <c r="EB66" s="516"/>
      <c r="EC66" s="516"/>
      <c r="ED66" s="516"/>
      <c r="EE66" s="516"/>
      <c r="EF66" s="516"/>
      <c r="EG66" s="516"/>
      <c r="EH66" s="516"/>
      <c r="EI66" s="516"/>
      <c r="EJ66" s="516"/>
      <c r="EK66" s="516"/>
      <c r="EL66" s="516"/>
      <c r="EM66" s="516"/>
      <c r="EN66" s="516"/>
      <c r="EO66" s="516"/>
      <c r="EP66" s="516"/>
      <c r="EQ66" s="516"/>
      <c r="ER66" s="516"/>
      <c r="ES66" s="516"/>
      <c r="ET66" s="516"/>
      <c r="EU66" s="516"/>
      <c r="EV66" s="516"/>
      <c r="EW66" s="516"/>
      <c r="EX66" s="516"/>
      <c r="EY66" s="516"/>
      <c r="EZ66" s="516"/>
      <c r="FA66" s="516"/>
      <c r="FB66" s="516"/>
      <c r="FC66" s="516"/>
      <c r="FD66" s="516"/>
      <c r="FE66" s="516"/>
      <c r="FF66" s="516"/>
      <c r="FG66" s="516"/>
      <c r="FH66" s="516"/>
      <c r="FI66" s="516"/>
      <c r="FJ66" s="516"/>
      <c r="FK66" s="516"/>
      <c r="FL66" s="516"/>
      <c r="FM66" s="516"/>
      <c r="FN66" s="516"/>
      <c r="FO66" s="516"/>
      <c r="FP66" s="516"/>
      <c r="FQ66" s="516"/>
      <c r="FR66" s="516"/>
      <c r="FS66" s="516"/>
      <c r="FT66" s="516"/>
      <c r="FU66" s="516"/>
      <c r="FV66" s="516"/>
      <c r="FW66" s="516"/>
      <c r="FX66" s="516"/>
      <c r="FY66" s="516"/>
      <c r="FZ66" s="516"/>
      <c r="GA66" s="516"/>
      <c r="GB66" s="516"/>
      <c r="GC66" s="516"/>
      <c r="GD66" s="516"/>
      <c r="GE66" s="516"/>
      <c r="GF66" s="516"/>
      <c r="GG66" s="516"/>
      <c r="GH66" s="516"/>
      <c r="GI66" s="516"/>
      <c r="GJ66" s="516"/>
      <c r="GK66" s="516"/>
      <c r="GL66" s="516"/>
      <c r="GM66" s="516"/>
      <c r="GN66" s="516"/>
      <c r="GO66" s="516"/>
      <c r="GP66" s="516"/>
      <c r="GQ66" s="516"/>
      <c r="GR66" s="516"/>
      <c r="GS66" s="516"/>
      <c r="GT66" s="516"/>
      <c r="GU66" s="516"/>
      <c r="GV66" s="516"/>
      <c r="GW66" s="516"/>
      <c r="GX66" s="516"/>
      <c r="GY66" s="516"/>
      <c r="GZ66" s="516"/>
      <c r="HA66" s="516"/>
      <c r="HB66" s="516"/>
      <c r="HC66" s="516"/>
      <c r="HD66" s="516"/>
      <c r="HE66" s="516"/>
      <c r="HF66" s="516"/>
      <c r="HG66" s="516"/>
      <c r="HH66" s="516"/>
      <c r="HI66" s="516"/>
      <c r="HJ66" s="516"/>
      <c r="HK66" s="516"/>
      <c r="HL66" s="516"/>
      <c r="HM66" s="516"/>
      <c r="HN66" s="516"/>
      <c r="HO66" s="516"/>
      <c r="HP66" s="516"/>
      <c r="HQ66" s="516"/>
      <c r="HR66" s="516"/>
      <c r="HS66" s="516"/>
      <c r="HT66" s="516"/>
      <c r="HU66" s="516"/>
      <c r="HV66" s="516"/>
      <c r="HW66" s="516"/>
      <c r="HX66" s="516"/>
      <c r="HY66" s="516"/>
      <c r="HZ66" s="516"/>
      <c r="IA66" s="516"/>
      <c r="IB66" s="516"/>
      <c r="IC66" s="516"/>
      <c r="ID66" s="516"/>
      <c r="IE66" s="516"/>
      <c r="IF66" s="516"/>
      <c r="IG66" s="516"/>
      <c r="IH66" s="516"/>
      <c r="II66" s="516"/>
      <c r="IJ66" s="516"/>
      <c r="IK66" s="516"/>
      <c r="IL66" s="516"/>
      <c r="IM66" s="516"/>
      <c r="IN66" s="516"/>
      <c r="IO66" s="516"/>
      <c r="IP66" s="516"/>
      <c r="IQ66" s="516"/>
      <c r="IR66" s="516"/>
      <c r="IS66" s="516"/>
      <c r="IT66" s="516"/>
      <c r="IU66" s="516"/>
      <c r="IV66" s="516"/>
    </row>
    <row r="67" spans="1:256" ht="15.75" x14ac:dyDescent="0.25">
      <c r="A67" s="558"/>
      <c r="B67" s="604" t="s">
        <v>223</v>
      </c>
      <c r="C67" s="591"/>
      <c r="D67" s="608" t="e">
        <f>D59*C49</f>
        <v>#REF!</v>
      </c>
      <c r="E67" s="605"/>
      <c r="F67" s="593" t="e">
        <f t="shared" si="2"/>
        <v>#REF!</v>
      </c>
      <c r="G67" s="605"/>
      <c r="H67" s="605"/>
      <c r="I67" s="593" t="e">
        <f t="shared" si="1"/>
        <v>#REF!</v>
      </c>
      <c r="J67" s="516"/>
      <c r="K67" s="516"/>
      <c r="L67" s="124"/>
      <c r="M67" s="124"/>
      <c r="N67" s="124"/>
      <c r="O67" s="124"/>
      <c r="P67" s="124"/>
      <c r="Q67" s="124"/>
      <c r="R67" s="516"/>
      <c r="S67" s="606"/>
      <c r="T67" s="516"/>
      <c r="U67" s="516"/>
      <c r="V67" s="516"/>
      <c r="W67" s="516"/>
      <c r="X67" s="516"/>
      <c r="Y67" s="516"/>
      <c r="Z67" s="516"/>
      <c r="AA67" s="516"/>
      <c r="AB67" s="516"/>
      <c r="AC67" s="516"/>
      <c r="AD67" s="516"/>
      <c r="AE67" s="516"/>
      <c r="AF67" s="516"/>
      <c r="AG67" s="516"/>
      <c r="AH67" s="516"/>
      <c r="AI67" s="516"/>
      <c r="AJ67" s="516"/>
      <c r="AK67" s="516"/>
      <c r="AL67" s="516"/>
      <c r="AM67" s="516"/>
      <c r="AN67" s="516"/>
      <c r="AO67" s="516"/>
      <c r="AP67" s="516"/>
      <c r="AQ67" s="516"/>
      <c r="AR67" s="516"/>
      <c r="AS67" s="516"/>
      <c r="AT67" s="516"/>
      <c r="AU67" s="516"/>
      <c r="AV67" s="516"/>
      <c r="AW67" s="516"/>
      <c r="AX67" s="516"/>
      <c r="AY67" s="516"/>
      <c r="AZ67" s="516"/>
      <c r="BA67" s="516"/>
      <c r="BB67" s="516"/>
      <c r="BC67" s="516"/>
      <c r="BD67" s="516"/>
      <c r="BE67" s="516"/>
      <c r="BF67" s="516"/>
      <c r="BG67" s="516"/>
      <c r="BH67" s="516"/>
      <c r="BI67" s="516"/>
      <c r="BJ67" s="516"/>
      <c r="BK67" s="516"/>
      <c r="BL67" s="516"/>
      <c r="BM67" s="516"/>
      <c r="BN67" s="516"/>
      <c r="BO67" s="516"/>
      <c r="BP67" s="516"/>
      <c r="BQ67" s="516"/>
      <c r="BR67" s="516"/>
      <c r="BS67" s="516"/>
      <c r="BT67" s="516"/>
      <c r="BU67" s="516"/>
      <c r="BV67" s="516"/>
      <c r="BW67" s="516"/>
      <c r="BX67" s="516"/>
      <c r="BY67" s="516"/>
      <c r="BZ67" s="516"/>
      <c r="CA67" s="516"/>
      <c r="CB67" s="516"/>
      <c r="CC67" s="516"/>
      <c r="CD67" s="516"/>
      <c r="CE67" s="516"/>
      <c r="CF67" s="516"/>
      <c r="CG67" s="516"/>
      <c r="CH67" s="516"/>
      <c r="CI67" s="516"/>
      <c r="CJ67" s="516"/>
      <c r="CK67" s="516"/>
      <c r="CL67" s="516"/>
      <c r="CM67" s="516"/>
      <c r="CN67" s="516"/>
      <c r="CO67" s="516"/>
      <c r="CP67" s="516"/>
      <c r="CQ67" s="516"/>
      <c r="CR67" s="516"/>
      <c r="CS67" s="516"/>
      <c r="CT67" s="516"/>
      <c r="CU67" s="516"/>
      <c r="CV67" s="516"/>
      <c r="CW67" s="516"/>
      <c r="CX67" s="516"/>
      <c r="CY67" s="516"/>
      <c r="CZ67" s="516"/>
      <c r="DA67" s="516"/>
      <c r="DB67" s="516"/>
      <c r="DC67" s="516"/>
      <c r="DD67" s="516"/>
      <c r="DE67" s="516"/>
      <c r="DF67" s="516"/>
      <c r="DG67" s="516"/>
      <c r="DH67" s="516"/>
      <c r="DI67" s="516"/>
      <c r="DJ67" s="516"/>
      <c r="DK67" s="516"/>
      <c r="DL67" s="516"/>
      <c r="DM67" s="516"/>
      <c r="DN67" s="516"/>
      <c r="DO67" s="516"/>
      <c r="DP67" s="516"/>
      <c r="DQ67" s="516"/>
      <c r="DR67" s="516"/>
      <c r="DS67" s="516"/>
      <c r="DT67" s="516"/>
      <c r="DU67" s="516"/>
      <c r="DV67" s="516"/>
      <c r="DW67" s="516"/>
      <c r="DX67" s="516"/>
      <c r="DY67" s="516"/>
      <c r="DZ67" s="516"/>
      <c r="EA67" s="516"/>
      <c r="EB67" s="516"/>
      <c r="EC67" s="516"/>
      <c r="ED67" s="516"/>
      <c r="EE67" s="516"/>
      <c r="EF67" s="516"/>
      <c r="EG67" s="516"/>
      <c r="EH67" s="516"/>
      <c r="EI67" s="516"/>
      <c r="EJ67" s="516"/>
      <c r="EK67" s="516"/>
      <c r="EL67" s="516"/>
      <c r="EM67" s="516"/>
      <c r="EN67" s="516"/>
      <c r="EO67" s="516"/>
      <c r="EP67" s="516"/>
      <c r="EQ67" s="516"/>
      <c r="ER67" s="516"/>
      <c r="ES67" s="516"/>
      <c r="ET67" s="516"/>
      <c r="EU67" s="516"/>
      <c r="EV67" s="516"/>
      <c r="EW67" s="516"/>
      <c r="EX67" s="516"/>
      <c r="EY67" s="516"/>
      <c r="EZ67" s="516"/>
      <c r="FA67" s="516"/>
      <c r="FB67" s="516"/>
      <c r="FC67" s="516"/>
      <c r="FD67" s="516"/>
      <c r="FE67" s="516"/>
      <c r="FF67" s="516"/>
      <c r="FG67" s="516"/>
      <c r="FH67" s="516"/>
      <c r="FI67" s="516"/>
      <c r="FJ67" s="516"/>
      <c r="FK67" s="516"/>
      <c r="FL67" s="516"/>
      <c r="FM67" s="516"/>
      <c r="FN67" s="516"/>
      <c r="FO67" s="516"/>
      <c r="FP67" s="516"/>
      <c r="FQ67" s="516"/>
      <c r="FR67" s="516"/>
      <c r="FS67" s="516"/>
      <c r="FT67" s="516"/>
      <c r="FU67" s="516"/>
      <c r="FV67" s="516"/>
      <c r="FW67" s="516"/>
      <c r="FX67" s="516"/>
      <c r="FY67" s="516"/>
      <c r="FZ67" s="516"/>
      <c r="GA67" s="516"/>
      <c r="GB67" s="516"/>
      <c r="GC67" s="516"/>
      <c r="GD67" s="516"/>
      <c r="GE67" s="516"/>
      <c r="GF67" s="516"/>
      <c r="GG67" s="516"/>
      <c r="GH67" s="516"/>
      <c r="GI67" s="516"/>
      <c r="GJ67" s="516"/>
      <c r="GK67" s="516"/>
      <c r="GL67" s="516"/>
      <c r="GM67" s="516"/>
      <c r="GN67" s="516"/>
      <c r="GO67" s="516"/>
      <c r="GP67" s="516"/>
      <c r="GQ67" s="516"/>
      <c r="GR67" s="516"/>
      <c r="GS67" s="516"/>
      <c r="GT67" s="516"/>
      <c r="GU67" s="516"/>
      <c r="GV67" s="516"/>
      <c r="GW67" s="516"/>
      <c r="GX67" s="516"/>
      <c r="GY67" s="516"/>
      <c r="GZ67" s="516"/>
      <c r="HA67" s="516"/>
      <c r="HB67" s="516"/>
      <c r="HC67" s="516"/>
      <c r="HD67" s="516"/>
      <c r="HE67" s="516"/>
      <c r="HF67" s="516"/>
      <c r="HG67" s="516"/>
      <c r="HH67" s="516"/>
      <c r="HI67" s="516"/>
      <c r="HJ67" s="516"/>
      <c r="HK67" s="516"/>
      <c r="HL67" s="516"/>
      <c r="HM67" s="516"/>
      <c r="HN67" s="516"/>
      <c r="HO67" s="516"/>
      <c r="HP67" s="516"/>
      <c r="HQ67" s="516"/>
      <c r="HR67" s="516"/>
      <c r="HS67" s="516"/>
      <c r="HT67" s="516"/>
      <c r="HU67" s="516"/>
      <c r="HV67" s="516"/>
      <c r="HW67" s="516"/>
      <c r="HX67" s="516"/>
      <c r="HY67" s="516"/>
      <c r="HZ67" s="516"/>
      <c r="IA67" s="516"/>
      <c r="IB67" s="516"/>
      <c r="IC67" s="516"/>
      <c r="ID67" s="516"/>
      <c r="IE67" s="516"/>
      <c r="IF67" s="516"/>
      <c r="IG67" s="516"/>
      <c r="IH67" s="516"/>
      <c r="II67" s="516"/>
      <c r="IJ67" s="516"/>
      <c r="IK67" s="516"/>
      <c r="IL67" s="516"/>
      <c r="IM67" s="516"/>
      <c r="IN67" s="516"/>
      <c r="IO67" s="516"/>
      <c r="IP67" s="516"/>
      <c r="IQ67" s="516"/>
      <c r="IR67" s="516"/>
      <c r="IS67" s="516"/>
      <c r="IT67" s="516"/>
      <c r="IU67" s="516"/>
      <c r="IV67" s="516"/>
    </row>
    <row r="68" spans="1:256" ht="15.75" x14ac:dyDescent="0.25">
      <c r="A68" s="558">
        <v>9</v>
      </c>
      <c r="B68" s="590" t="s">
        <v>129</v>
      </c>
      <c r="C68" s="569"/>
      <c r="D68" s="609"/>
      <c r="E68" s="610"/>
      <c r="F68" s="610"/>
      <c r="G68" s="610"/>
      <c r="H68" s="610"/>
      <c r="I68" s="593">
        <f t="shared" si="1"/>
        <v>0</v>
      </c>
      <c r="J68" s="516"/>
      <c r="K68" s="516"/>
      <c r="L68" s="124"/>
      <c r="M68" s="124"/>
      <c r="N68" s="124"/>
      <c r="O68" s="124"/>
      <c r="P68" s="124"/>
      <c r="Q68" s="124"/>
      <c r="R68" s="516"/>
      <c r="S68" s="611"/>
      <c r="T68" s="516"/>
      <c r="U68" s="516"/>
      <c r="V68" s="516"/>
      <c r="W68" s="516"/>
      <c r="X68" s="516"/>
      <c r="Y68" s="516"/>
      <c r="Z68" s="516"/>
      <c r="AA68" s="516"/>
      <c r="AB68" s="516"/>
      <c r="AC68" s="516"/>
      <c r="AD68" s="516"/>
      <c r="AE68" s="516"/>
      <c r="AF68" s="516"/>
      <c r="AG68" s="516"/>
      <c r="AH68" s="516"/>
      <c r="AI68" s="516"/>
      <c r="AJ68" s="516"/>
      <c r="AK68" s="516"/>
      <c r="AL68" s="516"/>
      <c r="AM68" s="516"/>
      <c r="AN68" s="516"/>
      <c r="AO68" s="516"/>
      <c r="AP68" s="516"/>
      <c r="AQ68" s="516"/>
      <c r="AR68" s="516"/>
      <c r="AS68" s="516"/>
      <c r="AT68" s="516"/>
      <c r="AU68" s="516"/>
      <c r="AV68" s="516"/>
      <c r="AW68" s="516"/>
      <c r="AX68" s="516"/>
      <c r="AY68" s="516"/>
      <c r="AZ68" s="516"/>
      <c r="BA68" s="516"/>
      <c r="BB68" s="516"/>
      <c r="BC68" s="516"/>
      <c r="BD68" s="516"/>
      <c r="BE68" s="516"/>
      <c r="BF68" s="516"/>
      <c r="BG68" s="516"/>
      <c r="BH68" s="516"/>
      <c r="BI68" s="516"/>
      <c r="BJ68" s="516"/>
      <c r="BK68" s="516"/>
      <c r="BL68" s="516"/>
      <c r="BM68" s="516"/>
      <c r="BN68" s="516"/>
      <c r="BO68" s="516"/>
      <c r="BP68" s="516"/>
      <c r="BQ68" s="516"/>
      <c r="BR68" s="516"/>
      <c r="BS68" s="516"/>
      <c r="BT68" s="516"/>
      <c r="BU68" s="516"/>
      <c r="BV68" s="516"/>
      <c r="BW68" s="516"/>
      <c r="BX68" s="516"/>
      <c r="BY68" s="516"/>
      <c r="BZ68" s="516"/>
      <c r="CA68" s="516"/>
      <c r="CB68" s="516"/>
      <c r="CC68" s="516"/>
      <c r="CD68" s="516"/>
      <c r="CE68" s="516"/>
      <c r="CF68" s="516"/>
      <c r="CG68" s="516"/>
      <c r="CH68" s="516"/>
      <c r="CI68" s="516"/>
      <c r="CJ68" s="516"/>
      <c r="CK68" s="516"/>
      <c r="CL68" s="516"/>
      <c r="CM68" s="516"/>
      <c r="CN68" s="516"/>
      <c r="CO68" s="516"/>
      <c r="CP68" s="516"/>
      <c r="CQ68" s="516"/>
      <c r="CR68" s="516"/>
      <c r="CS68" s="516"/>
      <c r="CT68" s="516"/>
      <c r="CU68" s="516"/>
      <c r="CV68" s="516"/>
      <c r="CW68" s="516"/>
      <c r="CX68" s="516"/>
      <c r="CY68" s="516"/>
      <c r="CZ68" s="516"/>
      <c r="DA68" s="516"/>
      <c r="DB68" s="516"/>
      <c r="DC68" s="516"/>
      <c r="DD68" s="516"/>
      <c r="DE68" s="516"/>
      <c r="DF68" s="516"/>
      <c r="DG68" s="516"/>
      <c r="DH68" s="516"/>
      <c r="DI68" s="516"/>
      <c r="DJ68" s="516"/>
      <c r="DK68" s="516"/>
      <c r="DL68" s="516"/>
      <c r="DM68" s="516"/>
      <c r="DN68" s="516"/>
      <c r="DO68" s="516"/>
      <c r="DP68" s="516"/>
      <c r="DQ68" s="516"/>
      <c r="DR68" s="516"/>
      <c r="DS68" s="516"/>
      <c r="DT68" s="516"/>
      <c r="DU68" s="516"/>
      <c r="DV68" s="516"/>
      <c r="DW68" s="516"/>
      <c r="DX68" s="516"/>
      <c r="DY68" s="516"/>
      <c r="DZ68" s="516"/>
      <c r="EA68" s="516"/>
      <c r="EB68" s="516"/>
      <c r="EC68" s="516"/>
      <c r="ED68" s="516"/>
      <c r="EE68" s="516"/>
      <c r="EF68" s="516"/>
      <c r="EG68" s="516"/>
      <c r="EH68" s="516"/>
      <c r="EI68" s="516"/>
      <c r="EJ68" s="516"/>
      <c r="EK68" s="516"/>
      <c r="EL68" s="516"/>
      <c r="EM68" s="516"/>
      <c r="EN68" s="516"/>
      <c r="EO68" s="516"/>
      <c r="EP68" s="516"/>
      <c r="EQ68" s="516"/>
      <c r="ER68" s="516"/>
      <c r="ES68" s="516"/>
      <c r="ET68" s="516"/>
      <c r="EU68" s="516"/>
      <c r="EV68" s="516"/>
      <c r="EW68" s="516"/>
      <c r="EX68" s="516"/>
      <c r="EY68" s="516"/>
      <c r="EZ68" s="516"/>
      <c r="FA68" s="516"/>
      <c r="FB68" s="516"/>
      <c r="FC68" s="516"/>
      <c r="FD68" s="516"/>
      <c r="FE68" s="516"/>
      <c r="FF68" s="516"/>
      <c r="FG68" s="516"/>
      <c r="FH68" s="516"/>
      <c r="FI68" s="516"/>
      <c r="FJ68" s="516"/>
      <c r="FK68" s="516"/>
      <c r="FL68" s="516"/>
      <c r="FM68" s="516"/>
      <c r="FN68" s="516"/>
      <c r="FO68" s="516"/>
      <c r="FP68" s="516"/>
      <c r="FQ68" s="516"/>
      <c r="FR68" s="516"/>
      <c r="FS68" s="516"/>
      <c r="FT68" s="516"/>
      <c r="FU68" s="516"/>
      <c r="FV68" s="516"/>
      <c r="FW68" s="516"/>
      <c r="FX68" s="516"/>
      <c r="FY68" s="516"/>
      <c r="FZ68" s="516"/>
      <c r="GA68" s="516"/>
      <c r="GB68" s="516"/>
      <c r="GC68" s="516"/>
      <c r="GD68" s="516"/>
      <c r="GE68" s="516"/>
      <c r="GF68" s="516"/>
      <c r="GG68" s="516"/>
      <c r="GH68" s="516"/>
      <c r="GI68" s="516"/>
      <c r="GJ68" s="516"/>
      <c r="GK68" s="516"/>
      <c r="GL68" s="516"/>
      <c r="GM68" s="516"/>
      <c r="GN68" s="516"/>
      <c r="GO68" s="516"/>
      <c r="GP68" s="516"/>
      <c r="GQ68" s="516"/>
      <c r="GR68" s="516"/>
      <c r="GS68" s="516"/>
      <c r="GT68" s="516"/>
      <c r="GU68" s="516"/>
      <c r="GV68" s="516"/>
      <c r="GW68" s="516"/>
      <c r="GX68" s="516"/>
      <c r="GY68" s="516"/>
      <c r="GZ68" s="516"/>
      <c r="HA68" s="516"/>
      <c r="HB68" s="516"/>
      <c r="HC68" s="516"/>
      <c r="HD68" s="516"/>
      <c r="HE68" s="516"/>
      <c r="HF68" s="516"/>
      <c r="HG68" s="516"/>
      <c r="HH68" s="516"/>
      <c r="HI68" s="516"/>
      <c r="HJ68" s="516"/>
      <c r="HK68" s="516"/>
      <c r="HL68" s="516"/>
      <c r="HM68" s="516"/>
      <c r="HN68" s="516"/>
      <c r="HO68" s="516"/>
      <c r="HP68" s="516"/>
      <c r="HQ68" s="516"/>
      <c r="HR68" s="516"/>
      <c r="HS68" s="516"/>
      <c r="HT68" s="516"/>
      <c r="HU68" s="516"/>
      <c r="HV68" s="516"/>
      <c r="HW68" s="516"/>
      <c r="HX68" s="516"/>
      <c r="HY68" s="516"/>
      <c r="HZ68" s="516"/>
      <c r="IA68" s="516"/>
      <c r="IB68" s="516"/>
      <c r="IC68" s="516"/>
      <c r="ID68" s="516"/>
      <c r="IE68" s="516"/>
      <c r="IF68" s="516"/>
      <c r="IG68" s="516"/>
      <c r="IH68" s="516"/>
      <c r="II68" s="516"/>
      <c r="IJ68" s="516"/>
      <c r="IK68" s="516"/>
      <c r="IL68" s="516"/>
      <c r="IM68" s="516"/>
      <c r="IN68" s="516"/>
      <c r="IO68" s="516"/>
      <c r="IP68" s="516"/>
      <c r="IQ68" s="516"/>
      <c r="IR68" s="516"/>
      <c r="IS68" s="516"/>
      <c r="IT68" s="516"/>
      <c r="IU68" s="516"/>
      <c r="IV68" s="516"/>
    </row>
    <row r="69" spans="1:256" ht="15.75" x14ac:dyDescent="0.25">
      <c r="A69" s="558">
        <v>10</v>
      </c>
      <c r="B69" s="590" t="s">
        <v>224</v>
      </c>
      <c r="C69" s="569"/>
      <c r="D69" s="609"/>
      <c r="E69" s="610"/>
      <c r="F69" s="610"/>
      <c r="G69" s="610"/>
      <c r="H69" s="610"/>
      <c r="I69" s="593">
        <f t="shared" si="1"/>
        <v>0</v>
      </c>
      <c r="J69" s="516"/>
      <c r="K69" s="516"/>
      <c r="L69" s="124"/>
      <c r="M69" s="124"/>
      <c r="N69" s="124"/>
      <c r="O69" s="124"/>
      <c r="P69" s="124"/>
      <c r="Q69" s="124"/>
      <c r="R69" s="516"/>
      <c r="S69" s="600"/>
      <c r="T69" s="516"/>
      <c r="U69" s="516"/>
      <c r="V69" s="516"/>
      <c r="W69" s="516"/>
      <c r="X69" s="516"/>
      <c r="Y69" s="516"/>
      <c r="Z69" s="516"/>
      <c r="AA69" s="516"/>
      <c r="AB69" s="516"/>
      <c r="AC69" s="516"/>
      <c r="AD69" s="516"/>
      <c r="AE69" s="516"/>
      <c r="AF69" s="516"/>
      <c r="AG69" s="516"/>
      <c r="AH69" s="516"/>
      <c r="AI69" s="516"/>
      <c r="AJ69" s="516"/>
      <c r="AK69" s="516"/>
      <c r="AL69" s="516"/>
      <c r="AM69" s="516"/>
      <c r="AN69" s="516"/>
      <c r="AO69" s="516"/>
      <c r="AP69" s="516"/>
      <c r="AQ69" s="516"/>
      <c r="AR69" s="516"/>
      <c r="AS69" s="516"/>
      <c r="AT69" s="516"/>
      <c r="AU69" s="516"/>
      <c r="AV69" s="516"/>
      <c r="AW69" s="516"/>
      <c r="AX69" s="516"/>
      <c r="AY69" s="516"/>
      <c r="AZ69" s="516"/>
      <c r="BA69" s="516"/>
      <c r="BB69" s="516"/>
      <c r="BC69" s="516"/>
      <c r="BD69" s="516"/>
      <c r="BE69" s="516"/>
      <c r="BF69" s="516"/>
      <c r="BG69" s="516"/>
      <c r="BH69" s="516"/>
      <c r="BI69" s="516"/>
      <c r="BJ69" s="516"/>
      <c r="BK69" s="516"/>
      <c r="BL69" s="516"/>
      <c r="BM69" s="516"/>
      <c r="BN69" s="516"/>
      <c r="BO69" s="516"/>
      <c r="BP69" s="516"/>
      <c r="BQ69" s="516"/>
      <c r="BR69" s="516"/>
      <c r="BS69" s="516"/>
      <c r="BT69" s="516"/>
      <c r="BU69" s="516"/>
      <c r="BV69" s="516"/>
      <c r="BW69" s="516"/>
      <c r="BX69" s="516"/>
      <c r="BY69" s="516"/>
      <c r="BZ69" s="516"/>
      <c r="CA69" s="516"/>
      <c r="CB69" s="516"/>
      <c r="CC69" s="516"/>
      <c r="CD69" s="516"/>
      <c r="CE69" s="516"/>
      <c r="CF69" s="516"/>
      <c r="CG69" s="516"/>
      <c r="CH69" s="516"/>
      <c r="CI69" s="516"/>
      <c r="CJ69" s="516"/>
      <c r="CK69" s="516"/>
      <c r="CL69" s="516"/>
      <c r="CM69" s="516"/>
      <c r="CN69" s="516"/>
      <c r="CO69" s="516"/>
      <c r="CP69" s="516"/>
      <c r="CQ69" s="516"/>
      <c r="CR69" s="516"/>
      <c r="CS69" s="516"/>
      <c r="CT69" s="516"/>
      <c r="CU69" s="516"/>
      <c r="CV69" s="516"/>
      <c r="CW69" s="516"/>
      <c r="CX69" s="516"/>
      <c r="CY69" s="516"/>
      <c r="CZ69" s="516"/>
      <c r="DA69" s="516"/>
      <c r="DB69" s="516"/>
      <c r="DC69" s="516"/>
      <c r="DD69" s="516"/>
      <c r="DE69" s="516"/>
      <c r="DF69" s="516"/>
      <c r="DG69" s="516"/>
      <c r="DH69" s="516"/>
      <c r="DI69" s="516"/>
      <c r="DJ69" s="516"/>
      <c r="DK69" s="516"/>
      <c r="DL69" s="516"/>
      <c r="DM69" s="516"/>
      <c r="DN69" s="516"/>
      <c r="DO69" s="516"/>
      <c r="DP69" s="516"/>
      <c r="DQ69" s="516"/>
      <c r="DR69" s="516"/>
      <c r="DS69" s="516"/>
      <c r="DT69" s="516"/>
      <c r="DU69" s="516"/>
      <c r="DV69" s="516"/>
      <c r="DW69" s="516"/>
      <c r="DX69" s="516"/>
      <c r="DY69" s="516"/>
      <c r="DZ69" s="516"/>
      <c r="EA69" s="516"/>
      <c r="EB69" s="516"/>
      <c r="EC69" s="516"/>
      <c r="ED69" s="516"/>
      <c r="EE69" s="516"/>
      <c r="EF69" s="516"/>
      <c r="EG69" s="516"/>
      <c r="EH69" s="516"/>
      <c r="EI69" s="516"/>
      <c r="EJ69" s="516"/>
      <c r="EK69" s="516"/>
      <c r="EL69" s="516"/>
      <c r="EM69" s="516"/>
      <c r="EN69" s="516"/>
      <c r="EO69" s="516"/>
      <c r="EP69" s="516"/>
      <c r="EQ69" s="516"/>
      <c r="ER69" s="516"/>
      <c r="ES69" s="516"/>
      <c r="ET69" s="516"/>
      <c r="EU69" s="516"/>
      <c r="EV69" s="516"/>
      <c r="EW69" s="516"/>
      <c r="EX69" s="516"/>
      <c r="EY69" s="516"/>
      <c r="EZ69" s="516"/>
      <c r="FA69" s="516"/>
      <c r="FB69" s="516"/>
      <c r="FC69" s="516"/>
      <c r="FD69" s="516"/>
      <c r="FE69" s="516"/>
      <c r="FF69" s="516"/>
      <c r="FG69" s="516"/>
      <c r="FH69" s="516"/>
      <c r="FI69" s="516"/>
      <c r="FJ69" s="516"/>
      <c r="FK69" s="516"/>
      <c r="FL69" s="516"/>
      <c r="FM69" s="516"/>
      <c r="FN69" s="516"/>
      <c r="FO69" s="516"/>
      <c r="FP69" s="516"/>
      <c r="FQ69" s="516"/>
      <c r="FR69" s="516"/>
      <c r="FS69" s="516"/>
      <c r="FT69" s="516"/>
      <c r="FU69" s="516"/>
      <c r="FV69" s="516"/>
      <c r="FW69" s="516"/>
      <c r="FX69" s="516"/>
      <c r="FY69" s="516"/>
      <c r="FZ69" s="516"/>
      <c r="GA69" s="516"/>
      <c r="GB69" s="516"/>
      <c r="GC69" s="516"/>
      <c r="GD69" s="516"/>
      <c r="GE69" s="516"/>
      <c r="GF69" s="516"/>
      <c r="GG69" s="516"/>
      <c r="GH69" s="516"/>
      <c r="GI69" s="516"/>
      <c r="GJ69" s="516"/>
      <c r="GK69" s="516"/>
      <c r="GL69" s="516"/>
      <c r="GM69" s="516"/>
      <c r="GN69" s="516"/>
      <c r="GO69" s="516"/>
      <c r="GP69" s="516"/>
      <c r="GQ69" s="516"/>
      <c r="GR69" s="516"/>
      <c r="GS69" s="516"/>
      <c r="GT69" s="516"/>
      <c r="GU69" s="516"/>
      <c r="GV69" s="516"/>
      <c r="GW69" s="516"/>
      <c r="GX69" s="516"/>
      <c r="GY69" s="516"/>
      <c r="GZ69" s="516"/>
      <c r="HA69" s="516"/>
      <c r="HB69" s="516"/>
      <c r="HC69" s="516"/>
      <c r="HD69" s="516"/>
      <c r="HE69" s="516"/>
      <c r="HF69" s="516"/>
      <c r="HG69" s="516"/>
      <c r="HH69" s="516"/>
      <c r="HI69" s="516"/>
      <c r="HJ69" s="516"/>
      <c r="HK69" s="516"/>
      <c r="HL69" s="516"/>
      <c r="HM69" s="516"/>
      <c r="HN69" s="516"/>
      <c r="HO69" s="516"/>
      <c r="HP69" s="516"/>
      <c r="HQ69" s="516"/>
      <c r="HR69" s="516"/>
      <c r="HS69" s="516"/>
      <c r="HT69" s="516"/>
      <c r="HU69" s="516"/>
      <c r="HV69" s="516"/>
      <c r="HW69" s="516"/>
      <c r="HX69" s="516"/>
      <c r="HY69" s="516"/>
      <c r="HZ69" s="516"/>
      <c r="IA69" s="516"/>
      <c r="IB69" s="516"/>
      <c r="IC69" s="516"/>
      <c r="ID69" s="516"/>
      <c r="IE69" s="516"/>
      <c r="IF69" s="516"/>
      <c r="IG69" s="516"/>
      <c r="IH69" s="516"/>
      <c r="II69" s="516"/>
      <c r="IJ69" s="516"/>
      <c r="IK69" s="516"/>
      <c r="IL69" s="516"/>
      <c r="IM69" s="516"/>
      <c r="IN69" s="516"/>
      <c r="IO69" s="516"/>
      <c r="IP69" s="516"/>
      <c r="IQ69" s="516"/>
      <c r="IR69" s="516"/>
      <c r="IS69" s="516"/>
      <c r="IT69" s="516"/>
      <c r="IU69" s="516"/>
      <c r="IV69" s="516"/>
    </row>
    <row r="70" spans="1:256" ht="15.75" x14ac:dyDescent="0.25">
      <c r="A70" s="594">
        <v>11</v>
      </c>
      <c r="B70" s="612" t="s">
        <v>225</v>
      </c>
      <c r="C70" s="591">
        <f>+(C56+C58+C60)*0.07</f>
        <v>0</v>
      </c>
      <c r="D70" s="613"/>
      <c r="E70" s="614"/>
      <c r="F70" s="614"/>
      <c r="G70" s="615"/>
      <c r="H70" s="614"/>
      <c r="I70" s="593">
        <f t="shared" si="1"/>
        <v>0</v>
      </c>
      <c r="L70" s="121"/>
      <c r="M70" s="121"/>
      <c r="N70" s="121"/>
      <c r="O70" s="121"/>
      <c r="P70" s="121"/>
      <c r="Q70" s="121"/>
      <c r="S70" s="600"/>
      <c r="T70" s="516"/>
      <c r="V70" s="516"/>
      <c r="W70" s="516"/>
    </row>
    <row r="71" spans="1:256" ht="15.75" x14ac:dyDescent="0.25">
      <c r="A71" s="558"/>
      <c r="B71" s="616" t="s">
        <v>226</v>
      </c>
      <c r="C71" s="591"/>
      <c r="D71" s="609"/>
      <c r="E71" s="617"/>
      <c r="F71" s="617"/>
      <c r="G71" s="618">
        <f>((C56+C57)*1.07*0.03+(C58+C60)*1.07*0.1)*(1+$G$54)</f>
        <v>0</v>
      </c>
      <c r="H71" s="593">
        <f>((C56*1.07)*0.03+(C58+C60)*1.07*0.1)*(1+C51)*0</f>
        <v>0</v>
      </c>
      <c r="I71" s="593">
        <f t="shared" si="1"/>
        <v>0</v>
      </c>
      <c r="J71" s="516"/>
      <c r="K71" s="516"/>
      <c r="L71" s="124"/>
      <c r="M71" s="124"/>
      <c r="N71" s="124"/>
      <c r="O71" s="124"/>
      <c r="P71" s="124"/>
      <c r="Q71" s="124"/>
      <c r="R71" s="516"/>
      <c r="S71" s="600"/>
      <c r="T71" s="516"/>
      <c r="U71" s="516"/>
      <c r="V71" s="516"/>
      <c r="W71" s="516"/>
      <c r="X71" s="516"/>
      <c r="Y71" s="516"/>
      <c r="Z71" s="516"/>
      <c r="AA71" s="516"/>
      <c r="AB71" s="516"/>
      <c r="AC71" s="516"/>
      <c r="AD71" s="516"/>
      <c r="AE71" s="516"/>
      <c r="AF71" s="516"/>
      <c r="AG71" s="516"/>
      <c r="AH71" s="516"/>
      <c r="AI71" s="516"/>
      <c r="AJ71" s="516"/>
      <c r="AK71" s="516"/>
      <c r="AL71" s="516"/>
      <c r="AM71" s="516"/>
      <c r="AN71" s="516"/>
      <c r="AO71" s="516"/>
      <c r="AP71" s="516"/>
      <c r="AQ71" s="516"/>
      <c r="AR71" s="516"/>
      <c r="AS71" s="516"/>
      <c r="AT71" s="516"/>
      <c r="AU71" s="516"/>
      <c r="AV71" s="516"/>
      <c r="AW71" s="516"/>
      <c r="AX71" s="516"/>
      <c r="AY71" s="516"/>
      <c r="AZ71" s="516"/>
      <c r="BA71" s="516"/>
      <c r="BB71" s="516"/>
      <c r="BC71" s="516"/>
      <c r="BD71" s="516"/>
      <c r="BE71" s="516"/>
      <c r="BF71" s="516"/>
      <c r="BG71" s="516"/>
      <c r="BH71" s="516"/>
      <c r="BI71" s="516"/>
      <c r="BJ71" s="516"/>
      <c r="BK71" s="516"/>
      <c r="BL71" s="516"/>
      <c r="BM71" s="516"/>
      <c r="BN71" s="516"/>
      <c r="BO71" s="516"/>
      <c r="BP71" s="516"/>
      <c r="BQ71" s="516"/>
      <c r="BR71" s="516"/>
      <c r="BS71" s="516"/>
      <c r="BT71" s="516"/>
      <c r="BU71" s="516"/>
      <c r="BV71" s="516"/>
      <c r="BW71" s="516"/>
      <c r="BX71" s="516"/>
      <c r="BY71" s="516"/>
      <c r="BZ71" s="516"/>
      <c r="CA71" s="516"/>
      <c r="CB71" s="516"/>
      <c r="CC71" s="516"/>
      <c r="CD71" s="516"/>
      <c r="CE71" s="516"/>
      <c r="CF71" s="516"/>
      <c r="CG71" s="516"/>
      <c r="CH71" s="516"/>
      <c r="CI71" s="516"/>
      <c r="CJ71" s="516"/>
      <c r="CK71" s="516"/>
      <c r="CL71" s="516"/>
      <c r="CM71" s="516"/>
      <c r="CN71" s="516"/>
      <c r="CO71" s="516"/>
      <c r="CP71" s="516"/>
      <c r="CQ71" s="516"/>
      <c r="CR71" s="516"/>
      <c r="CS71" s="516"/>
      <c r="CT71" s="516"/>
      <c r="CU71" s="516"/>
      <c r="CV71" s="516"/>
      <c r="CW71" s="516"/>
      <c r="CX71" s="516"/>
      <c r="CY71" s="516"/>
      <c r="CZ71" s="516"/>
      <c r="DA71" s="516"/>
      <c r="DB71" s="516"/>
      <c r="DC71" s="516"/>
      <c r="DD71" s="516"/>
      <c r="DE71" s="516"/>
      <c r="DF71" s="516"/>
      <c r="DG71" s="516"/>
      <c r="DH71" s="516"/>
      <c r="DI71" s="516"/>
      <c r="DJ71" s="516"/>
      <c r="DK71" s="516"/>
      <c r="DL71" s="516"/>
      <c r="DM71" s="516"/>
      <c r="DN71" s="516"/>
      <c r="DO71" s="516"/>
      <c r="DP71" s="516"/>
      <c r="DQ71" s="516"/>
      <c r="DR71" s="516"/>
      <c r="DS71" s="516"/>
      <c r="DT71" s="516"/>
      <c r="DU71" s="516"/>
      <c r="DV71" s="516"/>
      <c r="DW71" s="516"/>
      <c r="DX71" s="516"/>
      <c r="DY71" s="516"/>
      <c r="DZ71" s="516"/>
      <c r="EA71" s="516"/>
      <c r="EB71" s="516"/>
      <c r="EC71" s="516"/>
      <c r="ED71" s="516"/>
      <c r="EE71" s="516"/>
      <c r="EF71" s="516"/>
      <c r="EG71" s="516"/>
      <c r="EH71" s="516"/>
      <c r="EI71" s="516"/>
      <c r="EJ71" s="516"/>
      <c r="EK71" s="516"/>
      <c r="EL71" s="516"/>
      <c r="EM71" s="516"/>
      <c r="EN71" s="516"/>
      <c r="EO71" s="516"/>
      <c r="EP71" s="516"/>
      <c r="EQ71" s="516"/>
      <c r="ER71" s="516"/>
      <c r="ES71" s="516"/>
      <c r="ET71" s="516"/>
      <c r="EU71" s="516"/>
      <c r="EV71" s="516"/>
      <c r="EW71" s="516"/>
      <c r="EX71" s="516"/>
      <c r="EY71" s="516"/>
      <c r="EZ71" s="516"/>
      <c r="FA71" s="516"/>
      <c r="FB71" s="516"/>
      <c r="FC71" s="516"/>
      <c r="FD71" s="516"/>
      <c r="FE71" s="516"/>
      <c r="FF71" s="516"/>
      <c r="FG71" s="516"/>
      <c r="FH71" s="516"/>
      <c r="FI71" s="516"/>
      <c r="FJ71" s="516"/>
      <c r="FK71" s="516"/>
      <c r="FL71" s="516"/>
      <c r="FM71" s="516"/>
      <c r="FN71" s="516"/>
      <c r="FO71" s="516"/>
      <c r="FP71" s="516"/>
      <c r="FQ71" s="516"/>
      <c r="FR71" s="516"/>
      <c r="FS71" s="516"/>
      <c r="FT71" s="516"/>
      <c r="FU71" s="516"/>
      <c r="FV71" s="516"/>
      <c r="FW71" s="516"/>
      <c r="FX71" s="516"/>
      <c r="FY71" s="516"/>
      <c r="FZ71" s="516"/>
      <c r="GA71" s="516"/>
      <c r="GB71" s="516"/>
      <c r="GC71" s="516"/>
      <c r="GD71" s="516"/>
      <c r="GE71" s="516"/>
      <c r="GF71" s="516"/>
      <c r="GG71" s="516"/>
      <c r="GH71" s="516"/>
      <c r="GI71" s="516"/>
      <c r="GJ71" s="516"/>
      <c r="GK71" s="516"/>
      <c r="GL71" s="516"/>
      <c r="GM71" s="516"/>
      <c r="GN71" s="516"/>
      <c r="GO71" s="516"/>
      <c r="GP71" s="516"/>
      <c r="GQ71" s="516"/>
      <c r="GR71" s="516"/>
      <c r="GS71" s="516"/>
      <c r="GT71" s="516"/>
      <c r="GU71" s="516"/>
      <c r="GV71" s="516"/>
      <c r="GW71" s="516"/>
      <c r="GX71" s="516"/>
      <c r="GY71" s="516"/>
      <c r="GZ71" s="516"/>
      <c r="HA71" s="516"/>
      <c r="HB71" s="516"/>
      <c r="HC71" s="516"/>
      <c r="HD71" s="516"/>
      <c r="HE71" s="516"/>
      <c r="HF71" s="516"/>
      <c r="HG71" s="516"/>
      <c r="HH71" s="516"/>
      <c r="HI71" s="516"/>
      <c r="HJ71" s="516"/>
      <c r="HK71" s="516"/>
      <c r="HL71" s="516"/>
      <c r="HM71" s="516"/>
      <c r="HN71" s="516"/>
      <c r="HO71" s="516"/>
      <c r="HP71" s="516"/>
      <c r="HQ71" s="516"/>
      <c r="HR71" s="516"/>
      <c r="HS71" s="516"/>
      <c r="HT71" s="516"/>
      <c r="HU71" s="516"/>
      <c r="HV71" s="516"/>
      <c r="HW71" s="516"/>
      <c r="HX71" s="516"/>
      <c r="HY71" s="516"/>
      <c r="HZ71" s="516"/>
      <c r="IA71" s="516"/>
      <c r="IB71" s="516"/>
      <c r="IC71" s="516"/>
      <c r="ID71" s="516"/>
      <c r="IE71" s="516"/>
      <c r="IF71" s="516"/>
      <c r="IG71" s="516"/>
      <c r="IH71" s="516"/>
      <c r="II71" s="516"/>
      <c r="IJ71" s="516"/>
      <c r="IK71" s="516"/>
      <c r="IL71" s="516"/>
      <c r="IM71" s="516"/>
      <c r="IN71" s="516"/>
      <c r="IO71" s="516"/>
      <c r="IP71" s="516"/>
      <c r="IQ71" s="516"/>
      <c r="IR71" s="516"/>
      <c r="IS71" s="516"/>
      <c r="IT71" s="516"/>
      <c r="IU71" s="516"/>
      <c r="IV71" s="516"/>
    </row>
    <row r="72" spans="1:256" ht="15.75" x14ac:dyDescent="0.25">
      <c r="A72" s="558">
        <v>12</v>
      </c>
      <c r="B72" s="309" t="s">
        <v>395</v>
      </c>
      <c r="C72" s="591"/>
      <c r="D72" s="609" t="e">
        <f>#REF!</f>
        <v>#REF!</v>
      </c>
      <c r="E72" s="599" t="e">
        <f>D72*$E$54</f>
        <v>#REF!</v>
      </c>
      <c r="F72" s="598" t="e">
        <f>G72*$F$54</f>
        <v>#REF!</v>
      </c>
      <c r="G72" s="598" t="e">
        <f>(D72*0.02)</f>
        <v>#REF!</v>
      </c>
      <c r="H72" s="649"/>
      <c r="I72" s="593" t="e">
        <f>SUM(C72:H72)</f>
        <v>#REF!</v>
      </c>
      <c r="J72" s="516"/>
      <c r="K72" s="516"/>
      <c r="L72" s="124"/>
      <c r="M72" s="124"/>
      <c r="N72" s="124"/>
      <c r="O72" s="124"/>
      <c r="P72" s="124"/>
      <c r="Q72" s="124"/>
      <c r="R72" s="516"/>
      <c r="S72" s="600"/>
      <c r="T72" s="516"/>
      <c r="U72" s="516"/>
      <c r="V72" s="516"/>
      <c r="W72" s="516"/>
      <c r="X72" s="516"/>
      <c r="Y72" s="516"/>
      <c r="Z72" s="516"/>
      <c r="AA72" s="516"/>
      <c r="AB72" s="516"/>
      <c r="AC72" s="516"/>
      <c r="AD72" s="516"/>
      <c r="AE72" s="516"/>
      <c r="AF72" s="516"/>
      <c r="AG72" s="516"/>
      <c r="AH72" s="516"/>
      <c r="AI72" s="516"/>
      <c r="AJ72" s="516"/>
      <c r="AK72" s="516"/>
      <c r="AL72" s="516"/>
      <c r="AM72" s="516"/>
      <c r="AN72" s="516"/>
      <c r="AO72" s="516"/>
      <c r="AP72" s="516"/>
      <c r="AQ72" s="516"/>
      <c r="AR72" s="516"/>
      <c r="AS72" s="516"/>
      <c r="AT72" s="516"/>
      <c r="AU72" s="516"/>
      <c r="AV72" s="516"/>
      <c r="AW72" s="516"/>
      <c r="AX72" s="516"/>
      <c r="AY72" s="516"/>
      <c r="AZ72" s="516"/>
      <c r="BA72" s="516"/>
      <c r="BB72" s="516"/>
      <c r="BC72" s="516"/>
      <c r="BD72" s="516"/>
      <c r="BE72" s="516"/>
      <c r="BF72" s="516"/>
      <c r="BG72" s="516"/>
      <c r="BH72" s="516"/>
      <c r="BI72" s="516"/>
      <c r="BJ72" s="516"/>
      <c r="BK72" s="516"/>
      <c r="BL72" s="516"/>
      <c r="BM72" s="516"/>
      <c r="BN72" s="516"/>
      <c r="BO72" s="516"/>
      <c r="BP72" s="516"/>
      <c r="BQ72" s="516"/>
      <c r="BR72" s="516"/>
      <c r="BS72" s="516"/>
      <c r="BT72" s="516"/>
      <c r="BU72" s="516"/>
      <c r="BV72" s="516"/>
      <c r="BW72" s="516"/>
      <c r="BX72" s="516"/>
      <c r="BY72" s="516"/>
      <c r="BZ72" s="516"/>
      <c r="CA72" s="516"/>
      <c r="CB72" s="516"/>
      <c r="CC72" s="516"/>
      <c r="CD72" s="516"/>
      <c r="CE72" s="516"/>
      <c r="CF72" s="516"/>
      <c r="CG72" s="516"/>
      <c r="CH72" s="516"/>
      <c r="CI72" s="516"/>
      <c r="CJ72" s="516"/>
      <c r="CK72" s="516"/>
      <c r="CL72" s="516"/>
      <c r="CM72" s="516"/>
      <c r="CN72" s="516"/>
      <c r="CO72" s="516"/>
      <c r="CP72" s="516"/>
      <c r="CQ72" s="516"/>
      <c r="CR72" s="516"/>
      <c r="CS72" s="516"/>
      <c r="CT72" s="516"/>
      <c r="CU72" s="516"/>
      <c r="CV72" s="516"/>
      <c r="CW72" s="516"/>
      <c r="CX72" s="516"/>
      <c r="CY72" s="516"/>
      <c r="CZ72" s="516"/>
      <c r="DA72" s="516"/>
      <c r="DB72" s="516"/>
      <c r="DC72" s="516"/>
      <c r="DD72" s="516"/>
      <c r="DE72" s="516"/>
      <c r="DF72" s="516"/>
      <c r="DG72" s="516"/>
      <c r="DH72" s="516"/>
      <c r="DI72" s="516"/>
      <c r="DJ72" s="516"/>
      <c r="DK72" s="516"/>
      <c r="DL72" s="516"/>
      <c r="DM72" s="516"/>
      <c r="DN72" s="516"/>
      <c r="DO72" s="516"/>
      <c r="DP72" s="516"/>
      <c r="DQ72" s="516"/>
      <c r="DR72" s="516"/>
      <c r="DS72" s="516"/>
      <c r="DT72" s="516"/>
      <c r="DU72" s="516"/>
      <c r="DV72" s="516"/>
      <c r="DW72" s="516"/>
      <c r="DX72" s="516"/>
      <c r="DY72" s="516"/>
      <c r="DZ72" s="516"/>
      <c r="EA72" s="516"/>
      <c r="EB72" s="516"/>
      <c r="EC72" s="516"/>
      <c r="ED72" s="516"/>
      <c r="EE72" s="516"/>
      <c r="EF72" s="516"/>
      <c r="EG72" s="516"/>
      <c r="EH72" s="516"/>
      <c r="EI72" s="516"/>
      <c r="EJ72" s="516"/>
      <c r="EK72" s="516"/>
      <c r="EL72" s="516"/>
      <c r="EM72" s="516"/>
      <c r="EN72" s="516"/>
      <c r="EO72" s="516"/>
      <c r="EP72" s="516"/>
      <c r="EQ72" s="516"/>
      <c r="ER72" s="516"/>
      <c r="ES72" s="516"/>
      <c r="ET72" s="516"/>
      <c r="EU72" s="516"/>
      <c r="EV72" s="516"/>
      <c r="EW72" s="516"/>
      <c r="EX72" s="516"/>
      <c r="EY72" s="516"/>
      <c r="EZ72" s="516"/>
      <c r="FA72" s="516"/>
      <c r="FB72" s="516"/>
      <c r="FC72" s="516"/>
      <c r="FD72" s="516"/>
      <c r="FE72" s="516"/>
      <c r="FF72" s="516"/>
      <c r="FG72" s="516"/>
      <c r="FH72" s="516"/>
      <c r="FI72" s="516"/>
      <c r="FJ72" s="516"/>
      <c r="FK72" s="516"/>
      <c r="FL72" s="516"/>
      <c r="FM72" s="516"/>
      <c r="FN72" s="516"/>
      <c r="FO72" s="516"/>
      <c r="FP72" s="516"/>
      <c r="FQ72" s="516"/>
      <c r="FR72" s="516"/>
      <c r="FS72" s="516"/>
      <c r="FT72" s="516"/>
      <c r="FU72" s="516"/>
      <c r="FV72" s="516"/>
      <c r="FW72" s="516"/>
      <c r="FX72" s="516"/>
      <c r="FY72" s="516"/>
      <c r="FZ72" s="516"/>
      <c r="GA72" s="516"/>
      <c r="GB72" s="516"/>
      <c r="GC72" s="516"/>
      <c r="GD72" s="516"/>
      <c r="GE72" s="516"/>
      <c r="GF72" s="516"/>
      <c r="GG72" s="516"/>
      <c r="GH72" s="516"/>
      <c r="GI72" s="516"/>
      <c r="GJ72" s="516"/>
      <c r="GK72" s="516"/>
      <c r="GL72" s="516"/>
      <c r="GM72" s="516"/>
      <c r="GN72" s="516"/>
      <c r="GO72" s="516"/>
      <c r="GP72" s="516"/>
      <c r="GQ72" s="516"/>
      <c r="GR72" s="516"/>
      <c r="GS72" s="516"/>
      <c r="GT72" s="516"/>
      <c r="GU72" s="516"/>
      <c r="GV72" s="516"/>
      <c r="GW72" s="516"/>
      <c r="GX72" s="516"/>
      <c r="GY72" s="516"/>
      <c r="GZ72" s="516"/>
      <c r="HA72" s="516"/>
      <c r="HB72" s="516"/>
      <c r="HC72" s="516"/>
      <c r="HD72" s="516"/>
      <c r="HE72" s="516"/>
      <c r="HF72" s="516"/>
      <c r="HG72" s="516"/>
      <c r="HH72" s="516"/>
      <c r="HI72" s="516"/>
      <c r="HJ72" s="516"/>
      <c r="HK72" s="516"/>
      <c r="HL72" s="516"/>
      <c r="HM72" s="516"/>
      <c r="HN72" s="516"/>
      <c r="HO72" s="516"/>
      <c r="HP72" s="516"/>
      <c r="HQ72" s="516"/>
      <c r="HR72" s="516"/>
      <c r="HS72" s="516"/>
      <c r="HT72" s="516"/>
      <c r="HU72" s="516"/>
      <c r="HV72" s="516"/>
      <c r="HW72" s="516"/>
      <c r="HX72" s="516"/>
      <c r="HY72" s="516"/>
      <c r="HZ72" s="516"/>
      <c r="IA72" s="516"/>
      <c r="IB72" s="516"/>
      <c r="IC72" s="516"/>
      <c r="ID72" s="516"/>
      <c r="IE72" s="516"/>
      <c r="IF72" s="516"/>
      <c r="IG72" s="516"/>
      <c r="IH72" s="516"/>
      <c r="II72" s="516"/>
      <c r="IJ72" s="516"/>
      <c r="IK72" s="516"/>
      <c r="IL72" s="516"/>
      <c r="IM72" s="516"/>
      <c r="IN72" s="516"/>
      <c r="IO72" s="516"/>
      <c r="IP72" s="516"/>
      <c r="IQ72" s="516"/>
      <c r="IR72" s="516"/>
      <c r="IS72" s="516"/>
      <c r="IT72" s="516"/>
      <c r="IU72" s="516"/>
      <c r="IV72" s="516"/>
    </row>
    <row r="73" spans="1:256" ht="15.75" x14ac:dyDescent="0.25">
      <c r="A73" s="558">
        <v>13</v>
      </c>
      <c r="B73" s="619" t="s">
        <v>215</v>
      </c>
      <c r="C73" s="591"/>
      <c r="D73" s="609"/>
      <c r="E73" s="617"/>
      <c r="F73" s="617"/>
      <c r="G73" s="593"/>
      <c r="H73" s="620" t="e">
        <f>E34</f>
        <v>#REF!</v>
      </c>
      <c r="I73" s="593" t="e">
        <f t="shared" si="1"/>
        <v>#REF!</v>
      </c>
      <c r="J73" s="516"/>
      <c r="K73" s="516"/>
      <c r="L73" s="124"/>
      <c r="M73" s="124"/>
      <c r="N73" s="124"/>
      <c r="O73" s="124"/>
      <c r="P73" s="124"/>
      <c r="Q73" s="124"/>
      <c r="R73" s="516"/>
      <c r="S73" s="600"/>
      <c r="T73" s="516"/>
      <c r="U73" s="516"/>
      <c r="V73" s="516"/>
      <c r="W73" s="516"/>
      <c r="X73" s="516"/>
      <c r="Y73" s="516"/>
      <c r="Z73" s="516"/>
      <c r="AA73" s="516"/>
      <c r="AB73" s="516"/>
      <c r="AC73" s="516"/>
      <c r="AD73" s="516"/>
      <c r="AE73" s="516"/>
      <c r="AF73" s="516"/>
      <c r="AG73" s="516"/>
      <c r="AH73" s="516"/>
      <c r="AI73" s="516"/>
      <c r="AJ73" s="516"/>
      <c r="AK73" s="516"/>
      <c r="AL73" s="516"/>
      <c r="AM73" s="516"/>
      <c r="AN73" s="516"/>
      <c r="AO73" s="516"/>
      <c r="AP73" s="516"/>
      <c r="AQ73" s="516"/>
      <c r="AR73" s="516"/>
      <c r="AS73" s="516"/>
      <c r="AT73" s="516"/>
      <c r="AU73" s="516"/>
      <c r="AV73" s="516"/>
      <c r="AW73" s="516"/>
      <c r="AX73" s="516"/>
      <c r="AY73" s="516"/>
      <c r="AZ73" s="516"/>
      <c r="BA73" s="516"/>
      <c r="BB73" s="516"/>
      <c r="BC73" s="516"/>
      <c r="BD73" s="516"/>
      <c r="BE73" s="516"/>
      <c r="BF73" s="516"/>
      <c r="BG73" s="516"/>
      <c r="BH73" s="516"/>
      <c r="BI73" s="516"/>
      <c r="BJ73" s="516"/>
      <c r="BK73" s="516"/>
      <c r="BL73" s="516"/>
      <c r="BM73" s="516"/>
      <c r="BN73" s="516"/>
      <c r="BO73" s="516"/>
      <c r="BP73" s="516"/>
      <c r="BQ73" s="516"/>
      <c r="BR73" s="516"/>
      <c r="BS73" s="516"/>
      <c r="BT73" s="516"/>
      <c r="BU73" s="516"/>
      <c r="BV73" s="516"/>
      <c r="BW73" s="516"/>
      <c r="BX73" s="516"/>
      <c r="BY73" s="516"/>
      <c r="BZ73" s="516"/>
      <c r="CA73" s="516"/>
      <c r="CB73" s="516"/>
      <c r="CC73" s="516"/>
      <c r="CD73" s="516"/>
      <c r="CE73" s="516"/>
      <c r="CF73" s="516"/>
      <c r="CG73" s="516"/>
      <c r="CH73" s="516"/>
      <c r="CI73" s="516"/>
      <c r="CJ73" s="516"/>
      <c r="CK73" s="516"/>
      <c r="CL73" s="516"/>
      <c r="CM73" s="516"/>
      <c r="CN73" s="516"/>
      <c r="CO73" s="516"/>
      <c r="CP73" s="516"/>
      <c r="CQ73" s="516"/>
      <c r="CR73" s="516"/>
      <c r="CS73" s="516"/>
      <c r="CT73" s="516"/>
      <c r="CU73" s="516"/>
      <c r="CV73" s="516"/>
      <c r="CW73" s="516"/>
      <c r="CX73" s="516"/>
      <c r="CY73" s="516"/>
      <c r="CZ73" s="516"/>
      <c r="DA73" s="516"/>
      <c r="DB73" s="516"/>
      <c r="DC73" s="516"/>
      <c r="DD73" s="516"/>
      <c r="DE73" s="516"/>
      <c r="DF73" s="516"/>
      <c r="DG73" s="516"/>
      <c r="DH73" s="516"/>
      <c r="DI73" s="516"/>
      <c r="DJ73" s="516"/>
      <c r="DK73" s="516"/>
      <c r="DL73" s="516"/>
      <c r="DM73" s="516"/>
      <c r="DN73" s="516"/>
      <c r="DO73" s="516"/>
      <c r="DP73" s="516"/>
      <c r="DQ73" s="516"/>
      <c r="DR73" s="516"/>
      <c r="DS73" s="516"/>
      <c r="DT73" s="516"/>
      <c r="DU73" s="516"/>
      <c r="DV73" s="516"/>
      <c r="DW73" s="516"/>
      <c r="DX73" s="516"/>
      <c r="DY73" s="516"/>
      <c r="DZ73" s="516"/>
      <c r="EA73" s="516"/>
      <c r="EB73" s="516"/>
      <c r="EC73" s="516"/>
      <c r="ED73" s="516"/>
      <c r="EE73" s="516"/>
      <c r="EF73" s="516"/>
      <c r="EG73" s="516"/>
      <c r="EH73" s="516"/>
      <c r="EI73" s="516"/>
      <c r="EJ73" s="516"/>
      <c r="EK73" s="516"/>
      <c r="EL73" s="516"/>
      <c r="EM73" s="516"/>
      <c r="EN73" s="516"/>
      <c r="EO73" s="516"/>
      <c r="EP73" s="516"/>
      <c r="EQ73" s="516"/>
      <c r="ER73" s="516"/>
      <c r="ES73" s="516"/>
      <c r="ET73" s="516"/>
      <c r="EU73" s="516"/>
      <c r="EV73" s="516"/>
      <c r="EW73" s="516"/>
      <c r="EX73" s="516"/>
      <c r="EY73" s="516"/>
      <c r="EZ73" s="516"/>
      <c r="FA73" s="516"/>
      <c r="FB73" s="516"/>
      <c r="FC73" s="516"/>
      <c r="FD73" s="516"/>
      <c r="FE73" s="516"/>
      <c r="FF73" s="516"/>
      <c r="FG73" s="516"/>
      <c r="FH73" s="516"/>
      <c r="FI73" s="516"/>
      <c r="FJ73" s="516"/>
      <c r="FK73" s="516"/>
      <c r="FL73" s="516"/>
      <c r="FM73" s="516"/>
      <c r="FN73" s="516"/>
      <c r="FO73" s="516"/>
      <c r="FP73" s="516"/>
      <c r="FQ73" s="516"/>
      <c r="FR73" s="516"/>
      <c r="FS73" s="516"/>
      <c r="FT73" s="516"/>
      <c r="FU73" s="516"/>
      <c r="FV73" s="516"/>
      <c r="FW73" s="516"/>
      <c r="FX73" s="516"/>
      <c r="FY73" s="516"/>
      <c r="FZ73" s="516"/>
      <c r="GA73" s="516"/>
      <c r="GB73" s="516"/>
      <c r="GC73" s="516"/>
      <c r="GD73" s="516"/>
      <c r="GE73" s="516"/>
      <c r="GF73" s="516"/>
      <c r="GG73" s="516"/>
      <c r="GH73" s="516"/>
      <c r="GI73" s="516"/>
      <c r="GJ73" s="516"/>
      <c r="GK73" s="516"/>
      <c r="GL73" s="516"/>
      <c r="GM73" s="516"/>
      <c r="GN73" s="516"/>
      <c r="GO73" s="516"/>
      <c r="GP73" s="516"/>
      <c r="GQ73" s="516"/>
      <c r="GR73" s="516"/>
      <c r="GS73" s="516"/>
      <c r="GT73" s="516"/>
      <c r="GU73" s="516"/>
      <c r="GV73" s="516"/>
      <c r="GW73" s="516"/>
      <c r="GX73" s="516"/>
      <c r="GY73" s="516"/>
      <c r="GZ73" s="516"/>
      <c r="HA73" s="516"/>
      <c r="HB73" s="516"/>
      <c r="HC73" s="516"/>
      <c r="HD73" s="516"/>
      <c r="HE73" s="516"/>
      <c r="HF73" s="516"/>
      <c r="HG73" s="516"/>
      <c r="HH73" s="516"/>
      <c r="HI73" s="516"/>
      <c r="HJ73" s="516"/>
      <c r="HK73" s="516"/>
      <c r="HL73" s="516"/>
      <c r="HM73" s="516"/>
      <c r="HN73" s="516"/>
      <c r="HO73" s="516"/>
      <c r="HP73" s="516"/>
      <c r="HQ73" s="516"/>
      <c r="HR73" s="516"/>
      <c r="HS73" s="516"/>
      <c r="HT73" s="516"/>
      <c r="HU73" s="516"/>
      <c r="HV73" s="516"/>
      <c r="HW73" s="516"/>
      <c r="HX73" s="516"/>
      <c r="HY73" s="516"/>
      <c r="HZ73" s="516"/>
      <c r="IA73" s="516"/>
      <c r="IB73" s="516"/>
      <c r="IC73" s="516"/>
      <c r="ID73" s="516"/>
      <c r="IE73" s="516"/>
      <c r="IF73" s="516"/>
      <c r="IG73" s="516"/>
      <c r="IH73" s="516"/>
      <c r="II73" s="516"/>
      <c r="IJ73" s="516"/>
      <c r="IK73" s="516"/>
      <c r="IL73" s="516"/>
      <c r="IM73" s="516"/>
      <c r="IN73" s="516"/>
      <c r="IO73" s="516"/>
      <c r="IP73" s="516"/>
      <c r="IQ73" s="516"/>
      <c r="IR73" s="516"/>
      <c r="IS73" s="516"/>
      <c r="IT73" s="516"/>
      <c r="IU73" s="516"/>
      <c r="IV73" s="516"/>
    </row>
    <row r="74" spans="1:256" ht="15.75" x14ac:dyDescent="0.25">
      <c r="A74" s="594"/>
      <c r="B74" s="621" t="s">
        <v>4</v>
      </c>
      <c r="C74" s="622" t="e">
        <f t="shared" ref="C74:I74" si="3">SUM(C55:C73)</f>
        <v>#REF!</v>
      </c>
      <c r="D74" s="622" t="e">
        <f t="shared" si="3"/>
        <v>#REF!</v>
      </c>
      <c r="E74" s="622" t="e">
        <f t="shared" si="3"/>
        <v>#REF!</v>
      </c>
      <c r="F74" s="622" t="e">
        <f t="shared" si="3"/>
        <v>#REF!</v>
      </c>
      <c r="G74" s="622" t="e">
        <f t="shared" si="3"/>
        <v>#REF!</v>
      </c>
      <c r="H74" s="622" t="e">
        <f t="shared" si="3"/>
        <v>#REF!</v>
      </c>
      <c r="I74" s="622" t="e">
        <f t="shared" si="3"/>
        <v>#REF!</v>
      </c>
      <c r="K74" s="623">
        <v>250.11093963847523</v>
      </c>
      <c r="L74" s="121"/>
      <c r="M74" s="121"/>
      <c r="N74" s="121"/>
      <c r="O74" s="121"/>
      <c r="P74" s="121"/>
      <c r="Q74" s="121"/>
      <c r="S74" s="600"/>
      <c r="T74" s="516"/>
      <c r="V74" s="516"/>
      <c r="W74" s="516"/>
    </row>
    <row r="75" spans="1:256" ht="15.75" x14ac:dyDescent="0.25">
      <c r="A75" s="594"/>
      <c r="B75" s="579" t="s">
        <v>396</v>
      </c>
      <c r="C75" s="597"/>
      <c r="D75" s="613"/>
      <c r="E75" s="597" t="e">
        <f>E56+E57+E58+E60+E72</f>
        <v>#REF!</v>
      </c>
      <c r="F75" s="597" t="e">
        <f>F55+F56+F57+F58+F59+F60+F62+F63+F64+F65+F72</f>
        <v>#REF!</v>
      </c>
      <c r="G75" s="597" t="e">
        <f>(G56+G57+G58+G59+G60+G71)/(1+$G$54)*G54</f>
        <v>#REF!</v>
      </c>
      <c r="H75" s="597" t="e">
        <f>D31+D33</f>
        <v>#REF!</v>
      </c>
      <c r="I75" s="599" t="e">
        <f>SUM(C75:H75)</f>
        <v>#REF!</v>
      </c>
      <c r="K75" s="623">
        <v>19.574179666083797</v>
      </c>
      <c r="L75" s="121"/>
      <c r="M75" s="121"/>
      <c r="N75" s="121"/>
      <c r="O75" s="121"/>
      <c r="P75" s="121"/>
      <c r="Q75" s="121"/>
      <c r="S75" s="600"/>
      <c r="T75" s="516"/>
      <c r="V75" s="516"/>
      <c r="W75" s="516"/>
    </row>
    <row r="76" spans="1:256" ht="15.75" x14ac:dyDescent="0.25">
      <c r="A76" s="624"/>
      <c r="B76" s="492"/>
      <c r="C76" s="492"/>
      <c r="D76" s="492"/>
      <c r="E76" s="492"/>
      <c r="F76" s="492"/>
      <c r="G76" s="492"/>
      <c r="H76" s="492"/>
      <c r="I76" s="492" t="e">
        <f>I74-I75</f>
        <v>#REF!</v>
      </c>
      <c r="J76" s="492"/>
      <c r="K76" s="623">
        <v>230.53675997239142</v>
      </c>
      <c r="L76" s="121"/>
      <c r="M76" s="121"/>
      <c r="N76" s="121"/>
      <c r="O76" s="121"/>
      <c r="P76" s="121"/>
      <c r="Q76" s="121"/>
      <c r="S76" s="600"/>
      <c r="T76" s="516"/>
      <c r="V76" s="516"/>
      <c r="W76" s="516"/>
    </row>
    <row r="77" spans="1:256" x14ac:dyDescent="0.25">
      <c r="A77" s="549"/>
      <c r="I77" s="488">
        <v>43.489407999914846</v>
      </c>
      <c r="J77" s="656" t="s">
        <v>405</v>
      </c>
      <c r="P77" s="492"/>
      <c r="Q77" s="625"/>
      <c r="R77" s="492"/>
      <c r="X77" s="492"/>
      <c r="Y77" s="492"/>
    </row>
    <row r="78" spans="1:256" ht="15.75" x14ac:dyDescent="0.25">
      <c r="A78" s="491"/>
      <c r="B78" s="626"/>
      <c r="C78" s="492"/>
      <c r="D78" s="493"/>
      <c r="E78" s="492"/>
      <c r="F78" s="492"/>
      <c r="G78" s="492"/>
      <c r="H78" s="492"/>
      <c r="I78" s="492" t="e">
        <f>I76-I77</f>
        <v>#REF!</v>
      </c>
      <c r="J78" s="657" t="s">
        <v>406</v>
      </c>
      <c r="K78" s="492"/>
      <c r="P78" s="492"/>
      <c r="Q78" s="625"/>
      <c r="R78" s="492"/>
      <c r="X78" s="492"/>
      <c r="Y78" s="492"/>
    </row>
    <row r="79" spans="1:256" ht="15.75" x14ac:dyDescent="0.25">
      <c r="A79" s="494"/>
      <c r="B79" s="492"/>
      <c r="C79" s="492"/>
      <c r="D79" s="492"/>
      <c r="E79" s="492"/>
      <c r="F79" s="548"/>
      <c r="G79" s="492"/>
      <c r="H79" s="492"/>
      <c r="I79" s="492"/>
      <c r="J79" s="492"/>
      <c r="K79" s="492"/>
      <c r="P79" s="508"/>
      <c r="Q79" s="492"/>
      <c r="R79" s="492"/>
      <c r="X79" s="492"/>
      <c r="Y79" s="492"/>
    </row>
    <row r="80" spans="1:256" ht="15.75" x14ac:dyDescent="0.25">
      <c r="A80" s="499"/>
      <c r="B80" s="492"/>
      <c r="C80" s="492"/>
      <c r="D80" s="492"/>
      <c r="E80" s="492"/>
      <c r="F80" s="500"/>
      <c r="G80" s="501"/>
      <c r="H80" s="492"/>
      <c r="I80" s="492"/>
      <c r="J80" s="492"/>
      <c r="K80" s="492"/>
      <c r="P80" s="492"/>
      <c r="Q80" s="492"/>
      <c r="R80" s="492"/>
      <c r="X80" s="492"/>
      <c r="Y80" s="492"/>
    </row>
    <row r="81" spans="1:25" x14ac:dyDescent="0.25">
      <c r="A81" s="513"/>
      <c r="B81" s="513"/>
      <c r="C81" s="512"/>
      <c r="D81" s="512"/>
      <c r="E81" s="512"/>
      <c r="F81" s="512"/>
      <c r="G81" s="512"/>
      <c r="H81" s="506"/>
      <c r="J81" s="492"/>
      <c r="K81" s="492"/>
      <c r="P81" s="492"/>
      <c r="Q81" s="492"/>
      <c r="R81" s="492"/>
      <c r="X81" s="492"/>
      <c r="Y81" s="492"/>
    </row>
    <row r="82" spans="1:25" x14ac:dyDescent="0.25">
      <c r="A82" s="492"/>
      <c r="B82" s="492"/>
      <c r="C82" s="492"/>
      <c r="D82" s="492"/>
      <c r="E82" s="512"/>
      <c r="F82" s="512"/>
      <c r="G82" s="512"/>
      <c r="H82" s="515"/>
      <c r="J82" s="492"/>
      <c r="K82" s="492"/>
      <c r="P82" s="492"/>
      <c r="Q82" s="492"/>
      <c r="R82" s="492"/>
      <c r="X82" s="492"/>
      <c r="Y82" s="492"/>
    </row>
    <row r="83" spans="1:25" x14ac:dyDescent="0.25">
      <c r="A83" s="627"/>
      <c r="B83" s="628"/>
      <c r="C83" s="629"/>
      <c r="D83" s="524"/>
      <c r="E83" s="625"/>
      <c r="F83" s="512"/>
      <c r="G83" s="524"/>
      <c r="H83" s="492"/>
      <c r="J83" s="492"/>
      <c r="K83" s="492"/>
      <c r="P83" s="492"/>
      <c r="Q83" s="625"/>
      <c r="R83" s="492"/>
      <c r="X83" s="492"/>
      <c r="Y83" s="492"/>
    </row>
    <row r="84" spans="1:25" x14ac:dyDescent="0.25">
      <c r="A84" s="527"/>
      <c r="B84" s="630"/>
      <c r="C84" s="514"/>
      <c r="D84" s="561"/>
      <c r="E84" s="530"/>
      <c r="F84" s="631"/>
      <c r="G84" s="632"/>
      <c r="H84" s="492"/>
      <c r="J84" s="625"/>
      <c r="K84" s="492"/>
      <c r="P84" s="508"/>
      <c r="Q84" s="492"/>
      <c r="R84" s="492"/>
      <c r="X84" s="492"/>
      <c r="Y84" s="492"/>
    </row>
    <row r="85" spans="1:25" x14ac:dyDescent="0.25">
      <c r="A85" s="527"/>
      <c r="B85" s="630"/>
      <c r="C85" s="514"/>
      <c r="D85" s="561"/>
      <c r="E85" s="530"/>
      <c r="F85" s="631"/>
      <c r="G85" s="633"/>
      <c r="H85" s="492"/>
      <c r="J85" s="625"/>
      <c r="K85" s="492"/>
      <c r="P85" s="508"/>
      <c r="Q85" s="492"/>
      <c r="R85" s="492"/>
      <c r="X85" s="492"/>
      <c r="Y85" s="492"/>
    </row>
    <row r="86" spans="1:25" x14ac:dyDescent="0.25">
      <c r="A86" s="527"/>
      <c r="B86" s="630"/>
      <c r="C86" s="514"/>
      <c r="D86" s="561"/>
      <c r="E86" s="530"/>
      <c r="F86" s="631"/>
      <c r="G86" s="633"/>
      <c r="H86" s="492"/>
      <c r="J86" s="625"/>
      <c r="K86" s="492"/>
      <c r="P86" s="508"/>
      <c r="Q86" s="492"/>
      <c r="R86" s="492"/>
      <c r="X86" s="492"/>
      <c r="Y86" s="492"/>
    </row>
    <row r="87" spans="1:25" x14ac:dyDescent="0.25">
      <c r="A87" s="527"/>
      <c r="B87" s="630"/>
      <c r="C87" s="514"/>
      <c r="D87" s="561"/>
      <c r="E87" s="530"/>
      <c r="F87" s="631"/>
      <c r="G87" s="552"/>
      <c r="H87" s="492"/>
      <c r="J87" s="625"/>
      <c r="K87" s="492"/>
      <c r="P87" s="508"/>
      <c r="Q87" s="492"/>
      <c r="R87" s="492"/>
      <c r="X87" s="492"/>
      <c r="Y87" s="492"/>
    </row>
    <row r="88" spans="1:25" x14ac:dyDescent="0.25">
      <c r="A88" s="539"/>
      <c r="B88" s="634"/>
      <c r="C88" s="512"/>
      <c r="D88" s="541"/>
      <c r="E88" s="513"/>
      <c r="F88" s="513"/>
      <c r="G88" s="513"/>
      <c r="H88" s="513">
        <f>SUM(H84:H86)</f>
        <v>0</v>
      </c>
      <c r="J88" s="625"/>
      <c r="K88" s="492"/>
      <c r="P88" s="508"/>
      <c r="Q88" s="492"/>
      <c r="R88" s="492"/>
      <c r="X88" s="492"/>
      <c r="Y88" s="492"/>
    </row>
    <row r="89" spans="1:25" x14ac:dyDescent="0.25">
      <c r="A89" s="492"/>
      <c r="B89" s="545"/>
      <c r="C89" s="514"/>
      <c r="D89" s="530"/>
      <c r="E89" s="530"/>
      <c r="F89" s="492"/>
      <c r="G89" s="492"/>
      <c r="H89" s="492"/>
      <c r="J89" s="492"/>
      <c r="K89" s="492"/>
      <c r="P89" s="492"/>
      <c r="Q89" s="492"/>
      <c r="R89" s="492"/>
      <c r="X89" s="492"/>
      <c r="Y89" s="492"/>
    </row>
    <row r="90" spans="1:25" x14ac:dyDescent="0.25">
      <c r="A90" s="524"/>
      <c r="B90" s="546"/>
      <c r="C90" s="514"/>
      <c r="D90" s="530"/>
      <c r="E90" s="530"/>
      <c r="F90" s="492"/>
      <c r="G90" s="635"/>
      <c r="H90" s="492"/>
      <c r="J90" s="492"/>
      <c r="K90" s="492"/>
      <c r="P90" s="492"/>
      <c r="Q90" s="492"/>
      <c r="R90" s="492"/>
      <c r="X90" s="492"/>
      <c r="Y90" s="492"/>
    </row>
    <row r="91" spans="1:25" x14ac:dyDescent="0.25">
      <c r="A91" s="524"/>
      <c r="B91" s="546"/>
      <c r="C91" s="514"/>
      <c r="D91" s="530"/>
      <c r="E91" s="530"/>
      <c r="F91" s="492"/>
      <c r="G91" s="635"/>
      <c r="H91" s="492"/>
      <c r="J91" s="492"/>
      <c r="K91" s="492"/>
      <c r="P91" s="492"/>
      <c r="Q91" s="492"/>
      <c r="R91" s="492"/>
      <c r="X91" s="492"/>
      <c r="Y91" s="492"/>
    </row>
    <row r="92" spans="1:25" x14ac:dyDescent="0.25">
      <c r="A92" s="492"/>
      <c r="B92" s="512"/>
      <c r="C92" s="512"/>
      <c r="D92" s="548"/>
      <c r="E92" s="548"/>
      <c r="F92" s="549"/>
      <c r="G92" s="492"/>
      <c r="H92" s="492"/>
      <c r="J92" s="492"/>
      <c r="K92" s="492"/>
      <c r="P92" s="492"/>
      <c r="Q92" s="492"/>
      <c r="R92" s="492"/>
      <c r="X92" s="492"/>
      <c r="Y92" s="492"/>
    </row>
    <row r="93" spans="1:25" x14ac:dyDescent="0.25">
      <c r="A93" s="492"/>
      <c r="B93" s="548"/>
      <c r="C93" s="514"/>
      <c r="D93" s="530"/>
      <c r="E93" s="530"/>
      <c r="F93" s="549"/>
      <c r="G93" s="492"/>
      <c r="H93" s="549">
        <f>H92+H88</f>
        <v>0</v>
      </c>
      <c r="J93" s="492"/>
      <c r="K93" s="492"/>
      <c r="P93" s="492"/>
      <c r="Q93" s="492"/>
      <c r="R93" s="492"/>
      <c r="X93" s="492"/>
      <c r="Y93" s="492"/>
    </row>
    <row r="94" spans="1:25" x14ac:dyDescent="0.25">
      <c r="A94" s="519"/>
      <c r="B94" s="532"/>
      <c r="C94" s="506"/>
      <c r="D94" s="533"/>
      <c r="E94" s="507"/>
      <c r="F94" s="534"/>
      <c r="G94" s="524"/>
      <c r="H94" s="525"/>
      <c r="I94" s="519"/>
      <c r="J94" s="532"/>
      <c r="K94" s="506"/>
      <c r="L94" s="533"/>
      <c r="M94" s="533"/>
      <c r="N94" s="533"/>
      <c r="O94" s="533"/>
      <c r="P94" s="534"/>
      <c r="R94" s="516"/>
      <c r="X94" s="501"/>
      <c r="Y94" s="492"/>
    </row>
    <row r="95" spans="1:25" x14ac:dyDescent="0.25">
      <c r="A95" s="539"/>
      <c r="B95" s="540"/>
      <c r="C95" s="512"/>
      <c r="D95" s="541"/>
      <c r="E95" s="513"/>
      <c r="F95" s="513"/>
      <c r="G95" s="513"/>
      <c r="I95" s="527"/>
      <c r="J95" s="636"/>
      <c r="K95" s="506"/>
      <c r="L95" s="533"/>
      <c r="M95" s="533"/>
      <c r="N95" s="533"/>
      <c r="O95" s="533"/>
      <c r="P95" s="534"/>
      <c r="X95" s="513"/>
      <c r="Y95" s="492"/>
    </row>
    <row r="96" spans="1:25" x14ac:dyDescent="0.25">
      <c r="A96" s="492"/>
      <c r="B96" s="545"/>
      <c r="C96" s="514"/>
      <c r="D96" s="530"/>
      <c r="E96" s="530"/>
      <c r="F96" s="492"/>
      <c r="G96" s="492"/>
      <c r="I96" s="539"/>
      <c r="J96" s="540"/>
      <c r="K96" s="512"/>
      <c r="L96" s="541"/>
      <c r="M96" s="541"/>
      <c r="N96" s="541"/>
      <c r="O96" s="541"/>
      <c r="P96" s="513"/>
      <c r="X96" s="492"/>
      <c r="Y96" s="492"/>
    </row>
    <row r="97" spans="1:25" x14ac:dyDescent="0.25">
      <c r="A97" s="524"/>
      <c r="B97" s="546"/>
      <c r="C97" s="514"/>
      <c r="D97" s="530"/>
      <c r="E97" s="530"/>
      <c r="F97" s="492"/>
      <c r="G97" s="492"/>
      <c r="I97" s="492"/>
      <c r="J97" s="545"/>
      <c r="K97" s="514"/>
      <c r="L97" s="530"/>
      <c r="M97" s="530"/>
      <c r="N97" s="530"/>
      <c r="O97" s="530"/>
      <c r="P97" s="492"/>
      <c r="X97" s="492"/>
      <c r="Y97" s="492"/>
    </row>
    <row r="98" spans="1:25" x14ac:dyDescent="0.25">
      <c r="A98" s="524"/>
      <c r="B98" s="546"/>
      <c r="C98" s="514"/>
      <c r="D98" s="530"/>
      <c r="E98" s="530"/>
      <c r="F98" s="492"/>
      <c r="G98" s="492"/>
      <c r="I98" s="524"/>
      <c r="J98" s="546"/>
      <c r="K98" s="514"/>
      <c r="L98" s="530"/>
      <c r="M98" s="530"/>
      <c r="N98" s="530"/>
      <c r="O98" s="530"/>
      <c r="P98" s="492"/>
      <c r="X98" s="492"/>
      <c r="Y98" s="492"/>
    </row>
    <row r="99" spans="1:25" x14ac:dyDescent="0.25">
      <c r="A99" s="492"/>
      <c r="B99" s="545"/>
      <c r="C99" s="512"/>
      <c r="D99" s="548"/>
      <c r="E99" s="548"/>
      <c r="F99" s="549"/>
      <c r="G99" s="492"/>
      <c r="I99" s="524"/>
      <c r="J99" s="546"/>
      <c r="K99" s="514"/>
      <c r="L99" s="530"/>
      <c r="M99" s="530"/>
      <c r="N99" s="530"/>
      <c r="O99" s="530"/>
      <c r="P99" s="492"/>
      <c r="X99" s="492"/>
      <c r="Y99" s="492"/>
    </row>
    <row r="100" spans="1:25" x14ac:dyDescent="0.25">
      <c r="A100" s="492"/>
      <c r="B100" s="548"/>
      <c r="C100" s="514"/>
      <c r="D100" s="530"/>
      <c r="E100" s="530"/>
      <c r="F100" s="549"/>
      <c r="G100" s="492"/>
      <c r="I100" s="492"/>
      <c r="J100" s="545"/>
      <c r="K100" s="512"/>
      <c r="L100" s="548"/>
      <c r="M100" s="548"/>
      <c r="N100" s="548"/>
      <c r="O100" s="548"/>
      <c r="P100" s="549"/>
      <c r="X100" s="549"/>
      <c r="Y100" s="492"/>
    </row>
    <row r="101" spans="1:25" x14ac:dyDescent="0.25">
      <c r="A101" s="513"/>
      <c r="B101" s="552"/>
      <c r="C101" s="514"/>
      <c r="D101" s="514"/>
      <c r="E101" s="514"/>
      <c r="F101" s="530"/>
      <c r="G101" s="513"/>
      <c r="I101" s="492"/>
      <c r="J101" s="548"/>
      <c r="K101" s="514"/>
      <c r="L101" s="530"/>
      <c r="M101" s="530"/>
      <c r="N101" s="530"/>
      <c r="O101" s="530"/>
      <c r="P101" s="549"/>
      <c r="X101" s="492"/>
      <c r="Y101" s="492"/>
    </row>
    <row r="102" spans="1:25" x14ac:dyDescent="0.25">
      <c r="A102" s="513"/>
      <c r="B102" s="556"/>
      <c r="C102" s="557"/>
      <c r="D102" s="557"/>
      <c r="E102" s="557"/>
      <c r="F102" s="534"/>
      <c r="G102" s="513"/>
      <c r="I102" s="513"/>
      <c r="J102" s="552"/>
      <c r="K102" s="514"/>
      <c r="L102" s="514"/>
      <c r="M102" s="514"/>
      <c r="N102" s="514"/>
      <c r="O102" s="514"/>
      <c r="P102" s="530"/>
      <c r="Q102" s="492"/>
      <c r="R102" s="492"/>
      <c r="X102" s="492"/>
      <c r="Y102" s="492"/>
    </row>
    <row r="103" spans="1:25" x14ac:dyDescent="0.25">
      <c r="A103" s="513"/>
      <c r="B103" s="637"/>
      <c r="C103" s="632"/>
      <c r="D103" s="638"/>
      <c r="E103" s="639"/>
      <c r="F103" s="639"/>
      <c r="G103" s="513"/>
      <c r="I103" s="513"/>
      <c r="J103" s="556"/>
      <c r="K103" s="557"/>
      <c r="L103" s="640"/>
      <c r="M103" s="640"/>
      <c r="N103" s="640"/>
      <c r="O103" s="640"/>
      <c r="P103" s="534"/>
      <c r="Q103" s="492"/>
      <c r="R103" s="492"/>
      <c r="X103" s="492"/>
      <c r="Y103" s="492"/>
    </row>
    <row r="104" spans="1:25" x14ac:dyDescent="0.25">
      <c r="A104" s="513"/>
      <c r="B104" s="552"/>
      <c r="C104" s="514"/>
      <c r="D104" s="561"/>
      <c r="E104" s="530"/>
      <c r="F104" s="631"/>
      <c r="G104" s="513"/>
      <c r="H104" s="492"/>
      <c r="I104" s="513"/>
      <c r="J104" s="556"/>
      <c r="K104" s="632"/>
      <c r="L104" s="641"/>
      <c r="M104" s="641"/>
      <c r="N104" s="641"/>
      <c r="O104" s="641"/>
      <c r="P104" s="534"/>
      <c r="Q104" s="492"/>
      <c r="R104" s="492"/>
      <c r="X104" s="492"/>
      <c r="Y104" s="492"/>
    </row>
    <row r="105" spans="1:25" x14ac:dyDescent="0.25">
      <c r="A105" s="513"/>
      <c r="B105" s="552"/>
      <c r="C105" s="514"/>
      <c r="D105" s="530"/>
      <c r="E105" s="530"/>
      <c r="F105" s="631"/>
      <c r="G105" s="513"/>
      <c r="H105" s="492"/>
      <c r="J105" s="642"/>
      <c r="K105" s="643"/>
      <c r="L105" s="644"/>
      <c r="M105" s="644"/>
      <c r="N105" s="644"/>
      <c r="O105" s="644"/>
      <c r="P105" s="632"/>
      <c r="Q105" s="645"/>
      <c r="R105" s="492"/>
      <c r="X105" s="492"/>
      <c r="Y105" s="492"/>
    </row>
    <row r="106" spans="1:25" x14ac:dyDescent="0.25">
      <c r="A106" s="513"/>
      <c r="B106" s="513"/>
      <c r="C106" s="512"/>
      <c r="D106" s="512"/>
      <c r="E106" s="512"/>
      <c r="F106" s="512"/>
      <c r="G106" s="513"/>
      <c r="H106" s="492"/>
      <c r="J106" s="492"/>
      <c r="K106" s="492"/>
      <c r="P106" s="492"/>
      <c r="Q106" s="492"/>
      <c r="R106" s="492"/>
      <c r="X106" s="492"/>
      <c r="Y106" s="492"/>
    </row>
    <row r="107" spans="1:25" x14ac:dyDescent="0.25">
      <c r="A107" s="513"/>
      <c r="B107" s="513"/>
      <c r="C107" s="512"/>
      <c r="D107" s="512"/>
      <c r="E107" s="512"/>
      <c r="F107" s="512"/>
      <c r="G107" s="513"/>
      <c r="H107" s="492"/>
      <c r="J107" s="492"/>
      <c r="K107" s="492"/>
      <c r="P107" s="492"/>
      <c r="Q107" s="492"/>
      <c r="R107" s="492"/>
      <c r="X107" s="492"/>
      <c r="Y107" s="492"/>
    </row>
    <row r="108" spans="1:25" x14ac:dyDescent="0.25">
      <c r="A108" s="513"/>
      <c r="B108" s="513"/>
      <c r="C108" s="512"/>
      <c r="D108" s="512"/>
      <c r="E108" s="512"/>
      <c r="F108" s="512"/>
      <c r="G108" s="513"/>
      <c r="H108" s="492"/>
      <c r="J108" s="492"/>
      <c r="K108" s="492"/>
      <c r="P108" s="492"/>
      <c r="Q108" s="492"/>
      <c r="R108" s="492"/>
      <c r="X108" s="492"/>
      <c r="Y108" s="492"/>
    </row>
    <row r="109" spans="1:25" x14ac:dyDescent="0.25">
      <c r="A109" s="513"/>
      <c r="B109" s="513"/>
      <c r="C109" s="512"/>
      <c r="D109" s="512"/>
      <c r="E109" s="512"/>
      <c r="F109" s="512"/>
      <c r="G109" s="513"/>
      <c r="H109" s="492"/>
      <c r="J109" s="492"/>
      <c r="K109" s="492"/>
      <c r="P109" s="492"/>
      <c r="Q109" s="492"/>
      <c r="R109" s="492"/>
      <c r="X109" s="492"/>
      <c r="Y109" s="492"/>
    </row>
    <row r="110" spans="1:25" x14ac:dyDescent="0.25">
      <c r="A110" s="513"/>
      <c r="B110" s="513"/>
      <c r="C110" s="512"/>
      <c r="D110" s="512"/>
      <c r="E110" s="512"/>
      <c r="F110" s="512"/>
      <c r="G110" s="513"/>
      <c r="H110" s="492"/>
      <c r="J110" s="492"/>
      <c r="K110" s="492"/>
      <c r="L110" s="492"/>
      <c r="M110" s="492"/>
      <c r="N110" s="492"/>
      <c r="O110" s="492"/>
      <c r="P110" s="492"/>
      <c r="Q110" s="492"/>
      <c r="R110" s="492"/>
      <c r="X110" s="492"/>
      <c r="Y110" s="492"/>
    </row>
    <row r="111" spans="1:25" x14ac:dyDescent="0.25">
      <c r="A111" s="513"/>
      <c r="B111" s="513"/>
      <c r="C111" s="512"/>
      <c r="D111" s="512"/>
      <c r="E111" s="512"/>
      <c r="F111" s="512"/>
      <c r="G111" s="513"/>
      <c r="H111" s="492"/>
      <c r="J111" s="492"/>
      <c r="K111" s="492"/>
      <c r="L111" s="492"/>
      <c r="M111" s="492"/>
      <c r="N111" s="492"/>
      <c r="O111" s="492"/>
      <c r="P111" s="492"/>
      <c r="Q111" s="492"/>
      <c r="R111" s="492"/>
      <c r="X111" s="492"/>
      <c r="Y111" s="492"/>
    </row>
    <row r="112" spans="1:25" x14ac:dyDescent="0.25">
      <c r="A112" s="492"/>
      <c r="B112" s="492"/>
      <c r="C112" s="625"/>
      <c r="D112" s="508"/>
      <c r="E112" s="492"/>
      <c r="F112" s="512"/>
      <c r="G112" s="513"/>
      <c r="H112" s="492"/>
      <c r="J112" s="492"/>
      <c r="K112" s="492"/>
      <c r="L112" s="492"/>
      <c r="M112" s="492"/>
      <c r="N112" s="492"/>
      <c r="O112" s="492"/>
      <c r="P112" s="492"/>
      <c r="Q112" s="492"/>
      <c r="R112" s="492"/>
      <c r="X112" s="492"/>
      <c r="Y112" s="492"/>
    </row>
    <row r="113" spans="1:25" x14ac:dyDescent="0.25">
      <c r="A113" s="539"/>
      <c r="B113" s="492"/>
      <c r="F113" s="513"/>
      <c r="G113" s="552"/>
      <c r="H113" s="492"/>
      <c r="J113" s="492"/>
      <c r="K113" s="492"/>
      <c r="L113" s="492"/>
      <c r="M113" s="492"/>
      <c r="N113" s="492"/>
      <c r="O113" s="492"/>
      <c r="P113" s="492"/>
      <c r="Q113" s="492"/>
      <c r="R113" s="492"/>
      <c r="X113" s="492"/>
      <c r="Y113" s="492"/>
    </row>
    <row r="114" spans="1:25" x14ac:dyDescent="0.25">
      <c r="A114" s="627"/>
      <c r="B114" s="630"/>
      <c r="C114" s="646"/>
      <c r="D114" s="552"/>
      <c r="E114" s="552"/>
      <c r="F114" s="492"/>
      <c r="G114" s="629"/>
      <c r="H114" s="492"/>
      <c r="J114" s="492"/>
      <c r="K114" s="492"/>
      <c r="L114" s="492"/>
      <c r="M114" s="492"/>
      <c r="N114" s="492"/>
      <c r="O114" s="492"/>
      <c r="P114" s="492"/>
      <c r="Q114" s="492"/>
      <c r="R114" s="492"/>
      <c r="X114" s="492"/>
      <c r="Y114" s="492"/>
    </row>
    <row r="115" spans="1:25" x14ac:dyDescent="0.25">
      <c r="A115" s="647"/>
      <c r="B115" s="630"/>
      <c r="C115" s="514"/>
      <c r="D115" s="552"/>
      <c r="E115" s="552"/>
      <c r="F115" s="530"/>
      <c r="G115" s="629"/>
      <c r="L115" s="492"/>
      <c r="M115" s="492"/>
      <c r="N115" s="492"/>
      <c r="O115" s="492"/>
      <c r="P115" s="492"/>
      <c r="Q115" s="492"/>
      <c r="R115" s="492"/>
      <c r="X115" s="492"/>
      <c r="Y115" s="492"/>
    </row>
    <row r="116" spans="1:25" x14ac:dyDescent="0.25">
      <c r="A116" s="492"/>
      <c r="B116" s="648"/>
      <c r="C116" s="514"/>
      <c r="D116" s="530"/>
      <c r="E116" s="530"/>
      <c r="F116" s="513"/>
      <c r="G116" s="546"/>
    </row>
    <row r="117" spans="1:25" x14ac:dyDescent="0.25">
      <c r="A117" s="647"/>
      <c r="B117" s="630"/>
      <c r="C117" s="514"/>
      <c r="D117" s="561"/>
      <c r="E117" s="561"/>
      <c r="F117" s="530"/>
      <c r="G117" s="546"/>
    </row>
    <row r="118" spans="1:25" x14ac:dyDescent="0.25">
      <c r="A118" s="492"/>
      <c r="B118" s="630"/>
      <c r="C118" s="514"/>
      <c r="D118" s="561"/>
      <c r="E118" s="561"/>
      <c r="F118" s="530"/>
      <c r="G118" s="546"/>
      <c r="H118" s="623"/>
    </row>
    <row r="119" spans="1:25" x14ac:dyDescent="0.25">
      <c r="A119" s="492"/>
      <c r="B119" s="630"/>
      <c r="C119" s="514"/>
      <c r="D119" s="561"/>
      <c r="E119" s="561"/>
      <c r="F119" s="530"/>
      <c r="G119" s="546"/>
      <c r="H119" s="492"/>
      <c r="I119" s="492"/>
    </row>
    <row r="120" spans="1:25" x14ac:dyDescent="0.25">
      <c r="A120" s="492"/>
      <c r="B120" s="552"/>
      <c r="C120" s="629"/>
      <c r="D120" s="493"/>
      <c r="E120" s="493"/>
      <c r="F120" s="513"/>
      <c r="G120" s="546"/>
      <c r="H120" s="492"/>
      <c r="I120" s="492"/>
    </row>
    <row r="121" spans="1:25" x14ac:dyDescent="0.25">
      <c r="A121" s="647"/>
      <c r="B121" s="630"/>
      <c r="C121" s="514"/>
      <c r="D121" s="561"/>
      <c r="E121" s="561"/>
      <c r="F121" s="530"/>
      <c r="G121" s="546"/>
      <c r="H121" s="492"/>
      <c r="I121" s="492"/>
    </row>
    <row r="122" spans="1:25" x14ac:dyDescent="0.25">
      <c r="A122" s="647"/>
      <c r="B122" s="630"/>
      <c r="D122" s="493"/>
      <c r="E122" s="561"/>
      <c r="F122" s="530"/>
      <c r="G122" s="546"/>
      <c r="H122" s="492"/>
      <c r="I122" s="492"/>
    </row>
    <row r="123" spans="1:25" x14ac:dyDescent="0.25">
      <c r="A123" s="647"/>
      <c r="B123" s="630"/>
      <c r="C123" s="514"/>
      <c r="D123" s="561"/>
      <c r="E123" s="561"/>
      <c r="F123" s="530"/>
      <c r="G123" s="546"/>
      <c r="H123" s="492"/>
      <c r="I123" s="492"/>
    </row>
    <row r="124" spans="1:25" x14ac:dyDescent="0.25">
      <c r="A124" s="647"/>
      <c r="B124" s="501"/>
      <c r="C124" s="507"/>
      <c r="D124" s="507"/>
      <c r="E124" s="492"/>
      <c r="F124" s="530"/>
      <c r="G124" s="546"/>
      <c r="H124" s="492"/>
      <c r="I124" s="492"/>
    </row>
    <row r="125" spans="1:25" x14ac:dyDescent="0.25">
      <c r="A125" s="647"/>
      <c r="B125" s="492"/>
      <c r="C125" s="625"/>
      <c r="D125" s="625"/>
      <c r="E125" s="492"/>
      <c r="F125" s="530"/>
      <c r="G125" s="546"/>
      <c r="H125" s="492"/>
      <c r="I125" s="492"/>
      <c r="J125" s="492"/>
      <c r="K125" s="492"/>
    </row>
    <row r="126" spans="1:25" x14ac:dyDescent="0.25">
      <c r="B126" s="492"/>
      <c r="C126" s="625"/>
      <c r="D126" s="625"/>
      <c r="E126" s="492"/>
      <c r="G126" s="492"/>
      <c r="H126" s="492"/>
      <c r="I126" s="492"/>
      <c r="J126" s="492"/>
      <c r="K126" s="492"/>
    </row>
    <row r="127" spans="1:25" x14ac:dyDescent="0.25">
      <c r="A127" s="492"/>
      <c r="B127" s="492"/>
      <c r="C127" s="492"/>
      <c r="D127" s="492"/>
      <c r="E127" s="492"/>
      <c r="F127" s="492"/>
      <c r="G127" s="492"/>
      <c r="H127" s="492"/>
      <c r="I127" s="492"/>
      <c r="J127" s="492"/>
      <c r="K127" s="492"/>
    </row>
    <row r="128" spans="1:25" x14ac:dyDescent="0.25">
      <c r="B128" s="492"/>
      <c r="C128" s="492"/>
      <c r="D128" s="492"/>
      <c r="E128" s="492"/>
      <c r="G128" s="492"/>
      <c r="H128" s="492"/>
      <c r="I128" s="492"/>
      <c r="J128" s="492"/>
      <c r="K128" s="492"/>
    </row>
    <row r="129" spans="2:11" x14ac:dyDescent="0.25">
      <c r="B129" s="492"/>
      <c r="C129" s="492"/>
      <c r="D129" s="492"/>
      <c r="E129" s="492"/>
      <c r="G129" s="492"/>
      <c r="H129" s="492"/>
      <c r="I129" s="492"/>
      <c r="J129" s="492"/>
      <c r="K129" s="492"/>
    </row>
    <row r="130" spans="2:11" x14ac:dyDescent="0.25">
      <c r="B130" s="492"/>
      <c r="C130" s="492"/>
      <c r="D130" s="492"/>
      <c r="E130" s="492"/>
      <c r="G130" s="492"/>
      <c r="H130" s="492"/>
      <c r="I130" s="492"/>
      <c r="J130" s="492"/>
      <c r="K130" s="492"/>
    </row>
    <row r="131" spans="2:11" x14ac:dyDescent="0.25">
      <c r="B131" s="492"/>
      <c r="C131" s="492"/>
      <c r="D131" s="492"/>
      <c r="E131" s="492"/>
    </row>
    <row r="132" spans="2:11" x14ac:dyDescent="0.25">
      <c r="B132" s="492"/>
      <c r="C132" s="492"/>
      <c r="D132" s="492"/>
      <c r="E132" s="492"/>
    </row>
  </sheetData>
  <mergeCells count="7">
    <mergeCell ref="C52:D52"/>
    <mergeCell ref="E52:G52"/>
    <mergeCell ref="A6:E6"/>
    <mergeCell ref="A7:E7"/>
    <mergeCell ref="A8:E8"/>
    <mergeCell ref="A9:E9"/>
    <mergeCell ref="A10:E1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J52"/>
  <sheetViews>
    <sheetView showZeros="0" tabSelected="1" topLeftCell="A22" zoomScale="83" zoomScaleNormal="83" workbookViewId="0">
      <selection activeCell="N27" sqref="N27"/>
    </sheetView>
  </sheetViews>
  <sheetFormatPr defaultRowHeight="15" x14ac:dyDescent="0.25"/>
  <cols>
    <col min="1" max="1" width="6.44140625" style="676" customWidth="1"/>
    <col min="2" max="2" width="47.5546875" style="676" customWidth="1"/>
    <col min="3" max="3" width="11.109375" style="676" hidden="1" customWidth="1"/>
    <col min="4" max="4" width="13.109375" style="676" hidden="1" customWidth="1"/>
    <col min="5" max="5" width="18.33203125" style="676" customWidth="1"/>
    <col min="6" max="6" width="16.88671875" style="676" customWidth="1"/>
    <col min="7" max="7" width="16.5546875" style="676" customWidth="1"/>
    <col min="8" max="8" width="16.21875" style="676" customWidth="1"/>
    <col min="9" max="9" width="16.33203125" style="676" customWidth="1"/>
    <col min="10" max="10" width="11.109375" style="676" customWidth="1"/>
    <col min="11" max="11" width="9.44140625" style="676" customWidth="1"/>
    <col min="12" max="12" width="9.5546875" style="676" customWidth="1"/>
    <col min="13" max="13" width="10.77734375" style="676" customWidth="1"/>
    <col min="14" max="14" width="6.5546875" style="676" customWidth="1"/>
    <col min="15" max="15" width="7.5546875" style="676" customWidth="1"/>
    <col min="16" max="16" width="10.109375" style="676" customWidth="1"/>
    <col min="17" max="17" width="9.44140625" style="676" customWidth="1"/>
    <col min="18" max="18" width="11" style="676" customWidth="1"/>
    <col min="19" max="19" width="14" style="676" customWidth="1"/>
    <col min="20" max="20" width="9.88671875" style="676" customWidth="1"/>
    <col min="21" max="24" width="8.88671875" style="676"/>
    <col min="25" max="25" width="15" style="676" customWidth="1"/>
    <col min="26" max="26" width="6.44140625" style="676" customWidth="1"/>
    <col min="27" max="27" width="5.6640625" style="676" customWidth="1"/>
    <col min="28" max="28" width="9.109375" style="676" customWidth="1"/>
    <col min="29" max="31" width="8.88671875" style="676"/>
    <col min="32" max="32" width="11.6640625" style="676" customWidth="1"/>
    <col min="33" max="256" width="8.88671875" style="676"/>
    <col min="257" max="257" width="6.44140625" style="676" customWidth="1"/>
    <col min="258" max="258" width="43.33203125" style="676" customWidth="1"/>
    <col min="259" max="259" width="11.109375" style="676" customWidth="1"/>
    <col min="260" max="260" width="13.109375" style="676" customWidth="1"/>
    <col min="261" max="261" width="13.88671875" style="676" customWidth="1"/>
    <col min="262" max="262" width="12.44140625" style="676" customWidth="1"/>
    <col min="263" max="263" width="13" style="676" customWidth="1"/>
    <col min="264" max="264" width="11" style="676" customWidth="1"/>
    <col min="265" max="265" width="9.88671875" style="676" customWidth="1"/>
    <col min="266" max="266" width="11.109375" style="676" customWidth="1"/>
    <col min="267" max="267" width="9.44140625" style="676" customWidth="1"/>
    <col min="268" max="268" width="9.5546875" style="676" customWidth="1"/>
    <col min="269" max="269" width="10.77734375" style="676" customWidth="1"/>
    <col min="270" max="270" width="6.5546875" style="676" customWidth="1"/>
    <col min="271" max="271" width="7.5546875" style="676" customWidth="1"/>
    <col min="272" max="272" width="10.109375" style="676" customWidth="1"/>
    <col min="273" max="273" width="9.44140625" style="676" customWidth="1"/>
    <col min="274" max="274" width="11" style="676" customWidth="1"/>
    <col min="275" max="275" width="14" style="676" customWidth="1"/>
    <col min="276" max="276" width="9.88671875" style="676" customWidth="1"/>
    <col min="277" max="280" width="8.88671875" style="676"/>
    <col min="281" max="281" width="15" style="676" customWidth="1"/>
    <col min="282" max="282" width="6.44140625" style="676" customWidth="1"/>
    <col min="283" max="283" width="5.6640625" style="676" customWidth="1"/>
    <col min="284" max="284" width="9.109375" style="676" customWidth="1"/>
    <col min="285" max="287" width="8.88671875" style="676"/>
    <col min="288" max="288" width="11.6640625" style="676" customWidth="1"/>
    <col min="289" max="512" width="8.88671875" style="676"/>
    <col min="513" max="513" width="6.44140625" style="676" customWidth="1"/>
    <col min="514" max="514" width="43.33203125" style="676" customWidth="1"/>
    <col min="515" max="515" width="11.109375" style="676" customWidth="1"/>
    <col min="516" max="516" width="13.109375" style="676" customWidth="1"/>
    <col min="517" max="517" width="13.88671875" style="676" customWidth="1"/>
    <col min="518" max="518" width="12.44140625" style="676" customWidth="1"/>
    <col min="519" max="519" width="13" style="676" customWidth="1"/>
    <col min="520" max="520" width="11" style="676" customWidth="1"/>
    <col min="521" max="521" width="9.88671875" style="676" customWidth="1"/>
    <col min="522" max="522" width="11.109375" style="676" customWidth="1"/>
    <col min="523" max="523" width="9.44140625" style="676" customWidth="1"/>
    <col min="524" max="524" width="9.5546875" style="676" customWidth="1"/>
    <col min="525" max="525" width="10.77734375" style="676" customWidth="1"/>
    <col min="526" max="526" width="6.5546875" style="676" customWidth="1"/>
    <col min="527" max="527" width="7.5546875" style="676" customWidth="1"/>
    <col min="528" max="528" width="10.109375" style="676" customWidth="1"/>
    <col min="529" max="529" width="9.44140625" style="676" customWidth="1"/>
    <col min="530" max="530" width="11" style="676" customWidth="1"/>
    <col min="531" max="531" width="14" style="676" customWidth="1"/>
    <col min="532" max="532" width="9.88671875" style="676" customWidth="1"/>
    <col min="533" max="536" width="8.88671875" style="676"/>
    <col min="537" max="537" width="15" style="676" customWidth="1"/>
    <col min="538" max="538" width="6.44140625" style="676" customWidth="1"/>
    <col min="539" max="539" width="5.6640625" style="676" customWidth="1"/>
    <col min="540" max="540" width="9.109375" style="676" customWidth="1"/>
    <col min="541" max="543" width="8.88671875" style="676"/>
    <col min="544" max="544" width="11.6640625" style="676" customWidth="1"/>
    <col min="545" max="768" width="8.88671875" style="676"/>
    <col min="769" max="769" width="6.44140625" style="676" customWidth="1"/>
    <col min="770" max="770" width="43.33203125" style="676" customWidth="1"/>
    <col min="771" max="771" width="11.109375" style="676" customWidth="1"/>
    <col min="772" max="772" width="13.109375" style="676" customWidth="1"/>
    <col min="773" max="773" width="13.88671875" style="676" customWidth="1"/>
    <col min="774" max="774" width="12.44140625" style="676" customWidth="1"/>
    <col min="775" max="775" width="13" style="676" customWidth="1"/>
    <col min="776" max="776" width="11" style="676" customWidth="1"/>
    <col min="777" max="777" width="9.88671875" style="676" customWidth="1"/>
    <col min="778" max="778" width="11.109375" style="676" customWidth="1"/>
    <col min="779" max="779" width="9.44140625" style="676" customWidth="1"/>
    <col min="780" max="780" width="9.5546875" style="676" customWidth="1"/>
    <col min="781" max="781" width="10.77734375" style="676" customWidth="1"/>
    <col min="782" max="782" width="6.5546875" style="676" customWidth="1"/>
    <col min="783" max="783" width="7.5546875" style="676" customWidth="1"/>
    <col min="784" max="784" width="10.109375" style="676" customWidth="1"/>
    <col min="785" max="785" width="9.44140625" style="676" customWidth="1"/>
    <col min="786" max="786" width="11" style="676" customWidth="1"/>
    <col min="787" max="787" width="14" style="676" customWidth="1"/>
    <col min="788" max="788" width="9.88671875" style="676" customWidth="1"/>
    <col min="789" max="792" width="8.88671875" style="676"/>
    <col min="793" max="793" width="15" style="676" customWidth="1"/>
    <col min="794" max="794" width="6.44140625" style="676" customWidth="1"/>
    <col min="795" max="795" width="5.6640625" style="676" customWidth="1"/>
    <col min="796" max="796" width="9.109375" style="676" customWidth="1"/>
    <col min="797" max="799" width="8.88671875" style="676"/>
    <col min="800" max="800" width="11.6640625" style="676" customWidth="1"/>
    <col min="801" max="1024" width="8.88671875" style="676"/>
    <col min="1025" max="1025" width="6.44140625" style="676" customWidth="1"/>
    <col min="1026" max="1026" width="43.33203125" style="676" customWidth="1"/>
    <col min="1027" max="1027" width="11.109375" style="676" customWidth="1"/>
    <col min="1028" max="1028" width="13.109375" style="676" customWidth="1"/>
    <col min="1029" max="1029" width="13.88671875" style="676" customWidth="1"/>
    <col min="1030" max="1030" width="12.44140625" style="676" customWidth="1"/>
    <col min="1031" max="1031" width="13" style="676" customWidth="1"/>
    <col min="1032" max="1032" width="11" style="676" customWidth="1"/>
    <col min="1033" max="1033" width="9.88671875" style="676" customWidth="1"/>
    <col min="1034" max="1034" width="11.109375" style="676" customWidth="1"/>
    <col min="1035" max="1035" width="9.44140625" style="676" customWidth="1"/>
    <col min="1036" max="1036" width="9.5546875" style="676" customWidth="1"/>
    <col min="1037" max="1037" width="10.77734375" style="676" customWidth="1"/>
    <col min="1038" max="1038" width="6.5546875" style="676" customWidth="1"/>
    <col min="1039" max="1039" width="7.5546875" style="676" customWidth="1"/>
    <col min="1040" max="1040" width="10.109375" style="676" customWidth="1"/>
    <col min="1041" max="1041" width="9.44140625" style="676" customWidth="1"/>
    <col min="1042" max="1042" width="11" style="676" customWidth="1"/>
    <col min="1043" max="1043" width="14" style="676" customWidth="1"/>
    <col min="1044" max="1044" width="9.88671875" style="676" customWidth="1"/>
    <col min="1045" max="1048" width="8.88671875" style="676"/>
    <col min="1049" max="1049" width="15" style="676" customWidth="1"/>
    <col min="1050" max="1050" width="6.44140625" style="676" customWidth="1"/>
    <col min="1051" max="1051" width="5.6640625" style="676" customWidth="1"/>
    <col min="1052" max="1052" width="9.109375" style="676" customWidth="1"/>
    <col min="1053" max="1055" width="8.88671875" style="676"/>
    <col min="1056" max="1056" width="11.6640625" style="676" customWidth="1"/>
    <col min="1057" max="1280" width="8.88671875" style="676"/>
    <col min="1281" max="1281" width="6.44140625" style="676" customWidth="1"/>
    <col min="1282" max="1282" width="43.33203125" style="676" customWidth="1"/>
    <col min="1283" max="1283" width="11.109375" style="676" customWidth="1"/>
    <col min="1284" max="1284" width="13.109375" style="676" customWidth="1"/>
    <col min="1285" max="1285" width="13.88671875" style="676" customWidth="1"/>
    <col min="1286" max="1286" width="12.44140625" style="676" customWidth="1"/>
    <col min="1287" max="1287" width="13" style="676" customWidth="1"/>
    <col min="1288" max="1288" width="11" style="676" customWidth="1"/>
    <col min="1289" max="1289" width="9.88671875" style="676" customWidth="1"/>
    <col min="1290" max="1290" width="11.109375" style="676" customWidth="1"/>
    <col min="1291" max="1291" width="9.44140625" style="676" customWidth="1"/>
    <col min="1292" max="1292" width="9.5546875" style="676" customWidth="1"/>
    <col min="1293" max="1293" width="10.77734375" style="676" customWidth="1"/>
    <col min="1294" max="1294" width="6.5546875" style="676" customWidth="1"/>
    <col min="1295" max="1295" width="7.5546875" style="676" customWidth="1"/>
    <col min="1296" max="1296" width="10.109375" style="676" customWidth="1"/>
    <col min="1297" max="1297" width="9.44140625" style="676" customWidth="1"/>
    <col min="1298" max="1298" width="11" style="676" customWidth="1"/>
    <col min="1299" max="1299" width="14" style="676" customWidth="1"/>
    <col min="1300" max="1300" width="9.88671875" style="676" customWidth="1"/>
    <col min="1301" max="1304" width="8.88671875" style="676"/>
    <col min="1305" max="1305" width="15" style="676" customWidth="1"/>
    <col min="1306" max="1306" width="6.44140625" style="676" customWidth="1"/>
    <col min="1307" max="1307" width="5.6640625" style="676" customWidth="1"/>
    <col min="1308" max="1308" width="9.109375" style="676" customWidth="1"/>
    <col min="1309" max="1311" width="8.88671875" style="676"/>
    <col min="1312" max="1312" width="11.6640625" style="676" customWidth="1"/>
    <col min="1313" max="1536" width="8.88671875" style="676"/>
    <col min="1537" max="1537" width="6.44140625" style="676" customWidth="1"/>
    <col min="1538" max="1538" width="43.33203125" style="676" customWidth="1"/>
    <col min="1539" max="1539" width="11.109375" style="676" customWidth="1"/>
    <col min="1540" max="1540" width="13.109375" style="676" customWidth="1"/>
    <col min="1541" max="1541" width="13.88671875" style="676" customWidth="1"/>
    <col min="1542" max="1542" width="12.44140625" style="676" customWidth="1"/>
    <col min="1543" max="1543" width="13" style="676" customWidth="1"/>
    <col min="1544" max="1544" width="11" style="676" customWidth="1"/>
    <col min="1545" max="1545" width="9.88671875" style="676" customWidth="1"/>
    <col min="1546" max="1546" width="11.109375" style="676" customWidth="1"/>
    <col min="1547" max="1547" width="9.44140625" style="676" customWidth="1"/>
    <col min="1548" max="1548" width="9.5546875" style="676" customWidth="1"/>
    <col min="1549" max="1549" width="10.77734375" style="676" customWidth="1"/>
    <col min="1550" max="1550" width="6.5546875" style="676" customWidth="1"/>
    <col min="1551" max="1551" width="7.5546875" style="676" customWidth="1"/>
    <col min="1552" max="1552" width="10.109375" style="676" customWidth="1"/>
    <col min="1553" max="1553" width="9.44140625" style="676" customWidth="1"/>
    <col min="1554" max="1554" width="11" style="676" customWidth="1"/>
    <col min="1555" max="1555" width="14" style="676" customWidth="1"/>
    <col min="1556" max="1556" width="9.88671875" style="676" customWidth="1"/>
    <col min="1557" max="1560" width="8.88671875" style="676"/>
    <col min="1561" max="1561" width="15" style="676" customWidth="1"/>
    <col min="1562" max="1562" width="6.44140625" style="676" customWidth="1"/>
    <col min="1563" max="1563" width="5.6640625" style="676" customWidth="1"/>
    <col min="1564" max="1564" width="9.109375" style="676" customWidth="1"/>
    <col min="1565" max="1567" width="8.88671875" style="676"/>
    <col min="1568" max="1568" width="11.6640625" style="676" customWidth="1"/>
    <col min="1569" max="1792" width="8.88671875" style="676"/>
    <col min="1793" max="1793" width="6.44140625" style="676" customWidth="1"/>
    <col min="1794" max="1794" width="43.33203125" style="676" customWidth="1"/>
    <col min="1795" max="1795" width="11.109375" style="676" customWidth="1"/>
    <col min="1796" max="1796" width="13.109375" style="676" customWidth="1"/>
    <col min="1797" max="1797" width="13.88671875" style="676" customWidth="1"/>
    <col min="1798" max="1798" width="12.44140625" style="676" customWidth="1"/>
    <col min="1799" max="1799" width="13" style="676" customWidth="1"/>
    <col min="1800" max="1800" width="11" style="676" customWidth="1"/>
    <col min="1801" max="1801" width="9.88671875" style="676" customWidth="1"/>
    <col min="1802" max="1802" width="11.109375" style="676" customWidth="1"/>
    <col min="1803" max="1803" width="9.44140625" style="676" customWidth="1"/>
    <col min="1804" max="1804" width="9.5546875" style="676" customWidth="1"/>
    <col min="1805" max="1805" width="10.77734375" style="676" customWidth="1"/>
    <col min="1806" max="1806" width="6.5546875" style="676" customWidth="1"/>
    <col min="1807" max="1807" width="7.5546875" style="676" customWidth="1"/>
    <col min="1808" max="1808" width="10.109375" style="676" customWidth="1"/>
    <col min="1809" max="1809" width="9.44140625" style="676" customWidth="1"/>
    <col min="1810" max="1810" width="11" style="676" customWidth="1"/>
    <col min="1811" max="1811" width="14" style="676" customWidth="1"/>
    <col min="1812" max="1812" width="9.88671875" style="676" customWidth="1"/>
    <col min="1813" max="1816" width="8.88671875" style="676"/>
    <col min="1817" max="1817" width="15" style="676" customWidth="1"/>
    <col min="1818" max="1818" width="6.44140625" style="676" customWidth="1"/>
    <col min="1819" max="1819" width="5.6640625" style="676" customWidth="1"/>
    <col min="1820" max="1820" width="9.109375" style="676" customWidth="1"/>
    <col min="1821" max="1823" width="8.88671875" style="676"/>
    <col min="1824" max="1824" width="11.6640625" style="676" customWidth="1"/>
    <col min="1825" max="2048" width="8.88671875" style="676"/>
    <col min="2049" max="2049" width="6.44140625" style="676" customWidth="1"/>
    <col min="2050" max="2050" width="43.33203125" style="676" customWidth="1"/>
    <col min="2051" max="2051" width="11.109375" style="676" customWidth="1"/>
    <col min="2052" max="2052" width="13.109375" style="676" customWidth="1"/>
    <col min="2053" max="2053" width="13.88671875" style="676" customWidth="1"/>
    <col min="2054" max="2054" width="12.44140625" style="676" customWidth="1"/>
    <col min="2055" max="2055" width="13" style="676" customWidth="1"/>
    <col min="2056" max="2056" width="11" style="676" customWidth="1"/>
    <col min="2057" max="2057" width="9.88671875" style="676" customWidth="1"/>
    <col min="2058" max="2058" width="11.109375" style="676" customWidth="1"/>
    <col min="2059" max="2059" width="9.44140625" style="676" customWidth="1"/>
    <col min="2060" max="2060" width="9.5546875" style="676" customWidth="1"/>
    <col min="2061" max="2061" width="10.77734375" style="676" customWidth="1"/>
    <col min="2062" max="2062" width="6.5546875" style="676" customWidth="1"/>
    <col min="2063" max="2063" width="7.5546875" style="676" customWidth="1"/>
    <col min="2064" max="2064" width="10.109375" style="676" customWidth="1"/>
    <col min="2065" max="2065" width="9.44140625" style="676" customWidth="1"/>
    <col min="2066" max="2066" width="11" style="676" customWidth="1"/>
    <col min="2067" max="2067" width="14" style="676" customWidth="1"/>
    <col min="2068" max="2068" width="9.88671875" style="676" customWidth="1"/>
    <col min="2069" max="2072" width="8.88671875" style="676"/>
    <col min="2073" max="2073" width="15" style="676" customWidth="1"/>
    <col min="2074" max="2074" width="6.44140625" style="676" customWidth="1"/>
    <col min="2075" max="2075" width="5.6640625" style="676" customWidth="1"/>
    <col min="2076" max="2076" width="9.109375" style="676" customWidth="1"/>
    <col min="2077" max="2079" width="8.88671875" style="676"/>
    <col min="2080" max="2080" width="11.6640625" style="676" customWidth="1"/>
    <col min="2081" max="2304" width="8.88671875" style="676"/>
    <col min="2305" max="2305" width="6.44140625" style="676" customWidth="1"/>
    <col min="2306" max="2306" width="43.33203125" style="676" customWidth="1"/>
    <col min="2307" max="2307" width="11.109375" style="676" customWidth="1"/>
    <col min="2308" max="2308" width="13.109375" style="676" customWidth="1"/>
    <col min="2309" max="2309" width="13.88671875" style="676" customWidth="1"/>
    <col min="2310" max="2310" width="12.44140625" style="676" customWidth="1"/>
    <col min="2311" max="2311" width="13" style="676" customWidth="1"/>
    <col min="2312" max="2312" width="11" style="676" customWidth="1"/>
    <col min="2313" max="2313" width="9.88671875" style="676" customWidth="1"/>
    <col min="2314" max="2314" width="11.109375" style="676" customWidth="1"/>
    <col min="2315" max="2315" width="9.44140625" style="676" customWidth="1"/>
    <col min="2316" max="2316" width="9.5546875" style="676" customWidth="1"/>
    <col min="2317" max="2317" width="10.77734375" style="676" customWidth="1"/>
    <col min="2318" max="2318" width="6.5546875" style="676" customWidth="1"/>
    <col min="2319" max="2319" width="7.5546875" style="676" customWidth="1"/>
    <col min="2320" max="2320" width="10.109375" style="676" customWidth="1"/>
    <col min="2321" max="2321" width="9.44140625" style="676" customWidth="1"/>
    <col min="2322" max="2322" width="11" style="676" customWidth="1"/>
    <col min="2323" max="2323" width="14" style="676" customWidth="1"/>
    <col min="2324" max="2324" width="9.88671875" style="676" customWidth="1"/>
    <col min="2325" max="2328" width="8.88671875" style="676"/>
    <col min="2329" max="2329" width="15" style="676" customWidth="1"/>
    <col min="2330" max="2330" width="6.44140625" style="676" customWidth="1"/>
    <col min="2331" max="2331" width="5.6640625" style="676" customWidth="1"/>
    <col min="2332" max="2332" width="9.109375" style="676" customWidth="1"/>
    <col min="2333" max="2335" width="8.88671875" style="676"/>
    <col min="2336" max="2336" width="11.6640625" style="676" customWidth="1"/>
    <col min="2337" max="2560" width="8.88671875" style="676"/>
    <col min="2561" max="2561" width="6.44140625" style="676" customWidth="1"/>
    <col min="2562" max="2562" width="43.33203125" style="676" customWidth="1"/>
    <col min="2563" max="2563" width="11.109375" style="676" customWidth="1"/>
    <col min="2564" max="2564" width="13.109375" style="676" customWidth="1"/>
    <col min="2565" max="2565" width="13.88671875" style="676" customWidth="1"/>
    <col min="2566" max="2566" width="12.44140625" style="676" customWidth="1"/>
    <col min="2567" max="2567" width="13" style="676" customWidth="1"/>
    <col min="2568" max="2568" width="11" style="676" customWidth="1"/>
    <col min="2569" max="2569" width="9.88671875" style="676" customWidth="1"/>
    <col min="2570" max="2570" width="11.109375" style="676" customWidth="1"/>
    <col min="2571" max="2571" width="9.44140625" style="676" customWidth="1"/>
    <col min="2572" max="2572" width="9.5546875" style="676" customWidth="1"/>
    <col min="2573" max="2573" width="10.77734375" style="676" customWidth="1"/>
    <col min="2574" max="2574" width="6.5546875" style="676" customWidth="1"/>
    <col min="2575" max="2575" width="7.5546875" style="676" customWidth="1"/>
    <col min="2576" max="2576" width="10.109375" style="676" customWidth="1"/>
    <col min="2577" max="2577" width="9.44140625" style="676" customWidth="1"/>
    <col min="2578" max="2578" width="11" style="676" customWidth="1"/>
    <col min="2579" max="2579" width="14" style="676" customWidth="1"/>
    <col min="2580" max="2580" width="9.88671875" style="676" customWidth="1"/>
    <col min="2581" max="2584" width="8.88671875" style="676"/>
    <col min="2585" max="2585" width="15" style="676" customWidth="1"/>
    <col min="2586" max="2586" width="6.44140625" style="676" customWidth="1"/>
    <col min="2587" max="2587" width="5.6640625" style="676" customWidth="1"/>
    <col min="2588" max="2588" width="9.109375" style="676" customWidth="1"/>
    <col min="2589" max="2591" width="8.88671875" style="676"/>
    <col min="2592" max="2592" width="11.6640625" style="676" customWidth="1"/>
    <col min="2593" max="2816" width="8.88671875" style="676"/>
    <col min="2817" max="2817" width="6.44140625" style="676" customWidth="1"/>
    <col min="2818" max="2818" width="43.33203125" style="676" customWidth="1"/>
    <col min="2819" max="2819" width="11.109375" style="676" customWidth="1"/>
    <col min="2820" max="2820" width="13.109375" style="676" customWidth="1"/>
    <col min="2821" max="2821" width="13.88671875" style="676" customWidth="1"/>
    <col min="2822" max="2822" width="12.44140625" style="676" customWidth="1"/>
    <col min="2823" max="2823" width="13" style="676" customWidth="1"/>
    <col min="2824" max="2824" width="11" style="676" customWidth="1"/>
    <col min="2825" max="2825" width="9.88671875" style="676" customWidth="1"/>
    <col min="2826" max="2826" width="11.109375" style="676" customWidth="1"/>
    <col min="2827" max="2827" width="9.44140625" style="676" customWidth="1"/>
    <col min="2828" max="2828" width="9.5546875" style="676" customWidth="1"/>
    <col min="2829" max="2829" width="10.77734375" style="676" customWidth="1"/>
    <col min="2830" max="2830" width="6.5546875" style="676" customWidth="1"/>
    <col min="2831" max="2831" width="7.5546875" style="676" customWidth="1"/>
    <col min="2832" max="2832" width="10.109375" style="676" customWidth="1"/>
    <col min="2833" max="2833" width="9.44140625" style="676" customWidth="1"/>
    <col min="2834" max="2834" width="11" style="676" customWidth="1"/>
    <col min="2835" max="2835" width="14" style="676" customWidth="1"/>
    <col min="2836" max="2836" width="9.88671875" style="676" customWidth="1"/>
    <col min="2837" max="2840" width="8.88671875" style="676"/>
    <col min="2841" max="2841" width="15" style="676" customWidth="1"/>
    <col min="2842" max="2842" width="6.44140625" style="676" customWidth="1"/>
    <col min="2843" max="2843" width="5.6640625" style="676" customWidth="1"/>
    <col min="2844" max="2844" width="9.109375" style="676" customWidth="1"/>
    <col min="2845" max="2847" width="8.88671875" style="676"/>
    <col min="2848" max="2848" width="11.6640625" style="676" customWidth="1"/>
    <col min="2849" max="3072" width="8.88671875" style="676"/>
    <col min="3073" max="3073" width="6.44140625" style="676" customWidth="1"/>
    <col min="3074" max="3074" width="43.33203125" style="676" customWidth="1"/>
    <col min="3075" max="3075" width="11.109375" style="676" customWidth="1"/>
    <col min="3076" max="3076" width="13.109375" style="676" customWidth="1"/>
    <col min="3077" max="3077" width="13.88671875" style="676" customWidth="1"/>
    <col min="3078" max="3078" width="12.44140625" style="676" customWidth="1"/>
    <col min="3079" max="3079" width="13" style="676" customWidth="1"/>
    <col min="3080" max="3080" width="11" style="676" customWidth="1"/>
    <col min="3081" max="3081" width="9.88671875" style="676" customWidth="1"/>
    <col min="3082" max="3082" width="11.109375" style="676" customWidth="1"/>
    <col min="3083" max="3083" width="9.44140625" style="676" customWidth="1"/>
    <col min="3084" max="3084" width="9.5546875" style="676" customWidth="1"/>
    <col min="3085" max="3085" width="10.77734375" style="676" customWidth="1"/>
    <col min="3086" max="3086" width="6.5546875" style="676" customWidth="1"/>
    <col min="3087" max="3087" width="7.5546875" style="676" customWidth="1"/>
    <col min="3088" max="3088" width="10.109375" style="676" customWidth="1"/>
    <col min="3089" max="3089" width="9.44140625" style="676" customWidth="1"/>
    <col min="3090" max="3090" width="11" style="676" customWidth="1"/>
    <col min="3091" max="3091" width="14" style="676" customWidth="1"/>
    <col min="3092" max="3092" width="9.88671875" style="676" customWidth="1"/>
    <col min="3093" max="3096" width="8.88671875" style="676"/>
    <col min="3097" max="3097" width="15" style="676" customWidth="1"/>
    <col min="3098" max="3098" width="6.44140625" style="676" customWidth="1"/>
    <col min="3099" max="3099" width="5.6640625" style="676" customWidth="1"/>
    <col min="3100" max="3100" width="9.109375" style="676" customWidth="1"/>
    <col min="3101" max="3103" width="8.88671875" style="676"/>
    <col min="3104" max="3104" width="11.6640625" style="676" customWidth="1"/>
    <col min="3105" max="3328" width="8.88671875" style="676"/>
    <col min="3329" max="3329" width="6.44140625" style="676" customWidth="1"/>
    <col min="3330" max="3330" width="43.33203125" style="676" customWidth="1"/>
    <col min="3331" max="3331" width="11.109375" style="676" customWidth="1"/>
    <col min="3332" max="3332" width="13.109375" style="676" customWidth="1"/>
    <col min="3333" max="3333" width="13.88671875" style="676" customWidth="1"/>
    <col min="3334" max="3334" width="12.44140625" style="676" customWidth="1"/>
    <col min="3335" max="3335" width="13" style="676" customWidth="1"/>
    <col min="3336" max="3336" width="11" style="676" customWidth="1"/>
    <col min="3337" max="3337" width="9.88671875" style="676" customWidth="1"/>
    <col min="3338" max="3338" width="11.109375" style="676" customWidth="1"/>
    <col min="3339" max="3339" width="9.44140625" style="676" customWidth="1"/>
    <col min="3340" max="3340" width="9.5546875" style="676" customWidth="1"/>
    <col min="3341" max="3341" width="10.77734375" style="676" customWidth="1"/>
    <col min="3342" max="3342" width="6.5546875" style="676" customWidth="1"/>
    <col min="3343" max="3343" width="7.5546875" style="676" customWidth="1"/>
    <col min="3344" max="3344" width="10.109375" style="676" customWidth="1"/>
    <col min="3345" max="3345" width="9.44140625" style="676" customWidth="1"/>
    <col min="3346" max="3346" width="11" style="676" customWidth="1"/>
    <col min="3347" max="3347" width="14" style="676" customWidth="1"/>
    <col min="3348" max="3348" width="9.88671875" style="676" customWidth="1"/>
    <col min="3349" max="3352" width="8.88671875" style="676"/>
    <col min="3353" max="3353" width="15" style="676" customWidth="1"/>
    <col min="3354" max="3354" width="6.44140625" style="676" customWidth="1"/>
    <col min="3355" max="3355" width="5.6640625" style="676" customWidth="1"/>
    <col min="3356" max="3356" width="9.109375" style="676" customWidth="1"/>
    <col min="3357" max="3359" width="8.88671875" style="676"/>
    <col min="3360" max="3360" width="11.6640625" style="676" customWidth="1"/>
    <col min="3361" max="3584" width="8.88671875" style="676"/>
    <col min="3585" max="3585" width="6.44140625" style="676" customWidth="1"/>
    <col min="3586" max="3586" width="43.33203125" style="676" customWidth="1"/>
    <col min="3587" max="3587" width="11.109375" style="676" customWidth="1"/>
    <col min="3588" max="3588" width="13.109375" style="676" customWidth="1"/>
    <col min="3589" max="3589" width="13.88671875" style="676" customWidth="1"/>
    <col min="3590" max="3590" width="12.44140625" style="676" customWidth="1"/>
    <col min="3591" max="3591" width="13" style="676" customWidth="1"/>
    <col min="3592" max="3592" width="11" style="676" customWidth="1"/>
    <col min="3593" max="3593" width="9.88671875" style="676" customWidth="1"/>
    <col min="3594" max="3594" width="11.109375" style="676" customWidth="1"/>
    <col min="3595" max="3595" width="9.44140625" style="676" customWidth="1"/>
    <col min="3596" max="3596" width="9.5546875" style="676" customWidth="1"/>
    <col min="3597" max="3597" width="10.77734375" style="676" customWidth="1"/>
    <col min="3598" max="3598" width="6.5546875" style="676" customWidth="1"/>
    <col min="3599" max="3599" width="7.5546875" style="676" customWidth="1"/>
    <col min="3600" max="3600" width="10.109375" style="676" customWidth="1"/>
    <col min="3601" max="3601" width="9.44140625" style="676" customWidth="1"/>
    <col min="3602" max="3602" width="11" style="676" customWidth="1"/>
    <col min="3603" max="3603" width="14" style="676" customWidth="1"/>
    <col min="3604" max="3604" width="9.88671875" style="676" customWidth="1"/>
    <col min="3605" max="3608" width="8.88671875" style="676"/>
    <col min="3609" max="3609" width="15" style="676" customWidth="1"/>
    <col min="3610" max="3610" width="6.44140625" style="676" customWidth="1"/>
    <col min="3611" max="3611" width="5.6640625" style="676" customWidth="1"/>
    <col min="3612" max="3612" width="9.109375" style="676" customWidth="1"/>
    <col min="3613" max="3615" width="8.88671875" style="676"/>
    <col min="3616" max="3616" width="11.6640625" style="676" customWidth="1"/>
    <col min="3617" max="3840" width="8.88671875" style="676"/>
    <col min="3841" max="3841" width="6.44140625" style="676" customWidth="1"/>
    <col min="3842" max="3842" width="43.33203125" style="676" customWidth="1"/>
    <col min="3843" max="3843" width="11.109375" style="676" customWidth="1"/>
    <col min="3844" max="3844" width="13.109375" style="676" customWidth="1"/>
    <col min="3845" max="3845" width="13.88671875" style="676" customWidth="1"/>
    <col min="3846" max="3846" width="12.44140625" style="676" customWidth="1"/>
    <col min="3847" max="3847" width="13" style="676" customWidth="1"/>
    <col min="3848" max="3848" width="11" style="676" customWidth="1"/>
    <col min="3849" max="3849" width="9.88671875" style="676" customWidth="1"/>
    <col min="3850" max="3850" width="11.109375" style="676" customWidth="1"/>
    <col min="3851" max="3851" width="9.44140625" style="676" customWidth="1"/>
    <col min="3852" max="3852" width="9.5546875" style="676" customWidth="1"/>
    <col min="3853" max="3853" width="10.77734375" style="676" customWidth="1"/>
    <col min="3854" max="3854" width="6.5546875" style="676" customWidth="1"/>
    <col min="3855" max="3855" width="7.5546875" style="676" customWidth="1"/>
    <col min="3856" max="3856" width="10.109375" style="676" customWidth="1"/>
    <col min="3857" max="3857" width="9.44140625" style="676" customWidth="1"/>
    <col min="3858" max="3858" width="11" style="676" customWidth="1"/>
    <col min="3859" max="3859" width="14" style="676" customWidth="1"/>
    <col min="3860" max="3860" width="9.88671875" style="676" customWidth="1"/>
    <col min="3861" max="3864" width="8.88671875" style="676"/>
    <col min="3865" max="3865" width="15" style="676" customWidth="1"/>
    <col min="3866" max="3866" width="6.44140625" style="676" customWidth="1"/>
    <col min="3867" max="3867" width="5.6640625" style="676" customWidth="1"/>
    <col min="3868" max="3868" width="9.109375" style="676" customWidth="1"/>
    <col min="3869" max="3871" width="8.88671875" style="676"/>
    <col min="3872" max="3872" width="11.6640625" style="676" customWidth="1"/>
    <col min="3873" max="4096" width="8.88671875" style="676"/>
    <col min="4097" max="4097" width="6.44140625" style="676" customWidth="1"/>
    <col min="4098" max="4098" width="43.33203125" style="676" customWidth="1"/>
    <col min="4099" max="4099" width="11.109375" style="676" customWidth="1"/>
    <col min="4100" max="4100" width="13.109375" style="676" customWidth="1"/>
    <col min="4101" max="4101" width="13.88671875" style="676" customWidth="1"/>
    <col min="4102" max="4102" width="12.44140625" style="676" customWidth="1"/>
    <col min="4103" max="4103" width="13" style="676" customWidth="1"/>
    <col min="4104" max="4104" width="11" style="676" customWidth="1"/>
    <col min="4105" max="4105" width="9.88671875" style="676" customWidth="1"/>
    <col min="4106" max="4106" width="11.109375" style="676" customWidth="1"/>
    <col min="4107" max="4107" width="9.44140625" style="676" customWidth="1"/>
    <col min="4108" max="4108" width="9.5546875" style="676" customWidth="1"/>
    <col min="4109" max="4109" width="10.77734375" style="676" customWidth="1"/>
    <col min="4110" max="4110" width="6.5546875" style="676" customWidth="1"/>
    <col min="4111" max="4111" width="7.5546875" style="676" customWidth="1"/>
    <col min="4112" max="4112" width="10.109375" style="676" customWidth="1"/>
    <col min="4113" max="4113" width="9.44140625" style="676" customWidth="1"/>
    <col min="4114" max="4114" width="11" style="676" customWidth="1"/>
    <col min="4115" max="4115" width="14" style="676" customWidth="1"/>
    <col min="4116" max="4116" width="9.88671875" style="676" customWidth="1"/>
    <col min="4117" max="4120" width="8.88671875" style="676"/>
    <col min="4121" max="4121" width="15" style="676" customWidth="1"/>
    <col min="4122" max="4122" width="6.44140625" style="676" customWidth="1"/>
    <col min="4123" max="4123" width="5.6640625" style="676" customWidth="1"/>
    <col min="4124" max="4124" width="9.109375" style="676" customWidth="1"/>
    <col min="4125" max="4127" width="8.88671875" style="676"/>
    <col min="4128" max="4128" width="11.6640625" style="676" customWidth="1"/>
    <col min="4129" max="4352" width="8.88671875" style="676"/>
    <col min="4353" max="4353" width="6.44140625" style="676" customWidth="1"/>
    <col min="4354" max="4354" width="43.33203125" style="676" customWidth="1"/>
    <col min="4355" max="4355" width="11.109375" style="676" customWidth="1"/>
    <col min="4356" max="4356" width="13.109375" style="676" customWidth="1"/>
    <col min="4357" max="4357" width="13.88671875" style="676" customWidth="1"/>
    <col min="4358" max="4358" width="12.44140625" style="676" customWidth="1"/>
    <col min="4359" max="4359" width="13" style="676" customWidth="1"/>
    <col min="4360" max="4360" width="11" style="676" customWidth="1"/>
    <col min="4361" max="4361" width="9.88671875" style="676" customWidth="1"/>
    <col min="4362" max="4362" width="11.109375" style="676" customWidth="1"/>
    <col min="4363" max="4363" width="9.44140625" style="676" customWidth="1"/>
    <col min="4364" max="4364" width="9.5546875" style="676" customWidth="1"/>
    <col min="4365" max="4365" width="10.77734375" style="676" customWidth="1"/>
    <col min="4366" max="4366" width="6.5546875" style="676" customWidth="1"/>
    <col min="4367" max="4367" width="7.5546875" style="676" customWidth="1"/>
    <col min="4368" max="4368" width="10.109375" style="676" customWidth="1"/>
    <col min="4369" max="4369" width="9.44140625" style="676" customWidth="1"/>
    <col min="4370" max="4370" width="11" style="676" customWidth="1"/>
    <col min="4371" max="4371" width="14" style="676" customWidth="1"/>
    <col min="4372" max="4372" width="9.88671875" style="676" customWidth="1"/>
    <col min="4373" max="4376" width="8.88671875" style="676"/>
    <col min="4377" max="4377" width="15" style="676" customWidth="1"/>
    <col min="4378" max="4378" width="6.44140625" style="676" customWidth="1"/>
    <col min="4379" max="4379" width="5.6640625" style="676" customWidth="1"/>
    <col min="4380" max="4380" width="9.109375" style="676" customWidth="1"/>
    <col min="4381" max="4383" width="8.88671875" style="676"/>
    <col min="4384" max="4384" width="11.6640625" style="676" customWidth="1"/>
    <col min="4385" max="4608" width="8.88671875" style="676"/>
    <col min="4609" max="4609" width="6.44140625" style="676" customWidth="1"/>
    <col min="4610" max="4610" width="43.33203125" style="676" customWidth="1"/>
    <col min="4611" max="4611" width="11.109375" style="676" customWidth="1"/>
    <col min="4612" max="4612" width="13.109375" style="676" customWidth="1"/>
    <col min="4613" max="4613" width="13.88671875" style="676" customWidth="1"/>
    <col min="4614" max="4614" width="12.44140625" style="676" customWidth="1"/>
    <col min="4615" max="4615" width="13" style="676" customWidth="1"/>
    <col min="4616" max="4616" width="11" style="676" customWidth="1"/>
    <col min="4617" max="4617" width="9.88671875" style="676" customWidth="1"/>
    <col min="4618" max="4618" width="11.109375" style="676" customWidth="1"/>
    <col min="4619" max="4619" width="9.44140625" style="676" customWidth="1"/>
    <col min="4620" max="4620" width="9.5546875" style="676" customWidth="1"/>
    <col min="4621" max="4621" width="10.77734375" style="676" customWidth="1"/>
    <col min="4622" max="4622" width="6.5546875" style="676" customWidth="1"/>
    <col min="4623" max="4623" width="7.5546875" style="676" customWidth="1"/>
    <col min="4624" max="4624" width="10.109375" style="676" customWidth="1"/>
    <col min="4625" max="4625" width="9.44140625" style="676" customWidth="1"/>
    <col min="4626" max="4626" width="11" style="676" customWidth="1"/>
    <col min="4627" max="4627" width="14" style="676" customWidth="1"/>
    <col min="4628" max="4628" width="9.88671875" style="676" customWidth="1"/>
    <col min="4629" max="4632" width="8.88671875" style="676"/>
    <col min="4633" max="4633" width="15" style="676" customWidth="1"/>
    <col min="4634" max="4634" width="6.44140625" style="676" customWidth="1"/>
    <col min="4635" max="4635" width="5.6640625" style="676" customWidth="1"/>
    <col min="4636" max="4636" width="9.109375" style="676" customWidth="1"/>
    <col min="4637" max="4639" width="8.88671875" style="676"/>
    <col min="4640" max="4640" width="11.6640625" style="676" customWidth="1"/>
    <col min="4641" max="4864" width="8.88671875" style="676"/>
    <col min="4865" max="4865" width="6.44140625" style="676" customWidth="1"/>
    <col min="4866" max="4866" width="43.33203125" style="676" customWidth="1"/>
    <col min="4867" max="4867" width="11.109375" style="676" customWidth="1"/>
    <col min="4868" max="4868" width="13.109375" style="676" customWidth="1"/>
    <col min="4869" max="4869" width="13.88671875" style="676" customWidth="1"/>
    <col min="4870" max="4870" width="12.44140625" style="676" customWidth="1"/>
    <col min="4871" max="4871" width="13" style="676" customWidth="1"/>
    <col min="4872" max="4872" width="11" style="676" customWidth="1"/>
    <col min="4873" max="4873" width="9.88671875" style="676" customWidth="1"/>
    <col min="4874" max="4874" width="11.109375" style="676" customWidth="1"/>
    <col min="4875" max="4875" width="9.44140625" style="676" customWidth="1"/>
    <col min="4876" max="4876" width="9.5546875" style="676" customWidth="1"/>
    <col min="4877" max="4877" width="10.77734375" style="676" customWidth="1"/>
    <col min="4878" max="4878" width="6.5546875" style="676" customWidth="1"/>
    <col min="4879" max="4879" width="7.5546875" style="676" customWidth="1"/>
    <col min="4880" max="4880" width="10.109375" style="676" customWidth="1"/>
    <col min="4881" max="4881" width="9.44140625" style="676" customWidth="1"/>
    <col min="4882" max="4882" width="11" style="676" customWidth="1"/>
    <col min="4883" max="4883" width="14" style="676" customWidth="1"/>
    <col min="4884" max="4884" width="9.88671875" style="676" customWidth="1"/>
    <col min="4885" max="4888" width="8.88671875" style="676"/>
    <col min="4889" max="4889" width="15" style="676" customWidth="1"/>
    <col min="4890" max="4890" width="6.44140625" style="676" customWidth="1"/>
    <col min="4891" max="4891" width="5.6640625" style="676" customWidth="1"/>
    <col min="4892" max="4892" width="9.109375" style="676" customWidth="1"/>
    <col min="4893" max="4895" width="8.88671875" style="676"/>
    <col min="4896" max="4896" width="11.6640625" style="676" customWidth="1"/>
    <col min="4897" max="5120" width="8.88671875" style="676"/>
    <col min="5121" max="5121" width="6.44140625" style="676" customWidth="1"/>
    <col min="5122" max="5122" width="43.33203125" style="676" customWidth="1"/>
    <col min="5123" max="5123" width="11.109375" style="676" customWidth="1"/>
    <col min="5124" max="5124" width="13.109375" style="676" customWidth="1"/>
    <col min="5125" max="5125" width="13.88671875" style="676" customWidth="1"/>
    <col min="5126" max="5126" width="12.44140625" style="676" customWidth="1"/>
    <col min="5127" max="5127" width="13" style="676" customWidth="1"/>
    <col min="5128" max="5128" width="11" style="676" customWidth="1"/>
    <col min="5129" max="5129" width="9.88671875" style="676" customWidth="1"/>
    <col min="5130" max="5130" width="11.109375" style="676" customWidth="1"/>
    <col min="5131" max="5131" width="9.44140625" style="676" customWidth="1"/>
    <col min="5132" max="5132" width="9.5546875" style="676" customWidth="1"/>
    <col min="5133" max="5133" width="10.77734375" style="676" customWidth="1"/>
    <col min="5134" max="5134" width="6.5546875" style="676" customWidth="1"/>
    <col min="5135" max="5135" width="7.5546875" style="676" customWidth="1"/>
    <col min="5136" max="5136" width="10.109375" style="676" customWidth="1"/>
    <col min="5137" max="5137" width="9.44140625" style="676" customWidth="1"/>
    <col min="5138" max="5138" width="11" style="676" customWidth="1"/>
    <col min="5139" max="5139" width="14" style="676" customWidth="1"/>
    <col min="5140" max="5140" width="9.88671875" style="676" customWidth="1"/>
    <col min="5141" max="5144" width="8.88671875" style="676"/>
    <col min="5145" max="5145" width="15" style="676" customWidth="1"/>
    <col min="5146" max="5146" width="6.44140625" style="676" customWidth="1"/>
    <col min="5147" max="5147" width="5.6640625" style="676" customWidth="1"/>
    <col min="5148" max="5148" width="9.109375" style="676" customWidth="1"/>
    <col min="5149" max="5151" width="8.88671875" style="676"/>
    <col min="5152" max="5152" width="11.6640625" style="676" customWidth="1"/>
    <col min="5153" max="5376" width="8.88671875" style="676"/>
    <col min="5377" max="5377" width="6.44140625" style="676" customWidth="1"/>
    <col min="5378" max="5378" width="43.33203125" style="676" customWidth="1"/>
    <col min="5379" max="5379" width="11.109375" style="676" customWidth="1"/>
    <col min="5380" max="5380" width="13.109375" style="676" customWidth="1"/>
    <col min="5381" max="5381" width="13.88671875" style="676" customWidth="1"/>
    <col min="5382" max="5382" width="12.44140625" style="676" customWidth="1"/>
    <col min="5383" max="5383" width="13" style="676" customWidth="1"/>
    <col min="5384" max="5384" width="11" style="676" customWidth="1"/>
    <col min="5385" max="5385" width="9.88671875" style="676" customWidth="1"/>
    <col min="5386" max="5386" width="11.109375" style="676" customWidth="1"/>
    <col min="5387" max="5387" width="9.44140625" style="676" customWidth="1"/>
    <col min="5388" max="5388" width="9.5546875" style="676" customWidth="1"/>
    <col min="5389" max="5389" width="10.77734375" style="676" customWidth="1"/>
    <col min="5390" max="5390" width="6.5546875" style="676" customWidth="1"/>
    <col min="5391" max="5391" width="7.5546875" style="676" customWidth="1"/>
    <col min="5392" max="5392" width="10.109375" style="676" customWidth="1"/>
    <col min="5393" max="5393" width="9.44140625" style="676" customWidth="1"/>
    <col min="5394" max="5394" width="11" style="676" customWidth="1"/>
    <col min="5395" max="5395" width="14" style="676" customWidth="1"/>
    <col min="5396" max="5396" width="9.88671875" style="676" customWidth="1"/>
    <col min="5397" max="5400" width="8.88671875" style="676"/>
    <col min="5401" max="5401" width="15" style="676" customWidth="1"/>
    <col min="5402" max="5402" width="6.44140625" style="676" customWidth="1"/>
    <col min="5403" max="5403" width="5.6640625" style="676" customWidth="1"/>
    <col min="5404" max="5404" width="9.109375" style="676" customWidth="1"/>
    <col min="5405" max="5407" width="8.88671875" style="676"/>
    <col min="5408" max="5408" width="11.6640625" style="676" customWidth="1"/>
    <col min="5409" max="5632" width="8.88671875" style="676"/>
    <col min="5633" max="5633" width="6.44140625" style="676" customWidth="1"/>
    <col min="5634" max="5634" width="43.33203125" style="676" customWidth="1"/>
    <col min="5635" max="5635" width="11.109375" style="676" customWidth="1"/>
    <col min="5636" max="5636" width="13.109375" style="676" customWidth="1"/>
    <col min="5637" max="5637" width="13.88671875" style="676" customWidth="1"/>
    <col min="5638" max="5638" width="12.44140625" style="676" customWidth="1"/>
    <col min="5639" max="5639" width="13" style="676" customWidth="1"/>
    <col min="5640" max="5640" width="11" style="676" customWidth="1"/>
    <col min="5641" max="5641" width="9.88671875" style="676" customWidth="1"/>
    <col min="5642" max="5642" width="11.109375" style="676" customWidth="1"/>
    <col min="5643" max="5643" width="9.44140625" style="676" customWidth="1"/>
    <col min="5644" max="5644" width="9.5546875" style="676" customWidth="1"/>
    <col min="5645" max="5645" width="10.77734375" style="676" customWidth="1"/>
    <col min="5646" max="5646" width="6.5546875" style="676" customWidth="1"/>
    <col min="5647" max="5647" width="7.5546875" style="676" customWidth="1"/>
    <col min="5648" max="5648" width="10.109375" style="676" customWidth="1"/>
    <col min="5649" max="5649" width="9.44140625" style="676" customWidth="1"/>
    <col min="5650" max="5650" width="11" style="676" customWidth="1"/>
    <col min="5651" max="5651" width="14" style="676" customWidth="1"/>
    <col min="5652" max="5652" width="9.88671875" style="676" customWidth="1"/>
    <col min="5653" max="5656" width="8.88671875" style="676"/>
    <col min="5657" max="5657" width="15" style="676" customWidth="1"/>
    <col min="5658" max="5658" width="6.44140625" style="676" customWidth="1"/>
    <col min="5659" max="5659" width="5.6640625" style="676" customWidth="1"/>
    <col min="5660" max="5660" width="9.109375" style="676" customWidth="1"/>
    <col min="5661" max="5663" width="8.88671875" style="676"/>
    <col min="5664" max="5664" width="11.6640625" style="676" customWidth="1"/>
    <col min="5665" max="5888" width="8.88671875" style="676"/>
    <col min="5889" max="5889" width="6.44140625" style="676" customWidth="1"/>
    <col min="5890" max="5890" width="43.33203125" style="676" customWidth="1"/>
    <col min="5891" max="5891" width="11.109375" style="676" customWidth="1"/>
    <col min="5892" max="5892" width="13.109375" style="676" customWidth="1"/>
    <col min="5893" max="5893" width="13.88671875" style="676" customWidth="1"/>
    <col min="5894" max="5894" width="12.44140625" style="676" customWidth="1"/>
    <col min="5895" max="5895" width="13" style="676" customWidth="1"/>
    <col min="5896" max="5896" width="11" style="676" customWidth="1"/>
    <col min="5897" max="5897" width="9.88671875" style="676" customWidth="1"/>
    <col min="5898" max="5898" width="11.109375" style="676" customWidth="1"/>
    <col min="5899" max="5899" width="9.44140625" style="676" customWidth="1"/>
    <col min="5900" max="5900" width="9.5546875" style="676" customWidth="1"/>
    <col min="5901" max="5901" width="10.77734375" style="676" customWidth="1"/>
    <col min="5902" max="5902" width="6.5546875" style="676" customWidth="1"/>
    <col min="5903" max="5903" width="7.5546875" style="676" customWidth="1"/>
    <col min="5904" max="5904" width="10.109375" style="676" customWidth="1"/>
    <col min="5905" max="5905" width="9.44140625" style="676" customWidth="1"/>
    <col min="5906" max="5906" width="11" style="676" customWidth="1"/>
    <col min="5907" max="5907" width="14" style="676" customWidth="1"/>
    <col min="5908" max="5908" width="9.88671875" style="676" customWidth="1"/>
    <col min="5909" max="5912" width="8.88671875" style="676"/>
    <col min="5913" max="5913" width="15" style="676" customWidth="1"/>
    <col min="5914" max="5914" width="6.44140625" style="676" customWidth="1"/>
    <col min="5915" max="5915" width="5.6640625" style="676" customWidth="1"/>
    <col min="5916" max="5916" width="9.109375" style="676" customWidth="1"/>
    <col min="5917" max="5919" width="8.88671875" style="676"/>
    <col min="5920" max="5920" width="11.6640625" style="676" customWidth="1"/>
    <col min="5921" max="6144" width="8.88671875" style="676"/>
    <col min="6145" max="6145" width="6.44140625" style="676" customWidth="1"/>
    <col min="6146" max="6146" width="43.33203125" style="676" customWidth="1"/>
    <col min="6147" max="6147" width="11.109375" style="676" customWidth="1"/>
    <col min="6148" max="6148" width="13.109375" style="676" customWidth="1"/>
    <col min="6149" max="6149" width="13.88671875" style="676" customWidth="1"/>
    <col min="6150" max="6150" width="12.44140625" style="676" customWidth="1"/>
    <col min="6151" max="6151" width="13" style="676" customWidth="1"/>
    <col min="6152" max="6152" width="11" style="676" customWidth="1"/>
    <col min="6153" max="6153" width="9.88671875" style="676" customWidth="1"/>
    <col min="6154" max="6154" width="11.109375" style="676" customWidth="1"/>
    <col min="6155" max="6155" width="9.44140625" style="676" customWidth="1"/>
    <col min="6156" max="6156" width="9.5546875" style="676" customWidth="1"/>
    <col min="6157" max="6157" width="10.77734375" style="676" customWidth="1"/>
    <col min="6158" max="6158" width="6.5546875" style="676" customWidth="1"/>
    <col min="6159" max="6159" width="7.5546875" style="676" customWidth="1"/>
    <col min="6160" max="6160" width="10.109375" style="676" customWidth="1"/>
    <col min="6161" max="6161" width="9.44140625" style="676" customWidth="1"/>
    <col min="6162" max="6162" width="11" style="676" customWidth="1"/>
    <col min="6163" max="6163" width="14" style="676" customWidth="1"/>
    <col min="6164" max="6164" width="9.88671875" style="676" customWidth="1"/>
    <col min="6165" max="6168" width="8.88671875" style="676"/>
    <col min="6169" max="6169" width="15" style="676" customWidth="1"/>
    <col min="6170" max="6170" width="6.44140625" style="676" customWidth="1"/>
    <col min="6171" max="6171" width="5.6640625" style="676" customWidth="1"/>
    <col min="6172" max="6172" width="9.109375" style="676" customWidth="1"/>
    <col min="6173" max="6175" width="8.88671875" style="676"/>
    <col min="6176" max="6176" width="11.6640625" style="676" customWidth="1"/>
    <col min="6177" max="6400" width="8.88671875" style="676"/>
    <col min="6401" max="6401" width="6.44140625" style="676" customWidth="1"/>
    <col min="6402" max="6402" width="43.33203125" style="676" customWidth="1"/>
    <col min="6403" max="6403" width="11.109375" style="676" customWidth="1"/>
    <col min="6404" max="6404" width="13.109375" style="676" customWidth="1"/>
    <col min="6405" max="6405" width="13.88671875" style="676" customWidth="1"/>
    <col min="6406" max="6406" width="12.44140625" style="676" customWidth="1"/>
    <col min="6407" max="6407" width="13" style="676" customWidth="1"/>
    <col min="6408" max="6408" width="11" style="676" customWidth="1"/>
    <col min="6409" max="6409" width="9.88671875" style="676" customWidth="1"/>
    <col min="6410" max="6410" width="11.109375" style="676" customWidth="1"/>
    <col min="6411" max="6411" width="9.44140625" style="676" customWidth="1"/>
    <col min="6412" max="6412" width="9.5546875" style="676" customWidth="1"/>
    <col min="6413" max="6413" width="10.77734375" style="676" customWidth="1"/>
    <col min="6414" max="6414" width="6.5546875" style="676" customWidth="1"/>
    <col min="6415" max="6415" width="7.5546875" style="676" customWidth="1"/>
    <col min="6416" max="6416" width="10.109375" style="676" customWidth="1"/>
    <col min="6417" max="6417" width="9.44140625" style="676" customWidth="1"/>
    <col min="6418" max="6418" width="11" style="676" customWidth="1"/>
    <col min="6419" max="6419" width="14" style="676" customWidth="1"/>
    <col min="6420" max="6420" width="9.88671875" style="676" customWidth="1"/>
    <col min="6421" max="6424" width="8.88671875" style="676"/>
    <col min="6425" max="6425" width="15" style="676" customWidth="1"/>
    <col min="6426" max="6426" width="6.44140625" style="676" customWidth="1"/>
    <col min="6427" max="6427" width="5.6640625" style="676" customWidth="1"/>
    <col min="6428" max="6428" width="9.109375" style="676" customWidth="1"/>
    <col min="6429" max="6431" width="8.88671875" style="676"/>
    <col min="6432" max="6432" width="11.6640625" style="676" customWidth="1"/>
    <col min="6433" max="6656" width="8.88671875" style="676"/>
    <col min="6657" max="6657" width="6.44140625" style="676" customWidth="1"/>
    <col min="6658" max="6658" width="43.33203125" style="676" customWidth="1"/>
    <col min="6659" max="6659" width="11.109375" style="676" customWidth="1"/>
    <col min="6660" max="6660" width="13.109375" style="676" customWidth="1"/>
    <col min="6661" max="6661" width="13.88671875" style="676" customWidth="1"/>
    <col min="6662" max="6662" width="12.44140625" style="676" customWidth="1"/>
    <col min="6663" max="6663" width="13" style="676" customWidth="1"/>
    <col min="6664" max="6664" width="11" style="676" customWidth="1"/>
    <col min="6665" max="6665" width="9.88671875" style="676" customWidth="1"/>
    <col min="6666" max="6666" width="11.109375" style="676" customWidth="1"/>
    <col min="6667" max="6667" width="9.44140625" style="676" customWidth="1"/>
    <col min="6668" max="6668" width="9.5546875" style="676" customWidth="1"/>
    <col min="6669" max="6669" width="10.77734375" style="676" customWidth="1"/>
    <col min="6670" max="6670" width="6.5546875" style="676" customWidth="1"/>
    <col min="6671" max="6671" width="7.5546875" style="676" customWidth="1"/>
    <col min="6672" max="6672" width="10.109375" style="676" customWidth="1"/>
    <col min="6673" max="6673" width="9.44140625" style="676" customWidth="1"/>
    <col min="6674" max="6674" width="11" style="676" customWidth="1"/>
    <col min="6675" max="6675" width="14" style="676" customWidth="1"/>
    <col min="6676" max="6676" width="9.88671875" style="676" customWidth="1"/>
    <col min="6677" max="6680" width="8.88671875" style="676"/>
    <col min="6681" max="6681" width="15" style="676" customWidth="1"/>
    <col min="6682" max="6682" width="6.44140625" style="676" customWidth="1"/>
    <col min="6683" max="6683" width="5.6640625" style="676" customWidth="1"/>
    <col min="6684" max="6684" width="9.109375" style="676" customWidth="1"/>
    <col min="6685" max="6687" width="8.88671875" style="676"/>
    <col min="6688" max="6688" width="11.6640625" style="676" customWidth="1"/>
    <col min="6689" max="6912" width="8.88671875" style="676"/>
    <col min="6913" max="6913" width="6.44140625" style="676" customWidth="1"/>
    <col min="6914" max="6914" width="43.33203125" style="676" customWidth="1"/>
    <col min="6915" max="6915" width="11.109375" style="676" customWidth="1"/>
    <col min="6916" max="6916" width="13.109375" style="676" customWidth="1"/>
    <col min="6917" max="6917" width="13.88671875" style="676" customWidth="1"/>
    <col min="6918" max="6918" width="12.44140625" style="676" customWidth="1"/>
    <col min="6919" max="6919" width="13" style="676" customWidth="1"/>
    <col min="6920" max="6920" width="11" style="676" customWidth="1"/>
    <col min="6921" max="6921" width="9.88671875" style="676" customWidth="1"/>
    <col min="6922" max="6922" width="11.109375" style="676" customWidth="1"/>
    <col min="6923" max="6923" width="9.44140625" style="676" customWidth="1"/>
    <col min="6924" max="6924" width="9.5546875" style="676" customWidth="1"/>
    <col min="6925" max="6925" width="10.77734375" style="676" customWidth="1"/>
    <col min="6926" max="6926" width="6.5546875" style="676" customWidth="1"/>
    <col min="6927" max="6927" width="7.5546875" style="676" customWidth="1"/>
    <col min="6928" max="6928" width="10.109375" style="676" customWidth="1"/>
    <col min="6929" max="6929" width="9.44140625" style="676" customWidth="1"/>
    <col min="6930" max="6930" width="11" style="676" customWidth="1"/>
    <col min="6931" max="6931" width="14" style="676" customWidth="1"/>
    <col min="6932" max="6932" width="9.88671875" style="676" customWidth="1"/>
    <col min="6933" max="6936" width="8.88671875" style="676"/>
    <col min="6937" max="6937" width="15" style="676" customWidth="1"/>
    <col min="6938" max="6938" width="6.44140625" style="676" customWidth="1"/>
    <col min="6939" max="6939" width="5.6640625" style="676" customWidth="1"/>
    <col min="6940" max="6940" width="9.109375" style="676" customWidth="1"/>
    <col min="6941" max="6943" width="8.88671875" style="676"/>
    <col min="6944" max="6944" width="11.6640625" style="676" customWidth="1"/>
    <col min="6945" max="7168" width="8.88671875" style="676"/>
    <col min="7169" max="7169" width="6.44140625" style="676" customWidth="1"/>
    <col min="7170" max="7170" width="43.33203125" style="676" customWidth="1"/>
    <col min="7171" max="7171" width="11.109375" style="676" customWidth="1"/>
    <col min="7172" max="7172" width="13.109375" style="676" customWidth="1"/>
    <col min="7173" max="7173" width="13.88671875" style="676" customWidth="1"/>
    <col min="7174" max="7174" width="12.44140625" style="676" customWidth="1"/>
    <col min="7175" max="7175" width="13" style="676" customWidth="1"/>
    <col min="7176" max="7176" width="11" style="676" customWidth="1"/>
    <col min="7177" max="7177" width="9.88671875" style="676" customWidth="1"/>
    <col min="7178" max="7178" width="11.109375" style="676" customWidth="1"/>
    <col min="7179" max="7179" width="9.44140625" style="676" customWidth="1"/>
    <col min="7180" max="7180" width="9.5546875" style="676" customWidth="1"/>
    <col min="7181" max="7181" width="10.77734375" style="676" customWidth="1"/>
    <col min="7182" max="7182" width="6.5546875" style="676" customWidth="1"/>
    <col min="7183" max="7183" width="7.5546875" style="676" customWidth="1"/>
    <col min="7184" max="7184" width="10.109375" style="676" customWidth="1"/>
    <col min="7185" max="7185" width="9.44140625" style="676" customWidth="1"/>
    <col min="7186" max="7186" width="11" style="676" customWidth="1"/>
    <col min="7187" max="7187" width="14" style="676" customWidth="1"/>
    <col min="7188" max="7188" width="9.88671875" style="676" customWidth="1"/>
    <col min="7189" max="7192" width="8.88671875" style="676"/>
    <col min="7193" max="7193" width="15" style="676" customWidth="1"/>
    <col min="7194" max="7194" width="6.44140625" style="676" customWidth="1"/>
    <col min="7195" max="7195" width="5.6640625" style="676" customWidth="1"/>
    <col min="7196" max="7196" width="9.109375" style="676" customWidth="1"/>
    <col min="7197" max="7199" width="8.88671875" style="676"/>
    <col min="7200" max="7200" width="11.6640625" style="676" customWidth="1"/>
    <col min="7201" max="7424" width="8.88671875" style="676"/>
    <col min="7425" max="7425" width="6.44140625" style="676" customWidth="1"/>
    <col min="7426" max="7426" width="43.33203125" style="676" customWidth="1"/>
    <col min="7427" max="7427" width="11.109375" style="676" customWidth="1"/>
    <col min="7428" max="7428" width="13.109375" style="676" customWidth="1"/>
    <col min="7429" max="7429" width="13.88671875" style="676" customWidth="1"/>
    <col min="7430" max="7430" width="12.44140625" style="676" customWidth="1"/>
    <col min="7431" max="7431" width="13" style="676" customWidth="1"/>
    <col min="7432" max="7432" width="11" style="676" customWidth="1"/>
    <col min="7433" max="7433" width="9.88671875" style="676" customWidth="1"/>
    <col min="7434" max="7434" width="11.109375" style="676" customWidth="1"/>
    <col min="7435" max="7435" width="9.44140625" style="676" customWidth="1"/>
    <col min="7436" max="7436" width="9.5546875" style="676" customWidth="1"/>
    <col min="7437" max="7437" width="10.77734375" style="676" customWidth="1"/>
    <col min="7438" max="7438" width="6.5546875" style="676" customWidth="1"/>
    <col min="7439" max="7439" width="7.5546875" style="676" customWidth="1"/>
    <col min="7440" max="7440" width="10.109375" style="676" customWidth="1"/>
    <col min="7441" max="7441" width="9.44140625" style="676" customWidth="1"/>
    <col min="7442" max="7442" width="11" style="676" customWidth="1"/>
    <col min="7443" max="7443" width="14" style="676" customWidth="1"/>
    <col min="7444" max="7444" width="9.88671875" style="676" customWidth="1"/>
    <col min="7445" max="7448" width="8.88671875" style="676"/>
    <col min="7449" max="7449" width="15" style="676" customWidth="1"/>
    <col min="7450" max="7450" width="6.44140625" style="676" customWidth="1"/>
    <col min="7451" max="7451" width="5.6640625" style="676" customWidth="1"/>
    <col min="7452" max="7452" width="9.109375" style="676" customWidth="1"/>
    <col min="7453" max="7455" width="8.88671875" style="676"/>
    <col min="7456" max="7456" width="11.6640625" style="676" customWidth="1"/>
    <col min="7457" max="7680" width="8.88671875" style="676"/>
    <col min="7681" max="7681" width="6.44140625" style="676" customWidth="1"/>
    <col min="7682" max="7682" width="43.33203125" style="676" customWidth="1"/>
    <col min="7683" max="7683" width="11.109375" style="676" customWidth="1"/>
    <col min="7684" max="7684" width="13.109375" style="676" customWidth="1"/>
    <col min="7685" max="7685" width="13.88671875" style="676" customWidth="1"/>
    <col min="7686" max="7686" width="12.44140625" style="676" customWidth="1"/>
    <col min="7687" max="7687" width="13" style="676" customWidth="1"/>
    <col min="7688" max="7688" width="11" style="676" customWidth="1"/>
    <col min="7689" max="7689" width="9.88671875" style="676" customWidth="1"/>
    <col min="7690" max="7690" width="11.109375" style="676" customWidth="1"/>
    <col min="7691" max="7691" width="9.44140625" style="676" customWidth="1"/>
    <col min="7692" max="7692" width="9.5546875" style="676" customWidth="1"/>
    <col min="7693" max="7693" width="10.77734375" style="676" customWidth="1"/>
    <col min="7694" max="7694" width="6.5546875" style="676" customWidth="1"/>
    <col min="7695" max="7695" width="7.5546875" style="676" customWidth="1"/>
    <col min="7696" max="7696" width="10.109375" style="676" customWidth="1"/>
    <col min="7697" max="7697" width="9.44140625" style="676" customWidth="1"/>
    <col min="7698" max="7698" width="11" style="676" customWidth="1"/>
    <col min="7699" max="7699" width="14" style="676" customWidth="1"/>
    <col min="7700" max="7700" width="9.88671875" style="676" customWidth="1"/>
    <col min="7701" max="7704" width="8.88671875" style="676"/>
    <col min="7705" max="7705" width="15" style="676" customWidth="1"/>
    <col min="7706" max="7706" width="6.44140625" style="676" customWidth="1"/>
    <col min="7707" max="7707" width="5.6640625" style="676" customWidth="1"/>
    <col min="7708" max="7708" width="9.109375" style="676" customWidth="1"/>
    <col min="7709" max="7711" width="8.88671875" style="676"/>
    <col min="7712" max="7712" width="11.6640625" style="676" customWidth="1"/>
    <col min="7713" max="7936" width="8.88671875" style="676"/>
    <col min="7937" max="7937" width="6.44140625" style="676" customWidth="1"/>
    <col min="7938" max="7938" width="43.33203125" style="676" customWidth="1"/>
    <col min="7939" max="7939" width="11.109375" style="676" customWidth="1"/>
    <col min="7940" max="7940" width="13.109375" style="676" customWidth="1"/>
    <col min="7941" max="7941" width="13.88671875" style="676" customWidth="1"/>
    <col min="7942" max="7942" width="12.44140625" style="676" customWidth="1"/>
    <col min="7943" max="7943" width="13" style="676" customWidth="1"/>
    <col min="7944" max="7944" width="11" style="676" customWidth="1"/>
    <col min="7945" max="7945" width="9.88671875" style="676" customWidth="1"/>
    <col min="7946" max="7946" width="11.109375" style="676" customWidth="1"/>
    <col min="7947" max="7947" width="9.44140625" style="676" customWidth="1"/>
    <col min="7948" max="7948" width="9.5546875" style="676" customWidth="1"/>
    <col min="7949" max="7949" width="10.77734375" style="676" customWidth="1"/>
    <col min="7950" max="7950" width="6.5546875" style="676" customWidth="1"/>
    <col min="7951" max="7951" width="7.5546875" style="676" customWidth="1"/>
    <col min="7952" max="7952" width="10.109375" style="676" customWidth="1"/>
    <col min="7953" max="7953" width="9.44140625" style="676" customWidth="1"/>
    <col min="7954" max="7954" width="11" style="676" customWidth="1"/>
    <col min="7955" max="7955" width="14" style="676" customWidth="1"/>
    <col min="7956" max="7956" width="9.88671875" style="676" customWidth="1"/>
    <col min="7957" max="7960" width="8.88671875" style="676"/>
    <col min="7961" max="7961" width="15" style="676" customWidth="1"/>
    <col min="7962" max="7962" width="6.44140625" style="676" customWidth="1"/>
    <col min="7963" max="7963" width="5.6640625" style="676" customWidth="1"/>
    <col min="7964" max="7964" width="9.109375" style="676" customWidth="1"/>
    <col min="7965" max="7967" width="8.88671875" style="676"/>
    <col min="7968" max="7968" width="11.6640625" style="676" customWidth="1"/>
    <col min="7969" max="8192" width="8.88671875" style="676"/>
    <col min="8193" max="8193" width="6.44140625" style="676" customWidth="1"/>
    <col min="8194" max="8194" width="43.33203125" style="676" customWidth="1"/>
    <col min="8195" max="8195" width="11.109375" style="676" customWidth="1"/>
    <col min="8196" max="8196" width="13.109375" style="676" customWidth="1"/>
    <col min="8197" max="8197" width="13.88671875" style="676" customWidth="1"/>
    <col min="8198" max="8198" width="12.44140625" style="676" customWidth="1"/>
    <col min="8199" max="8199" width="13" style="676" customWidth="1"/>
    <col min="8200" max="8200" width="11" style="676" customWidth="1"/>
    <col min="8201" max="8201" width="9.88671875" style="676" customWidth="1"/>
    <col min="8202" max="8202" width="11.109375" style="676" customWidth="1"/>
    <col min="8203" max="8203" width="9.44140625" style="676" customWidth="1"/>
    <col min="8204" max="8204" width="9.5546875" style="676" customWidth="1"/>
    <col min="8205" max="8205" width="10.77734375" style="676" customWidth="1"/>
    <col min="8206" max="8206" width="6.5546875" style="676" customWidth="1"/>
    <col min="8207" max="8207" width="7.5546875" style="676" customWidth="1"/>
    <col min="8208" max="8208" width="10.109375" style="676" customWidth="1"/>
    <col min="8209" max="8209" width="9.44140625" style="676" customWidth="1"/>
    <col min="8210" max="8210" width="11" style="676" customWidth="1"/>
    <col min="8211" max="8211" width="14" style="676" customWidth="1"/>
    <col min="8212" max="8212" width="9.88671875" style="676" customWidth="1"/>
    <col min="8213" max="8216" width="8.88671875" style="676"/>
    <col min="8217" max="8217" width="15" style="676" customWidth="1"/>
    <col min="8218" max="8218" width="6.44140625" style="676" customWidth="1"/>
    <col min="8219" max="8219" width="5.6640625" style="676" customWidth="1"/>
    <col min="8220" max="8220" width="9.109375" style="676" customWidth="1"/>
    <col min="8221" max="8223" width="8.88671875" style="676"/>
    <col min="8224" max="8224" width="11.6640625" style="676" customWidth="1"/>
    <col min="8225" max="8448" width="8.88671875" style="676"/>
    <col min="8449" max="8449" width="6.44140625" style="676" customWidth="1"/>
    <col min="8450" max="8450" width="43.33203125" style="676" customWidth="1"/>
    <col min="8451" max="8451" width="11.109375" style="676" customWidth="1"/>
    <col min="8452" max="8452" width="13.109375" style="676" customWidth="1"/>
    <col min="8453" max="8453" width="13.88671875" style="676" customWidth="1"/>
    <col min="8454" max="8454" width="12.44140625" style="676" customWidth="1"/>
    <col min="8455" max="8455" width="13" style="676" customWidth="1"/>
    <col min="8456" max="8456" width="11" style="676" customWidth="1"/>
    <col min="8457" max="8457" width="9.88671875" style="676" customWidth="1"/>
    <col min="8458" max="8458" width="11.109375" style="676" customWidth="1"/>
    <col min="8459" max="8459" width="9.44140625" style="676" customWidth="1"/>
    <col min="8460" max="8460" width="9.5546875" style="676" customWidth="1"/>
    <col min="8461" max="8461" width="10.77734375" style="676" customWidth="1"/>
    <col min="8462" max="8462" width="6.5546875" style="676" customWidth="1"/>
    <col min="8463" max="8463" width="7.5546875" style="676" customWidth="1"/>
    <col min="8464" max="8464" width="10.109375" style="676" customWidth="1"/>
    <col min="8465" max="8465" width="9.44140625" style="676" customWidth="1"/>
    <col min="8466" max="8466" width="11" style="676" customWidth="1"/>
    <col min="8467" max="8467" width="14" style="676" customWidth="1"/>
    <col min="8468" max="8468" width="9.88671875" style="676" customWidth="1"/>
    <col min="8469" max="8472" width="8.88671875" style="676"/>
    <col min="8473" max="8473" width="15" style="676" customWidth="1"/>
    <col min="8474" max="8474" width="6.44140625" style="676" customWidth="1"/>
    <col min="8475" max="8475" width="5.6640625" style="676" customWidth="1"/>
    <col min="8476" max="8476" width="9.109375" style="676" customWidth="1"/>
    <col min="8477" max="8479" width="8.88671875" style="676"/>
    <col min="8480" max="8480" width="11.6640625" style="676" customWidth="1"/>
    <col min="8481" max="8704" width="8.88671875" style="676"/>
    <col min="8705" max="8705" width="6.44140625" style="676" customWidth="1"/>
    <col min="8706" max="8706" width="43.33203125" style="676" customWidth="1"/>
    <col min="8707" max="8707" width="11.109375" style="676" customWidth="1"/>
    <col min="8708" max="8708" width="13.109375" style="676" customWidth="1"/>
    <col min="8709" max="8709" width="13.88671875" style="676" customWidth="1"/>
    <col min="8710" max="8710" width="12.44140625" style="676" customWidth="1"/>
    <col min="8711" max="8711" width="13" style="676" customWidth="1"/>
    <col min="8712" max="8712" width="11" style="676" customWidth="1"/>
    <col min="8713" max="8713" width="9.88671875" style="676" customWidth="1"/>
    <col min="8714" max="8714" width="11.109375" style="676" customWidth="1"/>
    <col min="8715" max="8715" width="9.44140625" style="676" customWidth="1"/>
    <col min="8716" max="8716" width="9.5546875" style="676" customWidth="1"/>
    <col min="8717" max="8717" width="10.77734375" style="676" customWidth="1"/>
    <col min="8718" max="8718" width="6.5546875" style="676" customWidth="1"/>
    <col min="8719" max="8719" width="7.5546875" style="676" customWidth="1"/>
    <col min="8720" max="8720" width="10.109375" style="676" customWidth="1"/>
    <col min="8721" max="8721" width="9.44140625" style="676" customWidth="1"/>
    <col min="8722" max="8722" width="11" style="676" customWidth="1"/>
    <col min="8723" max="8723" width="14" style="676" customWidth="1"/>
    <col min="8724" max="8724" width="9.88671875" style="676" customWidth="1"/>
    <col min="8725" max="8728" width="8.88671875" style="676"/>
    <col min="8729" max="8729" width="15" style="676" customWidth="1"/>
    <col min="8730" max="8730" width="6.44140625" style="676" customWidth="1"/>
    <col min="8731" max="8731" width="5.6640625" style="676" customWidth="1"/>
    <col min="8732" max="8732" width="9.109375" style="676" customWidth="1"/>
    <col min="8733" max="8735" width="8.88671875" style="676"/>
    <col min="8736" max="8736" width="11.6640625" style="676" customWidth="1"/>
    <col min="8737" max="8960" width="8.88671875" style="676"/>
    <col min="8961" max="8961" width="6.44140625" style="676" customWidth="1"/>
    <col min="8962" max="8962" width="43.33203125" style="676" customWidth="1"/>
    <col min="8963" max="8963" width="11.109375" style="676" customWidth="1"/>
    <col min="8964" max="8964" width="13.109375" style="676" customWidth="1"/>
    <col min="8965" max="8965" width="13.88671875" style="676" customWidth="1"/>
    <col min="8966" max="8966" width="12.44140625" style="676" customWidth="1"/>
    <col min="8967" max="8967" width="13" style="676" customWidth="1"/>
    <col min="8968" max="8968" width="11" style="676" customWidth="1"/>
    <col min="8969" max="8969" width="9.88671875" style="676" customWidth="1"/>
    <col min="8970" max="8970" width="11.109375" style="676" customWidth="1"/>
    <col min="8971" max="8971" width="9.44140625" style="676" customWidth="1"/>
    <col min="8972" max="8972" width="9.5546875" style="676" customWidth="1"/>
    <col min="8973" max="8973" width="10.77734375" style="676" customWidth="1"/>
    <col min="8974" max="8974" width="6.5546875" style="676" customWidth="1"/>
    <col min="8975" max="8975" width="7.5546875" style="676" customWidth="1"/>
    <col min="8976" max="8976" width="10.109375" style="676" customWidth="1"/>
    <col min="8977" max="8977" width="9.44140625" style="676" customWidth="1"/>
    <col min="8978" max="8978" width="11" style="676" customWidth="1"/>
    <col min="8979" max="8979" width="14" style="676" customWidth="1"/>
    <col min="8980" max="8980" width="9.88671875" style="676" customWidth="1"/>
    <col min="8981" max="8984" width="8.88671875" style="676"/>
    <col min="8985" max="8985" width="15" style="676" customWidth="1"/>
    <col min="8986" max="8986" width="6.44140625" style="676" customWidth="1"/>
    <col min="8987" max="8987" width="5.6640625" style="676" customWidth="1"/>
    <col min="8988" max="8988" width="9.109375" style="676" customWidth="1"/>
    <col min="8989" max="8991" width="8.88671875" style="676"/>
    <col min="8992" max="8992" width="11.6640625" style="676" customWidth="1"/>
    <col min="8993" max="9216" width="8.88671875" style="676"/>
    <col min="9217" max="9217" width="6.44140625" style="676" customWidth="1"/>
    <col min="9218" max="9218" width="43.33203125" style="676" customWidth="1"/>
    <col min="9219" max="9219" width="11.109375" style="676" customWidth="1"/>
    <col min="9220" max="9220" width="13.109375" style="676" customWidth="1"/>
    <col min="9221" max="9221" width="13.88671875" style="676" customWidth="1"/>
    <col min="9222" max="9222" width="12.44140625" style="676" customWidth="1"/>
    <col min="9223" max="9223" width="13" style="676" customWidth="1"/>
    <col min="9224" max="9224" width="11" style="676" customWidth="1"/>
    <col min="9225" max="9225" width="9.88671875" style="676" customWidth="1"/>
    <col min="9226" max="9226" width="11.109375" style="676" customWidth="1"/>
    <col min="9227" max="9227" width="9.44140625" style="676" customWidth="1"/>
    <col min="9228" max="9228" width="9.5546875" style="676" customWidth="1"/>
    <col min="9229" max="9229" width="10.77734375" style="676" customWidth="1"/>
    <col min="9230" max="9230" width="6.5546875" style="676" customWidth="1"/>
    <col min="9231" max="9231" width="7.5546875" style="676" customWidth="1"/>
    <col min="9232" max="9232" width="10.109375" style="676" customWidth="1"/>
    <col min="9233" max="9233" width="9.44140625" style="676" customWidth="1"/>
    <col min="9234" max="9234" width="11" style="676" customWidth="1"/>
    <col min="9235" max="9235" width="14" style="676" customWidth="1"/>
    <col min="9236" max="9236" width="9.88671875" style="676" customWidth="1"/>
    <col min="9237" max="9240" width="8.88671875" style="676"/>
    <col min="9241" max="9241" width="15" style="676" customWidth="1"/>
    <col min="9242" max="9242" width="6.44140625" style="676" customWidth="1"/>
    <col min="9243" max="9243" width="5.6640625" style="676" customWidth="1"/>
    <col min="9244" max="9244" width="9.109375" style="676" customWidth="1"/>
    <col min="9245" max="9247" width="8.88671875" style="676"/>
    <col min="9248" max="9248" width="11.6640625" style="676" customWidth="1"/>
    <col min="9249" max="9472" width="8.88671875" style="676"/>
    <col min="9473" max="9473" width="6.44140625" style="676" customWidth="1"/>
    <col min="9474" max="9474" width="43.33203125" style="676" customWidth="1"/>
    <col min="9475" max="9475" width="11.109375" style="676" customWidth="1"/>
    <col min="9476" max="9476" width="13.109375" style="676" customWidth="1"/>
    <col min="9477" max="9477" width="13.88671875" style="676" customWidth="1"/>
    <col min="9478" max="9478" width="12.44140625" style="676" customWidth="1"/>
    <col min="9479" max="9479" width="13" style="676" customWidth="1"/>
    <col min="9480" max="9480" width="11" style="676" customWidth="1"/>
    <col min="9481" max="9481" width="9.88671875" style="676" customWidth="1"/>
    <col min="9482" max="9482" width="11.109375" style="676" customWidth="1"/>
    <col min="9483" max="9483" width="9.44140625" style="676" customWidth="1"/>
    <col min="9484" max="9484" width="9.5546875" style="676" customWidth="1"/>
    <col min="9485" max="9485" width="10.77734375" style="676" customWidth="1"/>
    <col min="9486" max="9486" width="6.5546875" style="676" customWidth="1"/>
    <col min="9487" max="9487" width="7.5546875" style="676" customWidth="1"/>
    <col min="9488" max="9488" width="10.109375" style="676" customWidth="1"/>
    <col min="9489" max="9489" width="9.44140625" style="676" customWidth="1"/>
    <col min="9490" max="9490" width="11" style="676" customWidth="1"/>
    <col min="9491" max="9491" width="14" style="676" customWidth="1"/>
    <col min="9492" max="9492" width="9.88671875" style="676" customWidth="1"/>
    <col min="9493" max="9496" width="8.88671875" style="676"/>
    <col min="9497" max="9497" width="15" style="676" customWidth="1"/>
    <col min="9498" max="9498" width="6.44140625" style="676" customWidth="1"/>
    <col min="9499" max="9499" width="5.6640625" style="676" customWidth="1"/>
    <col min="9500" max="9500" width="9.109375" style="676" customWidth="1"/>
    <col min="9501" max="9503" width="8.88671875" style="676"/>
    <col min="9504" max="9504" width="11.6640625" style="676" customWidth="1"/>
    <col min="9505" max="9728" width="8.88671875" style="676"/>
    <col min="9729" max="9729" width="6.44140625" style="676" customWidth="1"/>
    <col min="9730" max="9730" width="43.33203125" style="676" customWidth="1"/>
    <col min="9731" max="9731" width="11.109375" style="676" customWidth="1"/>
    <col min="9732" max="9732" width="13.109375" style="676" customWidth="1"/>
    <col min="9733" max="9733" width="13.88671875" style="676" customWidth="1"/>
    <col min="9734" max="9734" width="12.44140625" style="676" customWidth="1"/>
    <col min="9735" max="9735" width="13" style="676" customWidth="1"/>
    <col min="9736" max="9736" width="11" style="676" customWidth="1"/>
    <col min="9737" max="9737" width="9.88671875" style="676" customWidth="1"/>
    <col min="9738" max="9738" width="11.109375" style="676" customWidth="1"/>
    <col min="9739" max="9739" width="9.44140625" style="676" customWidth="1"/>
    <col min="9740" max="9740" width="9.5546875" style="676" customWidth="1"/>
    <col min="9741" max="9741" width="10.77734375" style="676" customWidth="1"/>
    <col min="9742" max="9742" width="6.5546875" style="676" customWidth="1"/>
    <col min="9743" max="9743" width="7.5546875" style="676" customWidth="1"/>
    <col min="9744" max="9744" width="10.109375" style="676" customWidth="1"/>
    <col min="9745" max="9745" width="9.44140625" style="676" customWidth="1"/>
    <col min="9746" max="9746" width="11" style="676" customWidth="1"/>
    <col min="9747" max="9747" width="14" style="676" customWidth="1"/>
    <col min="9748" max="9748" width="9.88671875" style="676" customWidth="1"/>
    <col min="9749" max="9752" width="8.88671875" style="676"/>
    <col min="9753" max="9753" width="15" style="676" customWidth="1"/>
    <col min="9754" max="9754" width="6.44140625" style="676" customWidth="1"/>
    <col min="9755" max="9755" width="5.6640625" style="676" customWidth="1"/>
    <col min="9756" max="9756" width="9.109375" style="676" customWidth="1"/>
    <col min="9757" max="9759" width="8.88671875" style="676"/>
    <col min="9760" max="9760" width="11.6640625" style="676" customWidth="1"/>
    <col min="9761" max="9984" width="8.88671875" style="676"/>
    <col min="9985" max="9985" width="6.44140625" style="676" customWidth="1"/>
    <col min="9986" max="9986" width="43.33203125" style="676" customWidth="1"/>
    <col min="9987" max="9987" width="11.109375" style="676" customWidth="1"/>
    <col min="9988" max="9988" width="13.109375" style="676" customWidth="1"/>
    <col min="9989" max="9989" width="13.88671875" style="676" customWidth="1"/>
    <col min="9990" max="9990" width="12.44140625" style="676" customWidth="1"/>
    <col min="9991" max="9991" width="13" style="676" customWidth="1"/>
    <col min="9992" max="9992" width="11" style="676" customWidth="1"/>
    <col min="9993" max="9993" width="9.88671875" style="676" customWidth="1"/>
    <col min="9994" max="9994" width="11.109375" style="676" customWidth="1"/>
    <col min="9995" max="9995" width="9.44140625" style="676" customWidth="1"/>
    <col min="9996" max="9996" width="9.5546875" style="676" customWidth="1"/>
    <col min="9997" max="9997" width="10.77734375" style="676" customWidth="1"/>
    <col min="9998" max="9998" width="6.5546875" style="676" customWidth="1"/>
    <col min="9999" max="9999" width="7.5546875" style="676" customWidth="1"/>
    <col min="10000" max="10000" width="10.109375" style="676" customWidth="1"/>
    <col min="10001" max="10001" width="9.44140625" style="676" customWidth="1"/>
    <col min="10002" max="10002" width="11" style="676" customWidth="1"/>
    <col min="10003" max="10003" width="14" style="676" customWidth="1"/>
    <col min="10004" max="10004" width="9.88671875" style="676" customWidth="1"/>
    <col min="10005" max="10008" width="8.88671875" style="676"/>
    <col min="10009" max="10009" width="15" style="676" customWidth="1"/>
    <col min="10010" max="10010" width="6.44140625" style="676" customWidth="1"/>
    <col min="10011" max="10011" width="5.6640625" style="676" customWidth="1"/>
    <col min="10012" max="10012" width="9.109375" style="676" customWidth="1"/>
    <col min="10013" max="10015" width="8.88671875" style="676"/>
    <col min="10016" max="10016" width="11.6640625" style="676" customWidth="1"/>
    <col min="10017" max="10240" width="8.88671875" style="676"/>
    <col min="10241" max="10241" width="6.44140625" style="676" customWidth="1"/>
    <col min="10242" max="10242" width="43.33203125" style="676" customWidth="1"/>
    <col min="10243" max="10243" width="11.109375" style="676" customWidth="1"/>
    <col min="10244" max="10244" width="13.109375" style="676" customWidth="1"/>
    <col min="10245" max="10245" width="13.88671875" style="676" customWidth="1"/>
    <col min="10246" max="10246" width="12.44140625" style="676" customWidth="1"/>
    <col min="10247" max="10247" width="13" style="676" customWidth="1"/>
    <col min="10248" max="10248" width="11" style="676" customWidth="1"/>
    <col min="10249" max="10249" width="9.88671875" style="676" customWidth="1"/>
    <col min="10250" max="10250" width="11.109375" style="676" customWidth="1"/>
    <col min="10251" max="10251" width="9.44140625" style="676" customWidth="1"/>
    <col min="10252" max="10252" width="9.5546875" style="676" customWidth="1"/>
    <col min="10253" max="10253" width="10.77734375" style="676" customWidth="1"/>
    <col min="10254" max="10254" width="6.5546875" style="676" customWidth="1"/>
    <col min="10255" max="10255" width="7.5546875" style="676" customWidth="1"/>
    <col min="10256" max="10256" width="10.109375" style="676" customWidth="1"/>
    <col min="10257" max="10257" width="9.44140625" style="676" customWidth="1"/>
    <col min="10258" max="10258" width="11" style="676" customWidth="1"/>
    <col min="10259" max="10259" width="14" style="676" customWidth="1"/>
    <col min="10260" max="10260" width="9.88671875" style="676" customWidth="1"/>
    <col min="10261" max="10264" width="8.88671875" style="676"/>
    <col min="10265" max="10265" width="15" style="676" customWidth="1"/>
    <col min="10266" max="10266" width="6.44140625" style="676" customWidth="1"/>
    <col min="10267" max="10267" width="5.6640625" style="676" customWidth="1"/>
    <col min="10268" max="10268" width="9.109375" style="676" customWidth="1"/>
    <col min="10269" max="10271" width="8.88671875" style="676"/>
    <col min="10272" max="10272" width="11.6640625" style="676" customWidth="1"/>
    <col min="10273" max="10496" width="8.88671875" style="676"/>
    <col min="10497" max="10497" width="6.44140625" style="676" customWidth="1"/>
    <col min="10498" max="10498" width="43.33203125" style="676" customWidth="1"/>
    <col min="10499" max="10499" width="11.109375" style="676" customWidth="1"/>
    <col min="10500" max="10500" width="13.109375" style="676" customWidth="1"/>
    <col min="10501" max="10501" width="13.88671875" style="676" customWidth="1"/>
    <col min="10502" max="10502" width="12.44140625" style="676" customWidth="1"/>
    <col min="10503" max="10503" width="13" style="676" customWidth="1"/>
    <col min="10504" max="10504" width="11" style="676" customWidth="1"/>
    <col min="10505" max="10505" width="9.88671875" style="676" customWidth="1"/>
    <col min="10506" max="10506" width="11.109375" style="676" customWidth="1"/>
    <col min="10507" max="10507" width="9.44140625" style="676" customWidth="1"/>
    <col min="10508" max="10508" width="9.5546875" style="676" customWidth="1"/>
    <col min="10509" max="10509" width="10.77734375" style="676" customWidth="1"/>
    <col min="10510" max="10510" width="6.5546875" style="676" customWidth="1"/>
    <col min="10511" max="10511" width="7.5546875" style="676" customWidth="1"/>
    <col min="10512" max="10512" width="10.109375" style="676" customWidth="1"/>
    <col min="10513" max="10513" width="9.44140625" style="676" customWidth="1"/>
    <col min="10514" max="10514" width="11" style="676" customWidth="1"/>
    <col min="10515" max="10515" width="14" style="676" customWidth="1"/>
    <col min="10516" max="10516" width="9.88671875" style="676" customWidth="1"/>
    <col min="10517" max="10520" width="8.88671875" style="676"/>
    <col min="10521" max="10521" width="15" style="676" customWidth="1"/>
    <col min="10522" max="10522" width="6.44140625" style="676" customWidth="1"/>
    <col min="10523" max="10523" width="5.6640625" style="676" customWidth="1"/>
    <col min="10524" max="10524" width="9.109375" style="676" customWidth="1"/>
    <col min="10525" max="10527" width="8.88671875" style="676"/>
    <col min="10528" max="10528" width="11.6640625" style="676" customWidth="1"/>
    <col min="10529" max="10752" width="8.88671875" style="676"/>
    <col min="10753" max="10753" width="6.44140625" style="676" customWidth="1"/>
    <col min="10754" max="10754" width="43.33203125" style="676" customWidth="1"/>
    <col min="10755" max="10755" width="11.109375" style="676" customWidth="1"/>
    <col min="10756" max="10756" width="13.109375" style="676" customWidth="1"/>
    <col min="10757" max="10757" width="13.88671875" style="676" customWidth="1"/>
    <col min="10758" max="10758" width="12.44140625" style="676" customWidth="1"/>
    <col min="10759" max="10759" width="13" style="676" customWidth="1"/>
    <col min="10760" max="10760" width="11" style="676" customWidth="1"/>
    <col min="10761" max="10761" width="9.88671875" style="676" customWidth="1"/>
    <col min="10762" max="10762" width="11.109375" style="676" customWidth="1"/>
    <col min="10763" max="10763" width="9.44140625" style="676" customWidth="1"/>
    <col min="10764" max="10764" width="9.5546875" style="676" customWidth="1"/>
    <col min="10765" max="10765" width="10.77734375" style="676" customWidth="1"/>
    <col min="10766" max="10766" width="6.5546875" style="676" customWidth="1"/>
    <col min="10767" max="10767" width="7.5546875" style="676" customWidth="1"/>
    <col min="10768" max="10768" width="10.109375" style="676" customWidth="1"/>
    <col min="10769" max="10769" width="9.44140625" style="676" customWidth="1"/>
    <col min="10770" max="10770" width="11" style="676" customWidth="1"/>
    <col min="10771" max="10771" width="14" style="676" customWidth="1"/>
    <col min="10772" max="10772" width="9.88671875" style="676" customWidth="1"/>
    <col min="10773" max="10776" width="8.88671875" style="676"/>
    <col min="10777" max="10777" width="15" style="676" customWidth="1"/>
    <col min="10778" max="10778" width="6.44140625" style="676" customWidth="1"/>
    <col min="10779" max="10779" width="5.6640625" style="676" customWidth="1"/>
    <col min="10780" max="10780" width="9.109375" style="676" customWidth="1"/>
    <col min="10781" max="10783" width="8.88671875" style="676"/>
    <col min="10784" max="10784" width="11.6640625" style="676" customWidth="1"/>
    <col min="10785" max="11008" width="8.88671875" style="676"/>
    <col min="11009" max="11009" width="6.44140625" style="676" customWidth="1"/>
    <col min="11010" max="11010" width="43.33203125" style="676" customWidth="1"/>
    <col min="11011" max="11011" width="11.109375" style="676" customWidth="1"/>
    <col min="11012" max="11012" width="13.109375" style="676" customWidth="1"/>
    <col min="11013" max="11013" width="13.88671875" style="676" customWidth="1"/>
    <col min="11014" max="11014" width="12.44140625" style="676" customWidth="1"/>
    <col min="11015" max="11015" width="13" style="676" customWidth="1"/>
    <col min="11016" max="11016" width="11" style="676" customWidth="1"/>
    <col min="11017" max="11017" width="9.88671875" style="676" customWidth="1"/>
    <col min="11018" max="11018" width="11.109375" style="676" customWidth="1"/>
    <col min="11019" max="11019" width="9.44140625" style="676" customWidth="1"/>
    <col min="11020" max="11020" width="9.5546875" style="676" customWidth="1"/>
    <col min="11021" max="11021" width="10.77734375" style="676" customWidth="1"/>
    <col min="11022" max="11022" width="6.5546875" style="676" customWidth="1"/>
    <col min="11023" max="11023" width="7.5546875" style="676" customWidth="1"/>
    <col min="11024" max="11024" width="10.109375" style="676" customWidth="1"/>
    <col min="11025" max="11025" width="9.44140625" style="676" customWidth="1"/>
    <col min="11026" max="11026" width="11" style="676" customWidth="1"/>
    <col min="11027" max="11027" width="14" style="676" customWidth="1"/>
    <col min="11028" max="11028" width="9.88671875" style="676" customWidth="1"/>
    <col min="11029" max="11032" width="8.88671875" style="676"/>
    <col min="11033" max="11033" width="15" style="676" customWidth="1"/>
    <col min="11034" max="11034" width="6.44140625" style="676" customWidth="1"/>
    <col min="11035" max="11035" width="5.6640625" style="676" customWidth="1"/>
    <col min="11036" max="11036" width="9.109375" style="676" customWidth="1"/>
    <col min="11037" max="11039" width="8.88671875" style="676"/>
    <col min="11040" max="11040" width="11.6640625" style="676" customWidth="1"/>
    <col min="11041" max="11264" width="8.88671875" style="676"/>
    <col min="11265" max="11265" width="6.44140625" style="676" customWidth="1"/>
    <col min="11266" max="11266" width="43.33203125" style="676" customWidth="1"/>
    <col min="11267" max="11267" width="11.109375" style="676" customWidth="1"/>
    <col min="11268" max="11268" width="13.109375" style="676" customWidth="1"/>
    <col min="11269" max="11269" width="13.88671875" style="676" customWidth="1"/>
    <col min="11270" max="11270" width="12.44140625" style="676" customWidth="1"/>
    <col min="11271" max="11271" width="13" style="676" customWidth="1"/>
    <col min="11272" max="11272" width="11" style="676" customWidth="1"/>
    <col min="11273" max="11273" width="9.88671875" style="676" customWidth="1"/>
    <col min="11274" max="11274" width="11.109375" style="676" customWidth="1"/>
    <col min="11275" max="11275" width="9.44140625" style="676" customWidth="1"/>
    <col min="11276" max="11276" width="9.5546875" style="676" customWidth="1"/>
    <col min="11277" max="11277" width="10.77734375" style="676" customWidth="1"/>
    <col min="11278" max="11278" width="6.5546875" style="676" customWidth="1"/>
    <col min="11279" max="11279" width="7.5546875" style="676" customWidth="1"/>
    <col min="11280" max="11280" width="10.109375" style="676" customWidth="1"/>
    <col min="11281" max="11281" width="9.44140625" style="676" customWidth="1"/>
    <col min="11282" max="11282" width="11" style="676" customWidth="1"/>
    <col min="11283" max="11283" width="14" style="676" customWidth="1"/>
    <col min="11284" max="11284" width="9.88671875" style="676" customWidth="1"/>
    <col min="11285" max="11288" width="8.88671875" style="676"/>
    <col min="11289" max="11289" width="15" style="676" customWidth="1"/>
    <col min="11290" max="11290" width="6.44140625" style="676" customWidth="1"/>
    <col min="11291" max="11291" width="5.6640625" style="676" customWidth="1"/>
    <col min="11292" max="11292" width="9.109375" style="676" customWidth="1"/>
    <col min="11293" max="11295" width="8.88671875" style="676"/>
    <col min="11296" max="11296" width="11.6640625" style="676" customWidth="1"/>
    <col min="11297" max="11520" width="8.88671875" style="676"/>
    <col min="11521" max="11521" width="6.44140625" style="676" customWidth="1"/>
    <col min="11522" max="11522" width="43.33203125" style="676" customWidth="1"/>
    <col min="11523" max="11523" width="11.109375" style="676" customWidth="1"/>
    <col min="11524" max="11524" width="13.109375" style="676" customWidth="1"/>
    <col min="11525" max="11525" width="13.88671875" style="676" customWidth="1"/>
    <col min="11526" max="11526" width="12.44140625" style="676" customWidth="1"/>
    <col min="11527" max="11527" width="13" style="676" customWidth="1"/>
    <col min="11528" max="11528" width="11" style="676" customWidth="1"/>
    <col min="11529" max="11529" width="9.88671875" style="676" customWidth="1"/>
    <col min="11530" max="11530" width="11.109375" style="676" customWidth="1"/>
    <col min="11531" max="11531" width="9.44140625" style="676" customWidth="1"/>
    <col min="11532" max="11532" width="9.5546875" style="676" customWidth="1"/>
    <col min="11533" max="11533" width="10.77734375" style="676" customWidth="1"/>
    <col min="11534" max="11534" width="6.5546875" style="676" customWidth="1"/>
    <col min="11535" max="11535" width="7.5546875" style="676" customWidth="1"/>
    <col min="11536" max="11536" width="10.109375" style="676" customWidth="1"/>
    <col min="11537" max="11537" width="9.44140625" style="676" customWidth="1"/>
    <col min="11538" max="11538" width="11" style="676" customWidth="1"/>
    <col min="11539" max="11539" width="14" style="676" customWidth="1"/>
    <col min="11540" max="11540" width="9.88671875" style="676" customWidth="1"/>
    <col min="11541" max="11544" width="8.88671875" style="676"/>
    <col min="11545" max="11545" width="15" style="676" customWidth="1"/>
    <col min="11546" max="11546" width="6.44140625" style="676" customWidth="1"/>
    <col min="11547" max="11547" width="5.6640625" style="676" customWidth="1"/>
    <col min="11548" max="11548" width="9.109375" style="676" customWidth="1"/>
    <col min="11549" max="11551" width="8.88671875" style="676"/>
    <col min="11552" max="11552" width="11.6640625" style="676" customWidth="1"/>
    <col min="11553" max="11776" width="8.88671875" style="676"/>
    <col min="11777" max="11777" width="6.44140625" style="676" customWidth="1"/>
    <col min="11778" max="11778" width="43.33203125" style="676" customWidth="1"/>
    <col min="11779" max="11779" width="11.109375" style="676" customWidth="1"/>
    <col min="11780" max="11780" width="13.109375" style="676" customWidth="1"/>
    <col min="11781" max="11781" width="13.88671875" style="676" customWidth="1"/>
    <col min="11782" max="11782" width="12.44140625" style="676" customWidth="1"/>
    <col min="11783" max="11783" width="13" style="676" customWidth="1"/>
    <col min="11784" max="11784" width="11" style="676" customWidth="1"/>
    <col min="11785" max="11785" width="9.88671875" style="676" customWidth="1"/>
    <col min="11786" max="11786" width="11.109375" style="676" customWidth="1"/>
    <col min="11787" max="11787" width="9.44140625" style="676" customWidth="1"/>
    <col min="11788" max="11788" width="9.5546875" style="676" customWidth="1"/>
    <col min="11789" max="11789" width="10.77734375" style="676" customWidth="1"/>
    <col min="11790" max="11790" width="6.5546875" style="676" customWidth="1"/>
    <col min="11791" max="11791" width="7.5546875" style="676" customWidth="1"/>
    <col min="11792" max="11792" width="10.109375" style="676" customWidth="1"/>
    <col min="11793" max="11793" width="9.44140625" style="676" customWidth="1"/>
    <col min="11794" max="11794" width="11" style="676" customWidth="1"/>
    <col min="11795" max="11795" width="14" style="676" customWidth="1"/>
    <col min="11796" max="11796" width="9.88671875" style="676" customWidth="1"/>
    <col min="11797" max="11800" width="8.88671875" style="676"/>
    <col min="11801" max="11801" width="15" style="676" customWidth="1"/>
    <col min="11802" max="11802" width="6.44140625" style="676" customWidth="1"/>
    <col min="11803" max="11803" width="5.6640625" style="676" customWidth="1"/>
    <col min="11804" max="11804" width="9.109375" style="676" customWidth="1"/>
    <col min="11805" max="11807" width="8.88671875" style="676"/>
    <col min="11808" max="11808" width="11.6640625" style="676" customWidth="1"/>
    <col min="11809" max="12032" width="8.88671875" style="676"/>
    <col min="12033" max="12033" width="6.44140625" style="676" customWidth="1"/>
    <col min="12034" max="12034" width="43.33203125" style="676" customWidth="1"/>
    <col min="12035" max="12035" width="11.109375" style="676" customWidth="1"/>
    <col min="12036" max="12036" width="13.109375" style="676" customWidth="1"/>
    <col min="12037" max="12037" width="13.88671875" style="676" customWidth="1"/>
    <col min="12038" max="12038" width="12.44140625" style="676" customWidth="1"/>
    <col min="12039" max="12039" width="13" style="676" customWidth="1"/>
    <col min="12040" max="12040" width="11" style="676" customWidth="1"/>
    <col min="12041" max="12041" width="9.88671875" style="676" customWidth="1"/>
    <col min="12042" max="12042" width="11.109375" style="676" customWidth="1"/>
    <col min="12043" max="12043" width="9.44140625" style="676" customWidth="1"/>
    <col min="12044" max="12044" width="9.5546875" style="676" customWidth="1"/>
    <col min="12045" max="12045" width="10.77734375" style="676" customWidth="1"/>
    <col min="12046" max="12046" width="6.5546875" style="676" customWidth="1"/>
    <col min="12047" max="12047" width="7.5546875" style="676" customWidth="1"/>
    <col min="12048" max="12048" width="10.109375" style="676" customWidth="1"/>
    <col min="12049" max="12049" width="9.44140625" style="676" customWidth="1"/>
    <col min="12050" max="12050" width="11" style="676" customWidth="1"/>
    <col min="12051" max="12051" width="14" style="676" customWidth="1"/>
    <col min="12052" max="12052" width="9.88671875" style="676" customWidth="1"/>
    <col min="12053" max="12056" width="8.88671875" style="676"/>
    <col min="12057" max="12057" width="15" style="676" customWidth="1"/>
    <col min="12058" max="12058" width="6.44140625" style="676" customWidth="1"/>
    <col min="12059" max="12059" width="5.6640625" style="676" customWidth="1"/>
    <col min="12060" max="12060" width="9.109375" style="676" customWidth="1"/>
    <col min="12061" max="12063" width="8.88671875" style="676"/>
    <col min="12064" max="12064" width="11.6640625" style="676" customWidth="1"/>
    <col min="12065" max="12288" width="8.88671875" style="676"/>
    <col min="12289" max="12289" width="6.44140625" style="676" customWidth="1"/>
    <col min="12290" max="12290" width="43.33203125" style="676" customWidth="1"/>
    <col min="12291" max="12291" width="11.109375" style="676" customWidth="1"/>
    <col min="12292" max="12292" width="13.109375" style="676" customWidth="1"/>
    <col min="12293" max="12293" width="13.88671875" style="676" customWidth="1"/>
    <col min="12294" max="12294" width="12.44140625" style="676" customWidth="1"/>
    <col min="12295" max="12295" width="13" style="676" customWidth="1"/>
    <col min="12296" max="12296" width="11" style="676" customWidth="1"/>
    <col min="12297" max="12297" width="9.88671875" style="676" customWidth="1"/>
    <col min="12298" max="12298" width="11.109375" style="676" customWidth="1"/>
    <col min="12299" max="12299" width="9.44140625" style="676" customWidth="1"/>
    <col min="12300" max="12300" width="9.5546875" style="676" customWidth="1"/>
    <col min="12301" max="12301" width="10.77734375" style="676" customWidth="1"/>
    <col min="12302" max="12302" width="6.5546875" style="676" customWidth="1"/>
    <col min="12303" max="12303" width="7.5546875" style="676" customWidth="1"/>
    <col min="12304" max="12304" width="10.109375" style="676" customWidth="1"/>
    <col min="12305" max="12305" width="9.44140625" style="676" customWidth="1"/>
    <col min="12306" max="12306" width="11" style="676" customWidth="1"/>
    <col min="12307" max="12307" width="14" style="676" customWidth="1"/>
    <col min="12308" max="12308" width="9.88671875" style="676" customWidth="1"/>
    <col min="12309" max="12312" width="8.88671875" style="676"/>
    <col min="12313" max="12313" width="15" style="676" customWidth="1"/>
    <col min="12314" max="12314" width="6.44140625" style="676" customWidth="1"/>
    <col min="12315" max="12315" width="5.6640625" style="676" customWidth="1"/>
    <col min="12316" max="12316" width="9.109375" style="676" customWidth="1"/>
    <col min="12317" max="12319" width="8.88671875" style="676"/>
    <col min="12320" max="12320" width="11.6640625" style="676" customWidth="1"/>
    <col min="12321" max="12544" width="8.88671875" style="676"/>
    <col min="12545" max="12545" width="6.44140625" style="676" customWidth="1"/>
    <col min="12546" max="12546" width="43.33203125" style="676" customWidth="1"/>
    <col min="12547" max="12547" width="11.109375" style="676" customWidth="1"/>
    <col min="12548" max="12548" width="13.109375" style="676" customWidth="1"/>
    <col min="12549" max="12549" width="13.88671875" style="676" customWidth="1"/>
    <col min="12550" max="12550" width="12.44140625" style="676" customWidth="1"/>
    <col min="12551" max="12551" width="13" style="676" customWidth="1"/>
    <col min="12552" max="12552" width="11" style="676" customWidth="1"/>
    <col min="12553" max="12553" width="9.88671875" style="676" customWidth="1"/>
    <col min="12554" max="12554" width="11.109375" style="676" customWidth="1"/>
    <col min="12555" max="12555" width="9.44140625" style="676" customWidth="1"/>
    <col min="12556" max="12556" width="9.5546875" style="676" customWidth="1"/>
    <col min="12557" max="12557" width="10.77734375" style="676" customWidth="1"/>
    <col min="12558" max="12558" width="6.5546875" style="676" customWidth="1"/>
    <col min="12559" max="12559" width="7.5546875" style="676" customWidth="1"/>
    <col min="12560" max="12560" width="10.109375" style="676" customWidth="1"/>
    <col min="12561" max="12561" width="9.44140625" style="676" customWidth="1"/>
    <col min="12562" max="12562" width="11" style="676" customWidth="1"/>
    <col min="12563" max="12563" width="14" style="676" customWidth="1"/>
    <col min="12564" max="12564" width="9.88671875" style="676" customWidth="1"/>
    <col min="12565" max="12568" width="8.88671875" style="676"/>
    <col min="12569" max="12569" width="15" style="676" customWidth="1"/>
    <col min="12570" max="12570" width="6.44140625" style="676" customWidth="1"/>
    <col min="12571" max="12571" width="5.6640625" style="676" customWidth="1"/>
    <col min="12572" max="12572" width="9.109375" style="676" customWidth="1"/>
    <col min="12573" max="12575" width="8.88671875" style="676"/>
    <col min="12576" max="12576" width="11.6640625" style="676" customWidth="1"/>
    <col min="12577" max="12800" width="8.88671875" style="676"/>
    <col min="12801" max="12801" width="6.44140625" style="676" customWidth="1"/>
    <col min="12802" max="12802" width="43.33203125" style="676" customWidth="1"/>
    <col min="12803" max="12803" width="11.109375" style="676" customWidth="1"/>
    <col min="12804" max="12804" width="13.109375" style="676" customWidth="1"/>
    <col min="12805" max="12805" width="13.88671875" style="676" customWidth="1"/>
    <col min="12806" max="12806" width="12.44140625" style="676" customWidth="1"/>
    <col min="12807" max="12807" width="13" style="676" customWidth="1"/>
    <col min="12808" max="12808" width="11" style="676" customWidth="1"/>
    <col min="12809" max="12809" width="9.88671875" style="676" customWidth="1"/>
    <col min="12810" max="12810" width="11.109375" style="676" customWidth="1"/>
    <col min="12811" max="12811" width="9.44140625" style="676" customWidth="1"/>
    <col min="12812" max="12812" width="9.5546875" style="676" customWidth="1"/>
    <col min="12813" max="12813" width="10.77734375" style="676" customWidth="1"/>
    <col min="12814" max="12814" width="6.5546875" style="676" customWidth="1"/>
    <col min="12815" max="12815" width="7.5546875" style="676" customWidth="1"/>
    <col min="12816" max="12816" width="10.109375" style="676" customWidth="1"/>
    <col min="12817" max="12817" width="9.44140625" style="676" customWidth="1"/>
    <col min="12818" max="12818" width="11" style="676" customWidth="1"/>
    <col min="12819" max="12819" width="14" style="676" customWidth="1"/>
    <col min="12820" max="12820" width="9.88671875" style="676" customWidth="1"/>
    <col min="12821" max="12824" width="8.88671875" style="676"/>
    <col min="12825" max="12825" width="15" style="676" customWidth="1"/>
    <col min="12826" max="12826" width="6.44140625" style="676" customWidth="1"/>
    <col min="12827" max="12827" width="5.6640625" style="676" customWidth="1"/>
    <col min="12828" max="12828" width="9.109375" style="676" customWidth="1"/>
    <col min="12829" max="12831" width="8.88671875" style="676"/>
    <col min="12832" max="12832" width="11.6640625" style="676" customWidth="1"/>
    <col min="12833" max="13056" width="8.88671875" style="676"/>
    <col min="13057" max="13057" width="6.44140625" style="676" customWidth="1"/>
    <col min="13058" max="13058" width="43.33203125" style="676" customWidth="1"/>
    <col min="13059" max="13059" width="11.109375" style="676" customWidth="1"/>
    <col min="13060" max="13060" width="13.109375" style="676" customWidth="1"/>
    <col min="13061" max="13061" width="13.88671875" style="676" customWidth="1"/>
    <col min="13062" max="13062" width="12.44140625" style="676" customWidth="1"/>
    <col min="13063" max="13063" width="13" style="676" customWidth="1"/>
    <col min="13064" max="13064" width="11" style="676" customWidth="1"/>
    <col min="13065" max="13065" width="9.88671875" style="676" customWidth="1"/>
    <col min="13066" max="13066" width="11.109375" style="676" customWidth="1"/>
    <col min="13067" max="13067" width="9.44140625" style="676" customWidth="1"/>
    <col min="13068" max="13068" width="9.5546875" style="676" customWidth="1"/>
    <col min="13069" max="13069" width="10.77734375" style="676" customWidth="1"/>
    <col min="13070" max="13070" width="6.5546875" style="676" customWidth="1"/>
    <col min="13071" max="13071" width="7.5546875" style="676" customWidth="1"/>
    <col min="13072" max="13072" width="10.109375" style="676" customWidth="1"/>
    <col min="13073" max="13073" width="9.44140625" style="676" customWidth="1"/>
    <col min="13074" max="13074" width="11" style="676" customWidth="1"/>
    <col min="13075" max="13075" width="14" style="676" customWidth="1"/>
    <col min="13076" max="13076" width="9.88671875" style="676" customWidth="1"/>
    <col min="13077" max="13080" width="8.88671875" style="676"/>
    <col min="13081" max="13081" width="15" style="676" customWidth="1"/>
    <col min="13082" max="13082" width="6.44140625" style="676" customWidth="1"/>
    <col min="13083" max="13083" width="5.6640625" style="676" customWidth="1"/>
    <col min="13084" max="13084" width="9.109375" style="676" customWidth="1"/>
    <col min="13085" max="13087" width="8.88671875" style="676"/>
    <col min="13088" max="13088" width="11.6640625" style="676" customWidth="1"/>
    <col min="13089" max="13312" width="8.88671875" style="676"/>
    <col min="13313" max="13313" width="6.44140625" style="676" customWidth="1"/>
    <col min="13314" max="13314" width="43.33203125" style="676" customWidth="1"/>
    <col min="13315" max="13315" width="11.109375" style="676" customWidth="1"/>
    <col min="13316" max="13316" width="13.109375" style="676" customWidth="1"/>
    <col min="13317" max="13317" width="13.88671875" style="676" customWidth="1"/>
    <col min="13318" max="13318" width="12.44140625" style="676" customWidth="1"/>
    <col min="13319" max="13319" width="13" style="676" customWidth="1"/>
    <col min="13320" max="13320" width="11" style="676" customWidth="1"/>
    <col min="13321" max="13321" width="9.88671875" style="676" customWidth="1"/>
    <col min="13322" max="13322" width="11.109375" style="676" customWidth="1"/>
    <col min="13323" max="13323" width="9.44140625" style="676" customWidth="1"/>
    <col min="13324" max="13324" width="9.5546875" style="676" customWidth="1"/>
    <col min="13325" max="13325" width="10.77734375" style="676" customWidth="1"/>
    <col min="13326" max="13326" width="6.5546875" style="676" customWidth="1"/>
    <col min="13327" max="13327" width="7.5546875" style="676" customWidth="1"/>
    <col min="13328" max="13328" width="10.109375" style="676" customWidth="1"/>
    <col min="13329" max="13329" width="9.44140625" style="676" customWidth="1"/>
    <col min="13330" max="13330" width="11" style="676" customWidth="1"/>
    <col min="13331" max="13331" width="14" style="676" customWidth="1"/>
    <col min="13332" max="13332" width="9.88671875" style="676" customWidth="1"/>
    <col min="13333" max="13336" width="8.88671875" style="676"/>
    <col min="13337" max="13337" width="15" style="676" customWidth="1"/>
    <col min="13338" max="13338" width="6.44140625" style="676" customWidth="1"/>
    <col min="13339" max="13339" width="5.6640625" style="676" customWidth="1"/>
    <col min="13340" max="13340" width="9.109375" style="676" customWidth="1"/>
    <col min="13341" max="13343" width="8.88671875" style="676"/>
    <col min="13344" max="13344" width="11.6640625" style="676" customWidth="1"/>
    <col min="13345" max="13568" width="8.88671875" style="676"/>
    <col min="13569" max="13569" width="6.44140625" style="676" customWidth="1"/>
    <col min="13570" max="13570" width="43.33203125" style="676" customWidth="1"/>
    <col min="13571" max="13571" width="11.109375" style="676" customWidth="1"/>
    <col min="13572" max="13572" width="13.109375" style="676" customWidth="1"/>
    <col min="13573" max="13573" width="13.88671875" style="676" customWidth="1"/>
    <col min="13574" max="13574" width="12.44140625" style="676" customWidth="1"/>
    <col min="13575" max="13575" width="13" style="676" customWidth="1"/>
    <col min="13576" max="13576" width="11" style="676" customWidth="1"/>
    <col min="13577" max="13577" width="9.88671875" style="676" customWidth="1"/>
    <col min="13578" max="13578" width="11.109375" style="676" customWidth="1"/>
    <col min="13579" max="13579" width="9.44140625" style="676" customWidth="1"/>
    <col min="13580" max="13580" width="9.5546875" style="676" customWidth="1"/>
    <col min="13581" max="13581" width="10.77734375" style="676" customWidth="1"/>
    <col min="13582" max="13582" width="6.5546875" style="676" customWidth="1"/>
    <col min="13583" max="13583" width="7.5546875" style="676" customWidth="1"/>
    <col min="13584" max="13584" width="10.109375" style="676" customWidth="1"/>
    <col min="13585" max="13585" width="9.44140625" style="676" customWidth="1"/>
    <col min="13586" max="13586" width="11" style="676" customWidth="1"/>
    <col min="13587" max="13587" width="14" style="676" customWidth="1"/>
    <col min="13588" max="13588" width="9.88671875" style="676" customWidth="1"/>
    <col min="13589" max="13592" width="8.88671875" style="676"/>
    <col min="13593" max="13593" width="15" style="676" customWidth="1"/>
    <col min="13594" max="13594" width="6.44140625" style="676" customWidth="1"/>
    <col min="13595" max="13595" width="5.6640625" style="676" customWidth="1"/>
    <col min="13596" max="13596" width="9.109375" style="676" customWidth="1"/>
    <col min="13597" max="13599" width="8.88671875" style="676"/>
    <col min="13600" max="13600" width="11.6640625" style="676" customWidth="1"/>
    <col min="13601" max="13824" width="8.88671875" style="676"/>
    <col min="13825" max="13825" width="6.44140625" style="676" customWidth="1"/>
    <col min="13826" max="13826" width="43.33203125" style="676" customWidth="1"/>
    <col min="13827" max="13827" width="11.109375" style="676" customWidth="1"/>
    <col min="13828" max="13828" width="13.109375" style="676" customWidth="1"/>
    <col min="13829" max="13829" width="13.88671875" style="676" customWidth="1"/>
    <col min="13830" max="13830" width="12.44140625" style="676" customWidth="1"/>
    <col min="13831" max="13831" width="13" style="676" customWidth="1"/>
    <col min="13832" max="13832" width="11" style="676" customWidth="1"/>
    <col min="13833" max="13833" width="9.88671875" style="676" customWidth="1"/>
    <col min="13834" max="13834" width="11.109375" style="676" customWidth="1"/>
    <col min="13835" max="13835" width="9.44140625" style="676" customWidth="1"/>
    <col min="13836" max="13836" width="9.5546875" style="676" customWidth="1"/>
    <col min="13837" max="13837" width="10.77734375" style="676" customWidth="1"/>
    <col min="13838" max="13838" width="6.5546875" style="676" customWidth="1"/>
    <col min="13839" max="13839" width="7.5546875" style="676" customWidth="1"/>
    <col min="13840" max="13840" width="10.109375" style="676" customWidth="1"/>
    <col min="13841" max="13841" width="9.44140625" style="676" customWidth="1"/>
    <col min="13842" max="13842" width="11" style="676" customWidth="1"/>
    <col min="13843" max="13843" width="14" style="676" customWidth="1"/>
    <col min="13844" max="13844" width="9.88671875" style="676" customWidth="1"/>
    <col min="13845" max="13848" width="8.88671875" style="676"/>
    <col min="13849" max="13849" width="15" style="676" customWidth="1"/>
    <col min="13850" max="13850" width="6.44140625" style="676" customWidth="1"/>
    <col min="13851" max="13851" width="5.6640625" style="676" customWidth="1"/>
    <col min="13852" max="13852" width="9.109375" style="676" customWidth="1"/>
    <col min="13853" max="13855" width="8.88671875" style="676"/>
    <col min="13856" max="13856" width="11.6640625" style="676" customWidth="1"/>
    <col min="13857" max="14080" width="8.88671875" style="676"/>
    <col min="14081" max="14081" width="6.44140625" style="676" customWidth="1"/>
    <col min="14082" max="14082" width="43.33203125" style="676" customWidth="1"/>
    <col min="14083" max="14083" width="11.109375" style="676" customWidth="1"/>
    <col min="14084" max="14084" width="13.109375" style="676" customWidth="1"/>
    <col min="14085" max="14085" width="13.88671875" style="676" customWidth="1"/>
    <col min="14086" max="14086" width="12.44140625" style="676" customWidth="1"/>
    <col min="14087" max="14087" width="13" style="676" customWidth="1"/>
    <col min="14088" max="14088" width="11" style="676" customWidth="1"/>
    <col min="14089" max="14089" width="9.88671875" style="676" customWidth="1"/>
    <col min="14090" max="14090" width="11.109375" style="676" customWidth="1"/>
    <col min="14091" max="14091" width="9.44140625" style="676" customWidth="1"/>
    <col min="14092" max="14092" width="9.5546875" style="676" customWidth="1"/>
    <col min="14093" max="14093" width="10.77734375" style="676" customWidth="1"/>
    <col min="14094" max="14094" width="6.5546875" style="676" customWidth="1"/>
    <col min="14095" max="14095" width="7.5546875" style="676" customWidth="1"/>
    <col min="14096" max="14096" width="10.109375" style="676" customWidth="1"/>
    <col min="14097" max="14097" width="9.44140625" style="676" customWidth="1"/>
    <col min="14098" max="14098" width="11" style="676" customWidth="1"/>
    <col min="14099" max="14099" width="14" style="676" customWidth="1"/>
    <col min="14100" max="14100" width="9.88671875" style="676" customWidth="1"/>
    <col min="14101" max="14104" width="8.88671875" style="676"/>
    <col min="14105" max="14105" width="15" style="676" customWidth="1"/>
    <col min="14106" max="14106" width="6.44140625" style="676" customWidth="1"/>
    <col min="14107" max="14107" width="5.6640625" style="676" customWidth="1"/>
    <col min="14108" max="14108" width="9.109375" style="676" customWidth="1"/>
    <col min="14109" max="14111" width="8.88671875" style="676"/>
    <col min="14112" max="14112" width="11.6640625" style="676" customWidth="1"/>
    <col min="14113" max="14336" width="8.88671875" style="676"/>
    <col min="14337" max="14337" width="6.44140625" style="676" customWidth="1"/>
    <col min="14338" max="14338" width="43.33203125" style="676" customWidth="1"/>
    <col min="14339" max="14339" width="11.109375" style="676" customWidth="1"/>
    <col min="14340" max="14340" width="13.109375" style="676" customWidth="1"/>
    <col min="14341" max="14341" width="13.88671875" style="676" customWidth="1"/>
    <col min="14342" max="14342" width="12.44140625" style="676" customWidth="1"/>
    <col min="14343" max="14343" width="13" style="676" customWidth="1"/>
    <col min="14344" max="14344" width="11" style="676" customWidth="1"/>
    <col min="14345" max="14345" width="9.88671875" style="676" customWidth="1"/>
    <col min="14346" max="14346" width="11.109375" style="676" customWidth="1"/>
    <col min="14347" max="14347" width="9.44140625" style="676" customWidth="1"/>
    <col min="14348" max="14348" width="9.5546875" style="676" customWidth="1"/>
    <col min="14349" max="14349" width="10.77734375" style="676" customWidth="1"/>
    <col min="14350" max="14350" width="6.5546875" style="676" customWidth="1"/>
    <col min="14351" max="14351" width="7.5546875" style="676" customWidth="1"/>
    <col min="14352" max="14352" width="10.109375" style="676" customWidth="1"/>
    <col min="14353" max="14353" width="9.44140625" style="676" customWidth="1"/>
    <col min="14354" max="14354" width="11" style="676" customWidth="1"/>
    <col min="14355" max="14355" width="14" style="676" customWidth="1"/>
    <col min="14356" max="14356" width="9.88671875" style="676" customWidth="1"/>
    <col min="14357" max="14360" width="8.88671875" style="676"/>
    <col min="14361" max="14361" width="15" style="676" customWidth="1"/>
    <col min="14362" max="14362" width="6.44140625" style="676" customWidth="1"/>
    <col min="14363" max="14363" width="5.6640625" style="676" customWidth="1"/>
    <col min="14364" max="14364" width="9.109375" style="676" customWidth="1"/>
    <col min="14365" max="14367" width="8.88671875" style="676"/>
    <col min="14368" max="14368" width="11.6640625" style="676" customWidth="1"/>
    <col min="14369" max="14592" width="8.88671875" style="676"/>
    <col min="14593" max="14593" width="6.44140625" style="676" customWidth="1"/>
    <col min="14594" max="14594" width="43.33203125" style="676" customWidth="1"/>
    <col min="14595" max="14595" width="11.109375" style="676" customWidth="1"/>
    <col min="14596" max="14596" width="13.109375" style="676" customWidth="1"/>
    <col min="14597" max="14597" width="13.88671875" style="676" customWidth="1"/>
    <col min="14598" max="14598" width="12.44140625" style="676" customWidth="1"/>
    <col min="14599" max="14599" width="13" style="676" customWidth="1"/>
    <col min="14600" max="14600" width="11" style="676" customWidth="1"/>
    <col min="14601" max="14601" width="9.88671875" style="676" customWidth="1"/>
    <col min="14602" max="14602" width="11.109375" style="676" customWidth="1"/>
    <col min="14603" max="14603" width="9.44140625" style="676" customWidth="1"/>
    <col min="14604" max="14604" width="9.5546875" style="676" customWidth="1"/>
    <col min="14605" max="14605" width="10.77734375" style="676" customWidth="1"/>
    <col min="14606" max="14606" width="6.5546875" style="676" customWidth="1"/>
    <col min="14607" max="14607" width="7.5546875" style="676" customWidth="1"/>
    <col min="14608" max="14608" width="10.109375" style="676" customWidth="1"/>
    <col min="14609" max="14609" width="9.44140625" style="676" customWidth="1"/>
    <col min="14610" max="14610" width="11" style="676" customWidth="1"/>
    <col min="14611" max="14611" width="14" style="676" customWidth="1"/>
    <col min="14612" max="14612" width="9.88671875" style="676" customWidth="1"/>
    <col min="14613" max="14616" width="8.88671875" style="676"/>
    <col min="14617" max="14617" width="15" style="676" customWidth="1"/>
    <col min="14618" max="14618" width="6.44140625" style="676" customWidth="1"/>
    <col min="14619" max="14619" width="5.6640625" style="676" customWidth="1"/>
    <col min="14620" max="14620" width="9.109375" style="676" customWidth="1"/>
    <col min="14621" max="14623" width="8.88671875" style="676"/>
    <col min="14624" max="14624" width="11.6640625" style="676" customWidth="1"/>
    <col min="14625" max="14848" width="8.88671875" style="676"/>
    <col min="14849" max="14849" width="6.44140625" style="676" customWidth="1"/>
    <col min="14850" max="14850" width="43.33203125" style="676" customWidth="1"/>
    <col min="14851" max="14851" width="11.109375" style="676" customWidth="1"/>
    <col min="14852" max="14852" width="13.109375" style="676" customWidth="1"/>
    <col min="14853" max="14853" width="13.88671875" style="676" customWidth="1"/>
    <col min="14854" max="14854" width="12.44140625" style="676" customWidth="1"/>
    <col min="14855" max="14855" width="13" style="676" customWidth="1"/>
    <col min="14856" max="14856" width="11" style="676" customWidth="1"/>
    <col min="14857" max="14857" width="9.88671875" style="676" customWidth="1"/>
    <col min="14858" max="14858" width="11.109375" style="676" customWidth="1"/>
    <col min="14859" max="14859" width="9.44140625" style="676" customWidth="1"/>
    <col min="14860" max="14860" width="9.5546875" style="676" customWidth="1"/>
    <col min="14861" max="14861" width="10.77734375" style="676" customWidth="1"/>
    <col min="14862" max="14862" width="6.5546875" style="676" customWidth="1"/>
    <col min="14863" max="14863" width="7.5546875" style="676" customWidth="1"/>
    <col min="14864" max="14864" width="10.109375" style="676" customWidth="1"/>
    <col min="14865" max="14865" width="9.44140625" style="676" customWidth="1"/>
    <col min="14866" max="14866" width="11" style="676" customWidth="1"/>
    <col min="14867" max="14867" width="14" style="676" customWidth="1"/>
    <col min="14868" max="14868" width="9.88671875" style="676" customWidth="1"/>
    <col min="14869" max="14872" width="8.88671875" style="676"/>
    <col min="14873" max="14873" width="15" style="676" customWidth="1"/>
    <col min="14874" max="14874" width="6.44140625" style="676" customWidth="1"/>
    <col min="14875" max="14875" width="5.6640625" style="676" customWidth="1"/>
    <col min="14876" max="14876" width="9.109375" style="676" customWidth="1"/>
    <col min="14877" max="14879" width="8.88671875" style="676"/>
    <col min="14880" max="14880" width="11.6640625" style="676" customWidth="1"/>
    <col min="14881" max="15104" width="8.88671875" style="676"/>
    <col min="15105" max="15105" width="6.44140625" style="676" customWidth="1"/>
    <col min="15106" max="15106" width="43.33203125" style="676" customWidth="1"/>
    <col min="15107" max="15107" width="11.109375" style="676" customWidth="1"/>
    <col min="15108" max="15108" width="13.109375" style="676" customWidth="1"/>
    <col min="15109" max="15109" width="13.88671875" style="676" customWidth="1"/>
    <col min="15110" max="15110" width="12.44140625" style="676" customWidth="1"/>
    <col min="15111" max="15111" width="13" style="676" customWidth="1"/>
    <col min="15112" max="15112" width="11" style="676" customWidth="1"/>
    <col min="15113" max="15113" width="9.88671875" style="676" customWidth="1"/>
    <col min="15114" max="15114" width="11.109375" style="676" customWidth="1"/>
    <col min="15115" max="15115" width="9.44140625" style="676" customWidth="1"/>
    <col min="15116" max="15116" width="9.5546875" style="676" customWidth="1"/>
    <col min="15117" max="15117" width="10.77734375" style="676" customWidth="1"/>
    <col min="15118" max="15118" width="6.5546875" style="676" customWidth="1"/>
    <col min="15119" max="15119" width="7.5546875" style="676" customWidth="1"/>
    <col min="15120" max="15120" width="10.109375" style="676" customWidth="1"/>
    <col min="15121" max="15121" width="9.44140625" style="676" customWidth="1"/>
    <col min="15122" max="15122" width="11" style="676" customWidth="1"/>
    <col min="15123" max="15123" width="14" style="676" customWidth="1"/>
    <col min="15124" max="15124" width="9.88671875" style="676" customWidth="1"/>
    <col min="15125" max="15128" width="8.88671875" style="676"/>
    <col min="15129" max="15129" width="15" style="676" customWidth="1"/>
    <col min="15130" max="15130" width="6.44140625" style="676" customWidth="1"/>
    <col min="15131" max="15131" width="5.6640625" style="676" customWidth="1"/>
    <col min="15132" max="15132" width="9.109375" style="676" customWidth="1"/>
    <col min="15133" max="15135" width="8.88671875" style="676"/>
    <col min="15136" max="15136" width="11.6640625" style="676" customWidth="1"/>
    <col min="15137" max="15360" width="8.88671875" style="676"/>
    <col min="15361" max="15361" width="6.44140625" style="676" customWidth="1"/>
    <col min="15362" max="15362" width="43.33203125" style="676" customWidth="1"/>
    <col min="15363" max="15363" width="11.109375" style="676" customWidth="1"/>
    <col min="15364" max="15364" width="13.109375" style="676" customWidth="1"/>
    <col min="15365" max="15365" width="13.88671875" style="676" customWidth="1"/>
    <col min="15366" max="15366" width="12.44140625" style="676" customWidth="1"/>
    <col min="15367" max="15367" width="13" style="676" customWidth="1"/>
    <col min="15368" max="15368" width="11" style="676" customWidth="1"/>
    <col min="15369" max="15369" width="9.88671875" style="676" customWidth="1"/>
    <col min="15370" max="15370" width="11.109375" style="676" customWidth="1"/>
    <col min="15371" max="15371" width="9.44140625" style="676" customWidth="1"/>
    <col min="15372" max="15372" width="9.5546875" style="676" customWidth="1"/>
    <col min="15373" max="15373" width="10.77734375" style="676" customWidth="1"/>
    <col min="15374" max="15374" width="6.5546875" style="676" customWidth="1"/>
    <col min="15375" max="15375" width="7.5546875" style="676" customWidth="1"/>
    <col min="15376" max="15376" width="10.109375" style="676" customWidth="1"/>
    <col min="15377" max="15377" width="9.44140625" style="676" customWidth="1"/>
    <col min="15378" max="15378" width="11" style="676" customWidth="1"/>
    <col min="15379" max="15379" width="14" style="676" customWidth="1"/>
    <col min="15380" max="15380" width="9.88671875" style="676" customWidth="1"/>
    <col min="15381" max="15384" width="8.88671875" style="676"/>
    <col min="15385" max="15385" width="15" style="676" customWidth="1"/>
    <col min="15386" max="15386" width="6.44140625" style="676" customWidth="1"/>
    <col min="15387" max="15387" width="5.6640625" style="676" customWidth="1"/>
    <col min="15388" max="15388" width="9.109375" style="676" customWidth="1"/>
    <col min="15389" max="15391" width="8.88671875" style="676"/>
    <col min="15392" max="15392" width="11.6640625" style="676" customWidth="1"/>
    <col min="15393" max="15616" width="8.88671875" style="676"/>
    <col min="15617" max="15617" width="6.44140625" style="676" customWidth="1"/>
    <col min="15618" max="15618" width="43.33203125" style="676" customWidth="1"/>
    <col min="15619" max="15619" width="11.109375" style="676" customWidth="1"/>
    <col min="15620" max="15620" width="13.109375" style="676" customWidth="1"/>
    <col min="15621" max="15621" width="13.88671875" style="676" customWidth="1"/>
    <col min="15622" max="15622" width="12.44140625" style="676" customWidth="1"/>
    <col min="15623" max="15623" width="13" style="676" customWidth="1"/>
    <col min="15624" max="15624" width="11" style="676" customWidth="1"/>
    <col min="15625" max="15625" width="9.88671875" style="676" customWidth="1"/>
    <col min="15626" max="15626" width="11.109375" style="676" customWidth="1"/>
    <col min="15627" max="15627" width="9.44140625" style="676" customWidth="1"/>
    <col min="15628" max="15628" width="9.5546875" style="676" customWidth="1"/>
    <col min="15629" max="15629" width="10.77734375" style="676" customWidth="1"/>
    <col min="15630" max="15630" width="6.5546875" style="676" customWidth="1"/>
    <col min="15631" max="15631" width="7.5546875" style="676" customWidth="1"/>
    <col min="15632" max="15632" width="10.109375" style="676" customWidth="1"/>
    <col min="15633" max="15633" width="9.44140625" style="676" customWidth="1"/>
    <col min="15634" max="15634" width="11" style="676" customWidth="1"/>
    <col min="15635" max="15635" width="14" style="676" customWidth="1"/>
    <col min="15636" max="15636" width="9.88671875" style="676" customWidth="1"/>
    <col min="15637" max="15640" width="8.88671875" style="676"/>
    <col min="15641" max="15641" width="15" style="676" customWidth="1"/>
    <col min="15642" max="15642" width="6.44140625" style="676" customWidth="1"/>
    <col min="15643" max="15643" width="5.6640625" style="676" customWidth="1"/>
    <col min="15644" max="15644" width="9.109375" style="676" customWidth="1"/>
    <col min="15645" max="15647" width="8.88671875" style="676"/>
    <col min="15648" max="15648" width="11.6640625" style="676" customWidth="1"/>
    <col min="15649" max="15872" width="8.88671875" style="676"/>
    <col min="15873" max="15873" width="6.44140625" style="676" customWidth="1"/>
    <col min="15874" max="15874" width="43.33203125" style="676" customWidth="1"/>
    <col min="15875" max="15875" width="11.109375" style="676" customWidth="1"/>
    <col min="15876" max="15876" width="13.109375" style="676" customWidth="1"/>
    <col min="15877" max="15877" width="13.88671875" style="676" customWidth="1"/>
    <col min="15878" max="15878" width="12.44140625" style="676" customWidth="1"/>
    <col min="15879" max="15879" width="13" style="676" customWidth="1"/>
    <col min="15880" max="15880" width="11" style="676" customWidth="1"/>
    <col min="15881" max="15881" width="9.88671875" style="676" customWidth="1"/>
    <col min="15882" max="15882" width="11.109375" style="676" customWidth="1"/>
    <col min="15883" max="15883" width="9.44140625" style="676" customWidth="1"/>
    <col min="15884" max="15884" width="9.5546875" style="676" customWidth="1"/>
    <col min="15885" max="15885" width="10.77734375" style="676" customWidth="1"/>
    <col min="15886" max="15886" width="6.5546875" style="676" customWidth="1"/>
    <col min="15887" max="15887" width="7.5546875" style="676" customWidth="1"/>
    <col min="15888" max="15888" width="10.109375" style="676" customWidth="1"/>
    <col min="15889" max="15889" width="9.44140625" style="676" customWidth="1"/>
    <col min="15890" max="15890" width="11" style="676" customWidth="1"/>
    <col min="15891" max="15891" width="14" style="676" customWidth="1"/>
    <col min="15892" max="15892" width="9.88671875" style="676" customWidth="1"/>
    <col min="15893" max="15896" width="8.88671875" style="676"/>
    <col min="15897" max="15897" width="15" style="676" customWidth="1"/>
    <col min="15898" max="15898" width="6.44140625" style="676" customWidth="1"/>
    <col min="15899" max="15899" width="5.6640625" style="676" customWidth="1"/>
    <col min="15900" max="15900" width="9.109375" style="676" customWidth="1"/>
    <col min="15901" max="15903" width="8.88671875" style="676"/>
    <col min="15904" max="15904" width="11.6640625" style="676" customWidth="1"/>
    <col min="15905" max="16128" width="8.88671875" style="676"/>
    <col min="16129" max="16129" width="6.44140625" style="676" customWidth="1"/>
    <col min="16130" max="16130" width="43.33203125" style="676" customWidth="1"/>
    <col min="16131" max="16131" width="11.109375" style="676" customWidth="1"/>
    <col min="16132" max="16132" width="13.109375" style="676" customWidth="1"/>
    <col min="16133" max="16133" width="13.88671875" style="676" customWidth="1"/>
    <col min="16134" max="16134" width="12.44140625" style="676" customWidth="1"/>
    <col min="16135" max="16135" width="13" style="676" customWidth="1"/>
    <col min="16136" max="16136" width="11" style="676" customWidth="1"/>
    <col min="16137" max="16137" width="9.88671875" style="676" customWidth="1"/>
    <col min="16138" max="16138" width="11.109375" style="676" customWidth="1"/>
    <col min="16139" max="16139" width="9.44140625" style="676" customWidth="1"/>
    <col min="16140" max="16140" width="9.5546875" style="676" customWidth="1"/>
    <col min="16141" max="16141" width="10.77734375" style="676" customWidth="1"/>
    <col min="16142" max="16142" width="6.5546875" style="676" customWidth="1"/>
    <col min="16143" max="16143" width="7.5546875" style="676" customWidth="1"/>
    <col min="16144" max="16144" width="10.109375" style="676" customWidth="1"/>
    <col min="16145" max="16145" width="9.44140625" style="676" customWidth="1"/>
    <col min="16146" max="16146" width="11" style="676" customWidth="1"/>
    <col min="16147" max="16147" width="14" style="676" customWidth="1"/>
    <col min="16148" max="16148" width="9.88671875" style="676" customWidth="1"/>
    <col min="16149" max="16152" width="8.88671875" style="676"/>
    <col min="16153" max="16153" width="15" style="676" customWidth="1"/>
    <col min="16154" max="16154" width="6.44140625" style="676" customWidth="1"/>
    <col min="16155" max="16155" width="5.6640625" style="676" customWidth="1"/>
    <col min="16156" max="16156" width="9.109375" style="676" customWidth="1"/>
    <col min="16157" max="16159" width="8.88671875" style="676"/>
    <col min="16160" max="16160" width="11.6640625" style="676" customWidth="1"/>
    <col min="16161" max="16384" width="8.88671875" style="676"/>
  </cols>
  <sheetData>
    <row r="1" spans="1:36" ht="15.75" x14ac:dyDescent="0.25">
      <c r="A1" s="121"/>
      <c r="B1" s="121"/>
      <c r="C1" s="121"/>
      <c r="D1" s="121"/>
      <c r="E1" s="122"/>
      <c r="F1" s="121"/>
      <c r="G1" s="121"/>
      <c r="H1" s="121"/>
      <c r="I1" s="122" t="s">
        <v>31</v>
      </c>
      <c r="J1" s="121"/>
      <c r="K1" s="121"/>
      <c r="L1" s="121"/>
      <c r="M1" s="121"/>
      <c r="N1" s="121"/>
      <c r="O1" s="121"/>
      <c r="P1" s="121"/>
      <c r="Q1" s="121"/>
    </row>
    <row r="2" spans="1:36" ht="15" customHeight="1" x14ac:dyDescent="0.25">
      <c r="A2" s="121"/>
      <c r="B2" s="121"/>
      <c r="D2" s="121"/>
      <c r="E2" s="122"/>
      <c r="F2" s="122"/>
      <c r="G2" s="122"/>
      <c r="H2" s="122"/>
      <c r="I2" s="122" t="s">
        <v>182</v>
      </c>
      <c r="J2" s="121"/>
      <c r="K2" s="121"/>
      <c r="L2" s="121"/>
      <c r="M2" s="121"/>
      <c r="N2" s="121"/>
      <c r="O2" s="121"/>
      <c r="P2" s="124"/>
      <c r="Q2" s="121"/>
    </row>
    <row r="3" spans="1:36" ht="18.75" customHeight="1" x14ac:dyDescent="0.25">
      <c r="A3" s="121"/>
      <c r="B3" s="121"/>
      <c r="D3" s="121"/>
      <c r="E3" s="677"/>
      <c r="F3" s="126"/>
      <c r="G3" s="126"/>
      <c r="H3" s="127"/>
      <c r="I3" s="677" t="s">
        <v>430</v>
      </c>
      <c r="J3" s="121"/>
      <c r="L3" s="121"/>
      <c r="M3" s="121"/>
      <c r="N3" s="121"/>
      <c r="O3" s="121"/>
      <c r="P3" s="121"/>
      <c r="Q3" s="121"/>
    </row>
    <row r="4" spans="1:36" ht="15.75" x14ac:dyDescent="0.25">
      <c r="A4" s="121"/>
      <c r="B4" s="121"/>
      <c r="D4" s="121"/>
      <c r="E4" s="126"/>
      <c r="F4" s="126"/>
      <c r="G4" s="126"/>
      <c r="H4" s="128"/>
      <c r="I4" s="126" t="s">
        <v>429</v>
      </c>
      <c r="J4" s="121"/>
      <c r="K4" s="121"/>
      <c r="L4" s="121"/>
      <c r="M4" s="121"/>
      <c r="N4" s="121"/>
      <c r="O4" s="121"/>
      <c r="P4" s="121"/>
      <c r="Q4" s="121"/>
    </row>
    <row r="5" spans="1:36" ht="15.75" x14ac:dyDescent="0.25">
      <c r="A5" s="121"/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67"/>
      <c r="Q5" s="121"/>
    </row>
    <row r="6" spans="1:36" ht="18" x14ac:dyDescent="0.25">
      <c r="A6" s="825" t="s">
        <v>183</v>
      </c>
      <c r="B6" s="825"/>
      <c r="C6" s="825"/>
      <c r="D6" s="825"/>
      <c r="E6" s="825"/>
      <c r="F6" s="825"/>
      <c r="G6" s="825"/>
      <c r="H6" s="825"/>
      <c r="I6" s="825"/>
      <c r="J6" s="121"/>
      <c r="K6" s="121"/>
      <c r="L6" s="121"/>
      <c r="M6" s="121"/>
      <c r="N6" s="121"/>
      <c r="O6" s="121"/>
      <c r="P6" s="36"/>
      <c r="Q6" s="121"/>
    </row>
    <row r="7" spans="1:36" ht="18" x14ac:dyDescent="0.25">
      <c r="A7" s="825" t="s">
        <v>366</v>
      </c>
      <c r="B7" s="825"/>
      <c r="C7" s="825"/>
      <c r="D7" s="825"/>
      <c r="E7" s="825"/>
      <c r="F7" s="825"/>
      <c r="G7" s="825"/>
      <c r="H7" s="825"/>
      <c r="I7" s="825"/>
      <c r="J7" s="121"/>
      <c r="K7" s="121"/>
      <c r="L7" s="121"/>
      <c r="M7" s="121"/>
      <c r="N7" s="121"/>
      <c r="O7" s="121"/>
      <c r="P7" s="121"/>
      <c r="Q7" s="121"/>
    </row>
    <row r="8" spans="1:36" ht="21" customHeight="1" x14ac:dyDescent="0.25">
      <c r="A8" s="826" t="s">
        <v>417</v>
      </c>
      <c r="B8" s="826"/>
      <c r="C8" s="826"/>
      <c r="D8" s="826"/>
      <c r="E8" s="826"/>
      <c r="F8" s="826"/>
      <c r="G8" s="826"/>
      <c r="H8" s="826"/>
      <c r="I8" s="826"/>
      <c r="J8" s="121"/>
      <c r="K8" s="121"/>
      <c r="L8" s="121"/>
      <c r="M8" s="121"/>
      <c r="N8" s="121"/>
      <c r="O8" s="121"/>
      <c r="P8" s="121"/>
      <c r="Q8" s="121"/>
    </row>
    <row r="9" spans="1:36" ht="15.75" x14ac:dyDescent="0.25">
      <c r="A9" s="827" t="s">
        <v>418</v>
      </c>
      <c r="B9" s="827"/>
      <c r="C9" s="827"/>
      <c r="D9" s="827"/>
      <c r="E9" s="827"/>
      <c r="F9" s="827"/>
      <c r="G9" s="827"/>
      <c r="H9" s="827"/>
      <c r="I9" s="827"/>
      <c r="J9" s="121"/>
      <c r="K9" s="121"/>
      <c r="L9" s="121"/>
      <c r="M9" s="121"/>
      <c r="N9" s="121"/>
      <c r="O9" s="121"/>
      <c r="P9" s="121"/>
      <c r="Q9" s="121"/>
    </row>
    <row r="10" spans="1:36" ht="15.75" x14ac:dyDescent="0.25">
      <c r="A10" s="827" t="s">
        <v>414</v>
      </c>
      <c r="B10" s="827"/>
      <c r="C10" s="827"/>
      <c r="D10" s="827"/>
      <c r="E10" s="827"/>
      <c r="F10" s="827"/>
      <c r="G10" s="827"/>
      <c r="H10" s="827"/>
      <c r="I10" s="827"/>
      <c r="J10" s="121"/>
      <c r="K10" s="121"/>
      <c r="L10" s="121"/>
      <c r="M10" s="121"/>
      <c r="N10" s="121"/>
      <c r="O10" s="121"/>
      <c r="P10" s="121"/>
      <c r="Q10" s="121"/>
    </row>
    <row r="11" spans="1:36" ht="15.75" x14ac:dyDescent="0.25">
      <c r="A11" s="832" t="s">
        <v>419</v>
      </c>
      <c r="B11" s="832"/>
      <c r="C11" s="832"/>
      <c r="D11" s="832"/>
      <c r="E11" s="832"/>
      <c r="F11" s="832"/>
      <c r="G11" s="832"/>
      <c r="H11" s="832"/>
      <c r="I11" s="832"/>
      <c r="J11" s="121"/>
      <c r="K11" s="121"/>
      <c r="L11" s="121"/>
      <c r="M11" s="121"/>
      <c r="N11" s="121"/>
      <c r="O11" s="121"/>
      <c r="P11" s="121"/>
      <c r="Q11" s="121"/>
    </row>
    <row r="12" spans="1:36" ht="15.75" x14ac:dyDescent="0.25">
      <c r="A12" s="678"/>
      <c r="B12" s="679"/>
      <c r="C12" s="680"/>
      <c r="D12" s="121"/>
      <c r="E12" s="681"/>
      <c r="F12" s="136"/>
      <c r="G12" s="136"/>
      <c r="H12" s="136"/>
      <c r="I12" s="121"/>
      <c r="J12" s="121"/>
      <c r="K12" s="136"/>
      <c r="L12" s="121"/>
      <c r="M12" s="121"/>
      <c r="N12" s="121"/>
      <c r="O12" s="121"/>
      <c r="P12" s="121"/>
      <c r="Q12" s="121"/>
      <c r="S12" s="682"/>
      <c r="T12" s="683"/>
      <c r="U12" s="683"/>
      <c r="V12" s="684"/>
      <c r="W12" s="683"/>
      <c r="AE12" s="683"/>
      <c r="AF12" s="683"/>
      <c r="AG12" s="683"/>
      <c r="AH12" s="683"/>
      <c r="AI12" s="683"/>
      <c r="AJ12" s="683"/>
    </row>
    <row r="13" spans="1:36" ht="15.75" x14ac:dyDescent="0.25">
      <c r="A13" s="678"/>
      <c r="B13" s="679"/>
      <c r="C13" s="680"/>
      <c r="D13" s="121"/>
      <c r="E13" s="685"/>
      <c r="F13" s="136"/>
      <c r="G13" s="136"/>
      <c r="H13" s="136"/>
      <c r="I13" s="685" t="s">
        <v>415</v>
      </c>
      <c r="J13" s="121"/>
      <c r="K13" s="136"/>
      <c r="L13" s="121"/>
      <c r="M13" s="121"/>
      <c r="N13" s="121"/>
      <c r="O13" s="121"/>
      <c r="P13" s="121"/>
      <c r="Q13" s="121"/>
      <c r="S13" s="682"/>
      <c r="T13" s="683"/>
      <c r="U13" s="683"/>
      <c r="V13" s="684"/>
      <c r="W13" s="683"/>
      <c r="AE13" s="683"/>
      <c r="AF13" s="683"/>
      <c r="AG13" s="683"/>
      <c r="AH13" s="683"/>
      <c r="AI13" s="683"/>
      <c r="AJ13" s="683"/>
    </row>
    <row r="14" spans="1:36" ht="32.25" customHeight="1" thickBot="1" x14ac:dyDescent="0.3">
      <c r="A14" s="686"/>
      <c r="B14" s="687"/>
      <c r="C14" s="688"/>
      <c r="D14" s="689"/>
      <c r="E14" s="828" t="s">
        <v>420</v>
      </c>
      <c r="F14" s="830" t="s">
        <v>421</v>
      </c>
      <c r="G14" s="830"/>
      <c r="H14" s="831" t="s">
        <v>422</v>
      </c>
      <c r="I14" s="831"/>
      <c r="J14" s="121"/>
      <c r="K14" s="136"/>
      <c r="L14" s="121"/>
      <c r="M14" s="121"/>
      <c r="N14" s="121"/>
      <c r="O14" s="121"/>
      <c r="P14" s="121"/>
      <c r="Q14" s="121"/>
      <c r="S14" s="682"/>
      <c r="T14" s="683"/>
      <c r="U14" s="683"/>
      <c r="V14" s="684"/>
      <c r="W14" s="683"/>
      <c r="AE14" s="683"/>
      <c r="AF14" s="683"/>
      <c r="AG14" s="683"/>
      <c r="AH14" s="683"/>
      <c r="AI14" s="683"/>
      <c r="AJ14" s="683"/>
    </row>
    <row r="15" spans="1:36" ht="20.25" customHeight="1" thickBot="1" x14ac:dyDescent="0.3">
      <c r="A15" s="690"/>
      <c r="B15" s="679"/>
      <c r="C15" s="691"/>
      <c r="D15" s="134"/>
      <c r="E15" s="829"/>
      <c r="F15" s="692" t="s">
        <v>423</v>
      </c>
      <c r="G15" s="692" t="s">
        <v>424</v>
      </c>
      <c r="H15" s="692" t="s">
        <v>423</v>
      </c>
      <c r="I15" s="692" t="s">
        <v>424</v>
      </c>
      <c r="J15" s="121"/>
      <c r="K15" s="136"/>
      <c r="L15" s="121"/>
      <c r="M15" s="121"/>
      <c r="N15" s="121"/>
      <c r="O15" s="121"/>
      <c r="P15" s="121"/>
      <c r="Q15" s="121"/>
      <c r="S15" s="682"/>
      <c r="T15" s="683"/>
      <c r="U15" s="683"/>
      <c r="V15" s="684"/>
      <c r="W15" s="683"/>
      <c r="AE15" s="683"/>
      <c r="AF15" s="683"/>
      <c r="AG15" s="683"/>
      <c r="AH15" s="683"/>
      <c r="AI15" s="683"/>
      <c r="AJ15" s="683"/>
    </row>
    <row r="16" spans="1:36" s="699" customFormat="1" ht="24.75" customHeight="1" thickBot="1" x14ac:dyDescent="0.25">
      <c r="A16" s="693" t="s">
        <v>190</v>
      </c>
      <c r="B16" s="694" t="s">
        <v>191</v>
      </c>
      <c r="C16" s="695" t="s">
        <v>14</v>
      </c>
      <c r="D16" s="696" t="s">
        <v>12</v>
      </c>
      <c r="E16" s="694" t="s">
        <v>4</v>
      </c>
      <c r="F16" s="694" t="s">
        <v>4</v>
      </c>
      <c r="G16" s="694" t="s">
        <v>4</v>
      </c>
      <c r="H16" s="694" t="s">
        <v>4</v>
      </c>
      <c r="I16" s="694" t="s">
        <v>4</v>
      </c>
      <c r="J16" s="666"/>
      <c r="K16" s="666"/>
      <c r="L16" s="146"/>
      <c r="M16" s="146"/>
      <c r="N16" s="146"/>
      <c r="O16" s="146"/>
      <c r="P16" s="146"/>
      <c r="Q16" s="667"/>
      <c r="R16" s="146"/>
      <c r="S16" s="697"/>
      <c r="T16" s="698"/>
      <c r="U16" s="698"/>
      <c r="V16" s="698"/>
      <c r="W16" s="698"/>
      <c r="X16" s="146"/>
      <c r="Y16" s="146"/>
      <c r="Z16" s="146"/>
      <c r="AA16" s="146"/>
      <c r="AB16" s="670"/>
      <c r="AE16" s="700"/>
      <c r="AF16" s="698"/>
      <c r="AG16" s="698"/>
      <c r="AH16" s="698"/>
      <c r="AI16" s="698"/>
      <c r="AJ16" s="698"/>
    </row>
    <row r="17" spans="1:36" s="699" customFormat="1" ht="25.5" customHeight="1" x14ac:dyDescent="0.2">
      <c r="A17" s="701">
        <v>1</v>
      </c>
      <c r="B17" s="702" t="s">
        <v>374</v>
      </c>
      <c r="C17" s="703">
        <v>0</v>
      </c>
      <c r="D17" s="704">
        <v>3.2461244479411473</v>
      </c>
      <c r="E17" s="795">
        <v>3.24612444794115</v>
      </c>
      <c r="F17" s="795">
        <v>1.1564000000000001</v>
      </c>
      <c r="G17" s="795">
        <v>1.0384</v>
      </c>
      <c r="H17" s="795">
        <v>10.029658</v>
      </c>
      <c r="I17" s="795">
        <v>4.9480940000000002</v>
      </c>
      <c r="J17" s="706"/>
      <c r="K17" s="156"/>
      <c r="L17" s="667"/>
      <c r="M17" s="667"/>
      <c r="N17" s="667"/>
      <c r="O17" s="667"/>
      <c r="P17" s="146"/>
      <c r="Q17" s="707"/>
      <c r="R17" s="708"/>
      <c r="S17" s="709"/>
      <c r="T17" s="698"/>
      <c r="U17" s="698"/>
      <c r="V17" s="698"/>
      <c r="W17" s="698"/>
      <c r="X17" s="708"/>
      <c r="Y17" s="708"/>
      <c r="Z17" s="708"/>
      <c r="AA17" s="708"/>
      <c r="AB17" s="708"/>
      <c r="AE17" s="710"/>
      <c r="AF17" s="698"/>
      <c r="AG17" s="698"/>
      <c r="AH17" s="698"/>
      <c r="AI17" s="698"/>
      <c r="AJ17" s="698"/>
    </row>
    <row r="18" spans="1:36" s="699" customFormat="1" ht="24.75" customHeight="1" x14ac:dyDescent="0.2">
      <c r="A18" s="701">
        <v>2</v>
      </c>
      <c r="B18" s="711" t="s">
        <v>192</v>
      </c>
      <c r="C18" s="703">
        <v>0</v>
      </c>
      <c r="D18" s="704">
        <v>16.610459852215691</v>
      </c>
      <c r="E18" s="795">
        <v>16.610459852215691</v>
      </c>
      <c r="F18" s="795">
        <v>37.708669999999998</v>
      </c>
      <c r="G18" s="795">
        <v>23.430669999999999</v>
      </c>
      <c r="H18" s="795">
        <v>49.868600399999998</v>
      </c>
      <c r="I18" s="795">
        <v>28.204124</v>
      </c>
      <c r="J18" s="707"/>
      <c r="K18" s="712" t="s">
        <v>0</v>
      </c>
      <c r="L18" s="677"/>
      <c r="M18" s="677"/>
      <c r="N18" s="677"/>
      <c r="O18" s="677"/>
      <c r="P18" s="146"/>
      <c r="Q18" s="707"/>
      <c r="R18" s="708"/>
      <c r="S18" s="713"/>
      <c r="T18" s="714"/>
      <c r="U18" s="715"/>
      <c r="V18" s="715"/>
      <c r="W18" s="716"/>
      <c r="X18" s="708"/>
      <c r="Y18" s="708"/>
      <c r="Z18" s="708"/>
      <c r="AA18" s="708"/>
      <c r="AB18" s="708"/>
      <c r="AE18" s="710"/>
      <c r="AF18" s="698"/>
      <c r="AG18" s="698"/>
      <c r="AH18" s="717"/>
      <c r="AI18" s="698"/>
      <c r="AJ18" s="698"/>
    </row>
    <row r="19" spans="1:36" s="699" customFormat="1" ht="32.25" customHeight="1" x14ac:dyDescent="0.2">
      <c r="A19" s="701">
        <v>3</v>
      </c>
      <c r="B19" s="711" t="s">
        <v>397</v>
      </c>
      <c r="C19" s="703"/>
      <c r="D19" s="704">
        <v>1.6836358</v>
      </c>
      <c r="E19" s="795">
        <v>1.6836358</v>
      </c>
      <c r="F19" s="795"/>
      <c r="G19" s="795"/>
      <c r="H19" s="795">
        <v>1.9733152</v>
      </c>
      <c r="I19" s="795">
        <v>0.19292999999999999</v>
      </c>
      <c r="J19" s="718"/>
      <c r="K19" s="719"/>
      <c r="L19" s="667"/>
      <c r="M19" s="667"/>
      <c r="N19" s="667"/>
      <c r="O19" s="667"/>
      <c r="P19" s="146"/>
      <c r="Q19" s="707"/>
      <c r="R19" s="708"/>
      <c r="S19" s="713"/>
      <c r="T19" s="720"/>
      <c r="U19" s="715"/>
      <c r="V19" s="715"/>
      <c r="W19" s="716"/>
      <c r="X19" s="708"/>
      <c r="Y19" s="708"/>
      <c r="Z19" s="708"/>
      <c r="AA19" s="708"/>
      <c r="AB19" s="708"/>
      <c r="AE19" s="698"/>
      <c r="AF19" s="698"/>
      <c r="AG19" s="698"/>
      <c r="AH19" s="698"/>
      <c r="AI19" s="698"/>
      <c r="AJ19" s="698"/>
    </row>
    <row r="20" spans="1:36" s="699" customFormat="1" ht="21.75" customHeight="1" x14ac:dyDescent="0.2">
      <c r="A20" s="701">
        <v>4</v>
      </c>
      <c r="B20" s="721" t="s">
        <v>193</v>
      </c>
      <c r="C20" s="703">
        <v>0</v>
      </c>
      <c r="D20" s="722">
        <v>18.466129279909289</v>
      </c>
      <c r="E20" s="796">
        <v>18.466129279909289</v>
      </c>
      <c r="F20" s="796">
        <v>31.293600000000001</v>
      </c>
      <c r="G20" s="796">
        <v>24.013000000000002</v>
      </c>
      <c r="H20" s="796">
        <v>44.654963700000003</v>
      </c>
      <c r="I20" s="796">
        <v>19.639094</v>
      </c>
      <c r="J20" s="708"/>
      <c r="K20" s="723"/>
      <c r="L20" s="667"/>
      <c r="M20" s="667"/>
      <c r="N20" s="667"/>
      <c r="O20" s="667"/>
      <c r="P20" s="146"/>
      <c r="Q20" s="707"/>
      <c r="R20" s="708"/>
      <c r="S20" s="724"/>
      <c r="T20" s="725"/>
      <c r="U20" s="724"/>
      <c r="V20" s="724"/>
      <c r="W20" s="724"/>
      <c r="X20" s="708"/>
      <c r="Y20" s="708"/>
      <c r="Z20" s="708"/>
      <c r="AA20" s="708"/>
      <c r="AB20" s="708"/>
      <c r="AE20" s="724"/>
      <c r="AF20" s="724"/>
      <c r="AG20" s="726"/>
      <c r="AH20" s="726"/>
      <c r="AI20" s="715"/>
      <c r="AJ20" s="698"/>
    </row>
    <row r="21" spans="1:36" s="699" customFormat="1" ht="36" customHeight="1" x14ac:dyDescent="0.2">
      <c r="A21" s="701">
        <v>5</v>
      </c>
      <c r="B21" s="711" t="s">
        <v>194</v>
      </c>
      <c r="C21" s="703"/>
      <c r="D21" s="704">
        <v>0.36255787694260877</v>
      </c>
      <c r="E21" s="795">
        <v>0.36255787694260877</v>
      </c>
      <c r="F21" s="795">
        <v>0.1416</v>
      </c>
      <c r="G21" s="795">
        <v>0.1062</v>
      </c>
      <c r="H21" s="795">
        <v>2.3204726</v>
      </c>
      <c r="I21" s="795">
        <v>0.39164199999999999</v>
      </c>
      <c r="J21" s="718"/>
      <c r="K21" s="719"/>
      <c r="L21" s="667"/>
      <c r="M21" s="667"/>
      <c r="N21" s="667"/>
      <c r="O21" s="667"/>
      <c r="P21" s="146"/>
      <c r="Q21" s="707"/>
      <c r="R21" s="708"/>
      <c r="S21" s="698"/>
      <c r="T21" s="698"/>
      <c r="U21" s="698"/>
      <c r="V21" s="698"/>
      <c r="W21" s="724"/>
      <c r="X21" s="708"/>
      <c r="Y21" s="708"/>
      <c r="Z21" s="708"/>
      <c r="AA21" s="708"/>
      <c r="AB21" s="708"/>
      <c r="AE21" s="724"/>
      <c r="AF21" s="724"/>
      <c r="AI21" s="727"/>
      <c r="AJ21" s="698"/>
    </row>
    <row r="22" spans="1:36" s="699" customFormat="1" ht="35.25" customHeight="1" x14ac:dyDescent="0.2">
      <c r="A22" s="701">
        <v>6</v>
      </c>
      <c r="B22" s="711" t="s">
        <v>407</v>
      </c>
      <c r="C22" s="723"/>
      <c r="D22" s="704">
        <v>0</v>
      </c>
      <c r="E22" s="795">
        <v>0</v>
      </c>
      <c r="F22" s="795"/>
      <c r="G22" s="795"/>
      <c r="H22" s="795"/>
      <c r="I22" s="795"/>
      <c r="J22" s="718"/>
      <c r="K22" s="719"/>
      <c r="L22" s="667"/>
      <c r="M22" s="667"/>
      <c r="N22" s="667"/>
      <c r="O22" s="667"/>
      <c r="P22" s="146"/>
      <c r="Q22" s="707"/>
      <c r="R22" s="708"/>
      <c r="S22" s="698"/>
      <c r="T22" s="698"/>
      <c r="U22" s="698"/>
      <c r="V22" s="698"/>
      <c r="W22" s="724"/>
      <c r="X22" s="708"/>
      <c r="Y22" s="708"/>
      <c r="Z22" s="708"/>
      <c r="AA22" s="708"/>
      <c r="AB22" s="708"/>
      <c r="AE22" s="724"/>
      <c r="AF22" s="724"/>
      <c r="AI22" s="727"/>
      <c r="AJ22" s="698"/>
    </row>
    <row r="23" spans="1:36" s="699" customFormat="1" ht="48.75" customHeight="1" x14ac:dyDescent="0.2">
      <c r="A23" s="701">
        <v>7</v>
      </c>
      <c r="B23" s="711" t="s">
        <v>408</v>
      </c>
      <c r="D23" s="704">
        <v>7.6370962117936703</v>
      </c>
      <c r="E23" s="795">
        <v>7.6370962117936703</v>
      </c>
      <c r="F23" s="795">
        <v>17.437767399999998</v>
      </c>
      <c r="G23" s="795">
        <v>9.2956859999999999</v>
      </c>
      <c r="H23" s="795">
        <v>22.030377099999999</v>
      </c>
      <c r="I23" s="795">
        <v>11.153359999999999</v>
      </c>
      <c r="J23" s="718"/>
      <c r="K23" s="719"/>
    </row>
    <row r="24" spans="1:36" s="699" customFormat="1" ht="35.25" customHeight="1" x14ac:dyDescent="0.2">
      <c r="A24" s="701">
        <v>8</v>
      </c>
      <c r="B24" s="728" t="s">
        <v>378</v>
      </c>
      <c r="D24" s="704">
        <v>0.38615500000000003</v>
      </c>
      <c r="E24" s="795">
        <v>0.38615500000000003</v>
      </c>
      <c r="F24" s="795"/>
      <c r="G24" s="795"/>
      <c r="H24" s="795">
        <v>0.43851459999999998</v>
      </c>
      <c r="I24" s="795">
        <v>2.8438000000000001E-2</v>
      </c>
      <c r="J24" s="718"/>
      <c r="K24" s="719"/>
    </row>
    <row r="25" spans="1:36" s="699" customFormat="1" ht="39.75" customHeight="1" x14ac:dyDescent="0.2">
      <c r="A25" s="701">
        <v>9</v>
      </c>
      <c r="B25" s="729" t="s">
        <v>410</v>
      </c>
      <c r="C25" s="730">
        <v>0</v>
      </c>
      <c r="D25" s="731"/>
      <c r="E25" s="797">
        <v>0</v>
      </c>
      <c r="F25" s="797">
        <v>0</v>
      </c>
      <c r="G25" s="797">
        <v>0</v>
      </c>
      <c r="H25" s="797">
        <v>0</v>
      </c>
      <c r="I25" s="797">
        <v>0</v>
      </c>
      <c r="J25" s="718"/>
      <c r="K25" s="712"/>
      <c r="L25" s="667"/>
      <c r="M25" s="667"/>
      <c r="N25" s="667"/>
      <c r="O25" s="667"/>
      <c r="P25" s="146"/>
      <c r="Q25" s="707"/>
      <c r="R25" s="708"/>
      <c r="S25" s="732"/>
      <c r="T25" s="733"/>
      <c r="U25" s="734"/>
      <c r="V25" s="735"/>
      <c r="W25" s="736"/>
      <c r="X25" s="708"/>
      <c r="Y25" s="708"/>
      <c r="Z25" s="708"/>
      <c r="AA25" s="708"/>
      <c r="AB25" s="708"/>
      <c r="AE25" s="733"/>
      <c r="AF25" s="737"/>
      <c r="AG25" s="738"/>
      <c r="AI25" s="698"/>
      <c r="AJ25" s="698"/>
    </row>
    <row r="26" spans="1:36" s="699" customFormat="1" ht="54" customHeight="1" x14ac:dyDescent="0.2">
      <c r="A26" s="701">
        <v>10</v>
      </c>
      <c r="B26" s="739" t="s">
        <v>380</v>
      </c>
      <c r="C26" s="740">
        <v>0</v>
      </c>
      <c r="D26" s="722"/>
      <c r="E26" s="797">
        <v>0</v>
      </c>
      <c r="F26" s="797">
        <v>0</v>
      </c>
      <c r="G26" s="797">
        <v>0</v>
      </c>
      <c r="H26" s="797">
        <v>0</v>
      </c>
      <c r="I26" s="797">
        <v>0</v>
      </c>
      <c r="J26" s="708"/>
      <c r="K26" s="723"/>
      <c r="L26" s="667"/>
      <c r="M26" s="667"/>
      <c r="N26" s="667"/>
      <c r="O26" s="667"/>
      <c r="P26" s="146"/>
      <c r="Q26" s="707"/>
      <c r="R26" s="708"/>
      <c r="S26" s="732"/>
      <c r="T26" s="733"/>
      <c r="U26" s="734"/>
      <c r="V26" s="735"/>
      <c r="W26" s="736"/>
      <c r="X26" s="708"/>
      <c r="Y26" s="708"/>
      <c r="Z26" s="708"/>
      <c r="AA26" s="708"/>
      <c r="AB26" s="708"/>
      <c r="AE26" s="733"/>
      <c r="AF26" s="737"/>
      <c r="AG26" s="738"/>
      <c r="AI26" s="698"/>
      <c r="AJ26" s="698"/>
    </row>
    <row r="27" spans="1:36" s="699" customFormat="1" ht="47.25" customHeight="1" x14ac:dyDescent="0.2">
      <c r="A27" s="701">
        <v>11</v>
      </c>
      <c r="B27" s="729" t="s">
        <v>381</v>
      </c>
      <c r="C27" s="740">
        <v>0</v>
      </c>
      <c r="D27" s="722">
        <v>0</v>
      </c>
      <c r="E27" s="797">
        <v>0</v>
      </c>
      <c r="F27" s="797">
        <v>0</v>
      </c>
      <c r="G27" s="797">
        <v>0</v>
      </c>
      <c r="H27" s="797">
        <v>0</v>
      </c>
      <c r="I27" s="797">
        <v>0</v>
      </c>
      <c r="J27" s="718"/>
      <c r="K27" s="718"/>
      <c r="L27" s="667"/>
      <c r="M27" s="667"/>
      <c r="N27" s="667"/>
      <c r="O27" s="667"/>
      <c r="P27" s="146"/>
      <c r="Q27" s="707"/>
      <c r="R27" s="708"/>
      <c r="S27" s="732"/>
      <c r="T27" s="733"/>
      <c r="U27" s="734"/>
      <c r="V27" s="735"/>
      <c r="W27" s="736"/>
      <c r="X27" s="708"/>
      <c r="Y27" s="708"/>
      <c r="Z27" s="708"/>
      <c r="AA27" s="708"/>
      <c r="AB27" s="708"/>
      <c r="AE27" s="741"/>
      <c r="AF27" s="737"/>
      <c r="AG27" s="738"/>
      <c r="AI27" s="698"/>
      <c r="AJ27" s="698"/>
    </row>
    <row r="28" spans="1:36" s="699" customFormat="1" ht="34.5" customHeight="1" x14ac:dyDescent="0.2">
      <c r="A28" s="701">
        <v>12</v>
      </c>
      <c r="B28" s="729" t="s">
        <v>398</v>
      </c>
      <c r="D28" s="742" t="s">
        <v>195</v>
      </c>
      <c r="E28" s="798" t="s">
        <v>416</v>
      </c>
      <c r="F28" s="798" t="s">
        <v>425</v>
      </c>
      <c r="G28" s="798" t="s">
        <v>425</v>
      </c>
      <c r="H28" s="795">
        <v>0.30590590000000001</v>
      </c>
      <c r="I28" s="795">
        <v>0.23552799999999999</v>
      </c>
      <c r="J28" s="718"/>
      <c r="K28" s="743"/>
      <c r="L28" s="667"/>
      <c r="M28" s="667"/>
      <c r="N28" s="667"/>
      <c r="O28" s="667"/>
      <c r="P28" s="146"/>
      <c r="Q28" s="707"/>
      <c r="R28" s="708"/>
      <c r="S28" s="732"/>
      <c r="T28" s="744"/>
      <c r="U28" s="715"/>
      <c r="V28" s="737"/>
      <c r="W28" s="716"/>
      <c r="X28" s="708"/>
      <c r="Y28" s="708"/>
      <c r="Z28" s="708"/>
      <c r="AB28" s="708"/>
      <c r="AE28" s="741"/>
      <c r="AF28" s="737"/>
      <c r="AG28" s="738"/>
      <c r="AI28" s="698"/>
      <c r="AJ28" s="698"/>
    </row>
    <row r="29" spans="1:36" s="753" customFormat="1" ht="21" customHeight="1" x14ac:dyDescent="0.2">
      <c r="A29" s="745">
        <v>13</v>
      </c>
      <c r="B29" s="746" t="s">
        <v>383</v>
      </c>
      <c r="C29" s="747">
        <v>0</v>
      </c>
      <c r="D29" s="705">
        <v>0.3895379145664708</v>
      </c>
      <c r="E29" s="795">
        <v>0.3895379145664708</v>
      </c>
      <c r="F29" s="795">
        <v>0.171572</v>
      </c>
      <c r="G29" s="795">
        <v>0.13617199999999999</v>
      </c>
      <c r="H29" s="795">
        <v>0.54814320000000005</v>
      </c>
      <c r="I29" s="795">
        <v>0.30998599999999998</v>
      </c>
      <c r="J29" s="718"/>
      <c r="K29" s="743"/>
      <c r="L29" s="667"/>
      <c r="M29" s="667"/>
      <c r="N29" s="667"/>
      <c r="O29" s="667"/>
      <c r="P29" s="146"/>
      <c r="Q29" s="707"/>
      <c r="R29" s="708"/>
      <c r="S29" s="748"/>
      <c r="T29" s="749"/>
      <c r="U29" s="750"/>
      <c r="V29" s="751"/>
      <c r="W29" s="752"/>
      <c r="X29" s="708"/>
      <c r="Y29" s="708"/>
      <c r="Z29" s="708"/>
      <c r="AB29" s="708"/>
      <c r="AE29" s="754"/>
      <c r="AF29" s="751"/>
      <c r="AG29" s="755"/>
      <c r="AI29" s="756"/>
      <c r="AJ29" s="756"/>
    </row>
    <row r="30" spans="1:36" s="699" customFormat="1" ht="16.5" hidden="1" x14ac:dyDescent="0.2">
      <c r="A30" s="757">
        <v>14</v>
      </c>
      <c r="B30" s="758" t="s">
        <v>399</v>
      </c>
      <c r="C30" s="759">
        <v>0</v>
      </c>
      <c r="D30" s="759">
        <v>48.781696383368875</v>
      </c>
      <c r="E30" s="799">
        <v>48.781696383368875</v>
      </c>
      <c r="F30" s="799">
        <v>48.781696383368875</v>
      </c>
      <c r="G30" s="799">
        <v>48.781696383368875</v>
      </c>
      <c r="H30" s="799">
        <v>48.781696383368875</v>
      </c>
      <c r="I30" s="799">
        <v>48.781696383368875</v>
      </c>
      <c r="J30" s="760"/>
      <c r="K30" s="743"/>
      <c r="L30" s="667"/>
      <c r="M30" s="667"/>
      <c r="N30" s="667"/>
      <c r="O30" s="667"/>
      <c r="P30" s="146"/>
      <c r="Q30" s="707"/>
      <c r="R30" s="708"/>
      <c r="S30" s="732"/>
      <c r="T30" s="744"/>
      <c r="U30" s="715"/>
      <c r="V30" s="737"/>
      <c r="W30" s="716"/>
      <c r="X30" s="708"/>
      <c r="Y30" s="708"/>
      <c r="Z30" s="708"/>
      <c r="AB30" s="708"/>
      <c r="AE30" s="741"/>
      <c r="AF30" s="737"/>
      <c r="AG30" s="738"/>
      <c r="AI30" s="698"/>
      <c r="AJ30" s="698"/>
    </row>
    <row r="31" spans="1:36" s="699" customFormat="1" ht="16.5" hidden="1" x14ac:dyDescent="0.2">
      <c r="A31" s="701">
        <v>15</v>
      </c>
      <c r="B31" s="761" t="s">
        <v>196</v>
      </c>
      <c r="C31" s="762">
        <v>0</v>
      </c>
      <c r="D31" s="763"/>
      <c r="E31" s="800"/>
      <c r="F31" s="800"/>
      <c r="G31" s="800"/>
      <c r="H31" s="800"/>
      <c r="I31" s="800"/>
      <c r="L31" s="667"/>
      <c r="M31" s="667"/>
      <c r="N31" s="667"/>
      <c r="O31" s="667"/>
      <c r="P31" s="667"/>
      <c r="Q31" s="667"/>
      <c r="S31" s="764"/>
      <c r="T31" s="765"/>
      <c r="U31" s="724"/>
      <c r="V31" s="766"/>
      <c r="W31" s="725"/>
      <c r="AE31" s="725"/>
      <c r="AF31" s="725"/>
      <c r="AI31" s="725"/>
      <c r="AJ31" s="698">
        <v>0</v>
      </c>
    </row>
    <row r="32" spans="1:36" s="699" customFormat="1" ht="16.5" hidden="1" x14ac:dyDescent="0.2">
      <c r="A32" s="767" t="s">
        <v>120</v>
      </c>
      <c r="B32" s="768" t="s">
        <v>385</v>
      </c>
      <c r="C32" s="703"/>
      <c r="D32" s="769">
        <v>0</v>
      </c>
      <c r="E32" s="797">
        <v>0</v>
      </c>
      <c r="F32" s="797">
        <v>0</v>
      </c>
      <c r="G32" s="797">
        <v>0</v>
      </c>
      <c r="H32" s="797">
        <v>0</v>
      </c>
      <c r="I32" s="797">
        <v>0</v>
      </c>
      <c r="L32" s="667"/>
      <c r="M32" s="667"/>
      <c r="N32" s="667"/>
      <c r="O32" s="667"/>
      <c r="P32" s="667"/>
      <c r="Q32" s="667"/>
      <c r="S32" s="698"/>
      <c r="T32" s="770"/>
      <c r="U32" s="726"/>
      <c r="V32" s="741"/>
      <c r="W32" s="741"/>
      <c r="AE32" s="698"/>
      <c r="AF32" s="698"/>
      <c r="AI32" s="698"/>
      <c r="AJ32" s="698"/>
    </row>
    <row r="33" spans="1:36" s="699" customFormat="1" ht="16.5" hidden="1" x14ac:dyDescent="0.2">
      <c r="A33" s="767" t="s">
        <v>148</v>
      </c>
      <c r="B33" s="721" t="s">
        <v>197</v>
      </c>
      <c r="C33" s="703"/>
      <c r="D33" s="769">
        <v>0</v>
      </c>
      <c r="E33" s="797">
        <v>0</v>
      </c>
      <c r="F33" s="797">
        <v>0</v>
      </c>
      <c r="G33" s="797">
        <v>0</v>
      </c>
      <c r="H33" s="797">
        <v>0</v>
      </c>
      <c r="I33" s="797">
        <v>0</v>
      </c>
      <c r="J33" s="667"/>
      <c r="K33" s="667"/>
      <c r="L33" s="667"/>
      <c r="M33" s="667"/>
      <c r="N33" s="667"/>
      <c r="O33" s="667"/>
      <c r="P33" s="667"/>
      <c r="Q33" s="667"/>
      <c r="S33" s="737"/>
      <c r="T33" s="771"/>
      <c r="U33" s="726"/>
      <c r="V33" s="741"/>
      <c r="W33" s="741"/>
      <c r="AE33" s="698"/>
      <c r="AF33" s="698"/>
      <c r="AI33" s="698"/>
      <c r="AJ33" s="698"/>
    </row>
    <row r="34" spans="1:36" s="699" customFormat="1" ht="16.5" hidden="1" x14ac:dyDescent="0.2">
      <c r="A34" s="767" t="s">
        <v>149</v>
      </c>
      <c r="B34" s="721" t="s">
        <v>198</v>
      </c>
      <c r="C34" s="703"/>
      <c r="D34" s="769">
        <v>0</v>
      </c>
      <c r="E34" s="797">
        <v>0</v>
      </c>
      <c r="F34" s="797">
        <v>0</v>
      </c>
      <c r="G34" s="797">
        <v>0</v>
      </c>
      <c r="H34" s="797">
        <v>0</v>
      </c>
      <c r="I34" s="797">
        <v>0</v>
      </c>
      <c r="J34" s="667"/>
      <c r="K34" s="667"/>
      <c r="L34" s="667"/>
      <c r="M34" s="667"/>
      <c r="N34" s="667"/>
      <c r="O34" s="667"/>
      <c r="P34" s="667"/>
      <c r="Q34" s="667"/>
      <c r="S34" s="737"/>
      <c r="T34" s="771"/>
      <c r="U34" s="726"/>
      <c r="V34" s="741"/>
      <c r="W34" s="741"/>
      <c r="AE34" s="698"/>
      <c r="AF34" s="698"/>
      <c r="AI34" s="698"/>
      <c r="AJ34" s="698"/>
    </row>
    <row r="35" spans="1:36" s="699" customFormat="1" ht="16.5" hidden="1" x14ac:dyDescent="0.2">
      <c r="A35" s="772" t="s">
        <v>150</v>
      </c>
      <c r="B35" s="729" t="s">
        <v>199</v>
      </c>
      <c r="C35" s="703"/>
      <c r="D35" s="769">
        <v>0</v>
      </c>
      <c r="E35" s="797">
        <v>0</v>
      </c>
      <c r="F35" s="797">
        <v>0</v>
      </c>
      <c r="G35" s="797">
        <v>0</v>
      </c>
      <c r="H35" s="797">
        <v>0</v>
      </c>
      <c r="I35" s="797">
        <v>0</v>
      </c>
      <c r="J35" s="667"/>
      <c r="K35" s="667"/>
      <c r="L35" s="667"/>
      <c r="M35" s="667"/>
      <c r="N35" s="667"/>
      <c r="O35" s="667"/>
      <c r="P35" s="667"/>
      <c r="Q35" s="667"/>
      <c r="S35" s="698"/>
      <c r="T35" s="700"/>
      <c r="U35" s="726"/>
      <c r="V35" s="741"/>
      <c r="W35" s="741"/>
      <c r="AE35" s="773"/>
      <c r="AF35" s="698"/>
      <c r="AI35" s="773"/>
      <c r="AJ35" s="698"/>
    </row>
    <row r="36" spans="1:36" s="699" customFormat="1" ht="16.5" hidden="1" x14ac:dyDescent="0.2">
      <c r="A36" s="772" t="s">
        <v>16</v>
      </c>
      <c r="B36" s="729" t="s">
        <v>200</v>
      </c>
      <c r="C36" s="774"/>
      <c r="D36" s="775">
        <v>0</v>
      </c>
      <c r="E36" s="801">
        <v>0</v>
      </c>
      <c r="F36" s="801">
        <v>0</v>
      </c>
      <c r="G36" s="801">
        <v>0</v>
      </c>
      <c r="H36" s="801">
        <v>0</v>
      </c>
      <c r="I36" s="801">
        <v>0</v>
      </c>
      <c r="J36" s="708"/>
      <c r="K36" s="667"/>
      <c r="L36" s="667"/>
      <c r="M36" s="667"/>
      <c r="N36" s="667"/>
      <c r="O36" s="667"/>
      <c r="P36" s="667"/>
      <c r="Q36" s="667"/>
      <c r="S36" s="725"/>
      <c r="T36" s="776"/>
      <c r="U36" s="726"/>
      <c r="V36" s="726"/>
      <c r="W36" s="726"/>
      <c r="AE36" s="741"/>
      <c r="AF36" s="725"/>
      <c r="AI36" s="698"/>
      <c r="AJ36" s="698"/>
    </row>
    <row r="37" spans="1:36" s="699" customFormat="1" ht="16.5" hidden="1" x14ac:dyDescent="0.2">
      <c r="A37" s="777"/>
      <c r="B37" s="778" t="s">
        <v>386</v>
      </c>
      <c r="C37" s="779">
        <v>0</v>
      </c>
      <c r="D37" s="769">
        <v>0</v>
      </c>
      <c r="E37" s="797">
        <v>0</v>
      </c>
      <c r="F37" s="797">
        <v>0</v>
      </c>
      <c r="G37" s="797">
        <v>0</v>
      </c>
      <c r="H37" s="797">
        <v>0</v>
      </c>
      <c r="I37" s="797">
        <v>0</v>
      </c>
      <c r="J37" s="780"/>
      <c r="K37" s="708"/>
      <c r="L37" s="667"/>
      <c r="M37" s="667"/>
      <c r="N37" s="667"/>
      <c r="O37" s="667"/>
      <c r="P37" s="667"/>
      <c r="Q37" s="667"/>
      <c r="S37" s="725"/>
      <c r="T37" s="781"/>
      <c r="U37" s="726"/>
      <c r="V37" s="726"/>
      <c r="W37" s="726"/>
      <c r="AE37" s="741"/>
      <c r="AF37" s="725"/>
      <c r="AI37" s="698"/>
      <c r="AJ37" s="698"/>
    </row>
    <row r="38" spans="1:36" s="699" customFormat="1" ht="18.75" customHeight="1" x14ac:dyDescent="0.2">
      <c r="A38" s="782">
        <v>14</v>
      </c>
      <c r="B38" s="783" t="s">
        <v>426</v>
      </c>
      <c r="C38" s="784">
        <v>0</v>
      </c>
      <c r="D38" s="785">
        <v>48.781696383368875</v>
      </c>
      <c r="E38" s="802">
        <v>48.781696383368875</v>
      </c>
      <c r="F38" s="802">
        <v>87.909609399999994</v>
      </c>
      <c r="G38" s="802">
        <v>58.020128</v>
      </c>
      <c r="H38" s="802">
        <v>132.16995069999999</v>
      </c>
      <c r="I38" s="802">
        <v>65.103195999999983</v>
      </c>
      <c r="J38" s="780"/>
      <c r="K38" s="708"/>
      <c r="L38" s="667"/>
      <c r="M38" s="667"/>
      <c r="N38" s="667"/>
      <c r="O38" s="667"/>
      <c r="P38" s="667"/>
      <c r="Q38" s="667"/>
      <c r="S38" s="725"/>
      <c r="T38" s="781"/>
      <c r="U38" s="726"/>
      <c r="V38" s="786"/>
      <c r="W38" s="741"/>
      <c r="AE38" s="741"/>
      <c r="AF38" s="725"/>
      <c r="AI38" s="698"/>
      <c r="AJ38" s="698"/>
    </row>
    <row r="39" spans="1:36" s="699" customFormat="1" ht="18" customHeight="1" x14ac:dyDescent="0.2">
      <c r="A39" s="787">
        <v>15</v>
      </c>
      <c r="B39" s="788" t="s">
        <v>388</v>
      </c>
      <c r="C39" s="789"/>
      <c r="D39" s="704">
        <v>6.9179689194969471</v>
      </c>
      <c r="E39" s="795">
        <v>6.9179689194969471</v>
      </c>
      <c r="F39" s="795">
        <v>13.4099404</v>
      </c>
      <c r="G39" s="795">
        <v>8.8505280000000006</v>
      </c>
      <c r="H39" s="795">
        <v>19.793611800000001</v>
      </c>
      <c r="I39" s="795">
        <v>9.8972280000000001</v>
      </c>
      <c r="J39" s="780"/>
      <c r="K39" s="708"/>
      <c r="L39" s="667"/>
      <c r="M39" s="667"/>
      <c r="N39" s="667"/>
      <c r="O39" s="667"/>
      <c r="P39" s="667"/>
      <c r="Q39" s="667"/>
      <c r="S39" s="725"/>
      <c r="T39" s="781"/>
      <c r="U39" s="726"/>
      <c r="V39" s="786"/>
      <c r="W39" s="741"/>
      <c r="AE39" s="741"/>
      <c r="AF39" s="725"/>
      <c r="AI39" s="698"/>
      <c r="AJ39" s="698"/>
    </row>
    <row r="40" spans="1:36" s="699" customFormat="1" ht="19.5" customHeight="1" x14ac:dyDescent="0.2">
      <c r="A40" s="782">
        <v>16</v>
      </c>
      <c r="B40" s="783" t="s">
        <v>427</v>
      </c>
      <c r="C40" s="790">
        <v>0</v>
      </c>
      <c r="D40" s="785">
        <v>41.863727463871925</v>
      </c>
      <c r="E40" s="802">
        <v>41.863727463871925</v>
      </c>
      <c r="F40" s="802">
        <v>74.499668999999997</v>
      </c>
      <c r="G40" s="802">
        <v>49.169600000000003</v>
      </c>
      <c r="H40" s="802">
        <v>112.37633889999998</v>
      </c>
      <c r="I40" s="802">
        <v>55.205967999999984</v>
      </c>
      <c r="J40" s="791"/>
      <c r="K40" s="667"/>
      <c r="L40" s="667"/>
      <c r="M40" s="667"/>
      <c r="N40" s="667"/>
      <c r="O40" s="667"/>
      <c r="P40" s="667"/>
      <c r="Q40" s="667"/>
    </row>
    <row r="41" spans="1:36" s="699" customFormat="1" ht="21.75" customHeight="1" x14ac:dyDescent="0.2">
      <c r="A41" s="782">
        <v>17</v>
      </c>
      <c r="B41" s="783" t="s">
        <v>428</v>
      </c>
      <c r="C41" s="790">
        <v>0</v>
      </c>
      <c r="D41" s="785">
        <v>41.863727463871925</v>
      </c>
      <c r="E41" s="802"/>
      <c r="F41" s="803"/>
      <c r="G41" s="804">
        <v>0.17451557657958169</v>
      </c>
      <c r="H41" s="803"/>
      <c r="I41" s="804">
        <v>0.31870646367173849</v>
      </c>
      <c r="J41" s="792"/>
      <c r="K41" s="667"/>
      <c r="L41" s="667"/>
      <c r="M41" s="667"/>
      <c r="N41" s="667"/>
      <c r="O41" s="667"/>
      <c r="P41" s="667"/>
      <c r="Q41" s="667"/>
    </row>
    <row r="42" spans="1:36" s="699" customFormat="1" ht="21.75" customHeight="1" x14ac:dyDescent="0.2">
      <c r="B42" s="782" t="s">
        <v>431</v>
      </c>
      <c r="C42" s="790"/>
      <c r="D42" s="785"/>
      <c r="E42" s="802"/>
      <c r="F42" s="803"/>
      <c r="G42" s="838" t="s">
        <v>432</v>
      </c>
      <c r="H42" s="839"/>
      <c r="I42" s="838" t="s">
        <v>433</v>
      </c>
      <c r="J42" s="792"/>
      <c r="K42" s="667"/>
      <c r="L42" s="667"/>
      <c r="M42" s="667"/>
      <c r="N42" s="667"/>
      <c r="O42" s="667"/>
      <c r="P42" s="667"/>
      <c r="Q42" s="667"/>
    </row>
    <row r="43" spans="1:36" ht="15.75" x14ac:dyDescent="0.25">
      <c r="A43" s="128"/>
      <c r="B43" s="249"/>
      <c r="C43" s="130"/>
      <c r="D43" s="121"/>
      <c r="E43" s="121">
        <v>48.781696383368875</v>
      </c>
      <c r="F43" s="121">
        <v>0</v>
      </c>
      <c r="G43" s="67"/>
      <c r="H43" s="121"/>
      <c r="I43" s="121"/>
      <c r="J43" s="250"/>
      <c r="K43" s="121"/>
      <c r="L43" s="121"/>
      <c r="M43" s="121"/>
      <c r="N43" s="121"/>
      <c r="O43" s="121"/>
      <c r="P43" s="121"/>
      <c r="Q43" s="121"/>
    </row>
    <row r="44" spans="1:36" ht="15.75" x14ac:dyDescent="0.25">
      <c r="A44" s="128"/>
      <c r="B44" s="249"/>
      <c r="C44" s="130"/>
      <c r="D44" s="121"/>
      <c r="E44" s="675"/>
      <c r="F44" s="121"/>
      <c r="G44" s="121"/>
      <c r="H44" s="121"/>
      <c r="I44" s="248"/>
      <c r="J44" s="250"/>
      <c r="K44" s="121"/>
      <c r="L44" s="121"/>
      <c r="M44" s="121"/>
      <c r="N44" s="121"/>
      <c r="O44" s="121"/>
      <c r="P44" s="121"/>
      <c r="Q44" s="121"/>
    </row>
    <row r="45" spans="1:36" ht="15.75" x14ac:dyDescent="0.25">
      <c r="A45" s="128"/>
      <c r="B45" s="249"/>
      <c r="C45" s="130"/>
      <c r="D45" s="121"/>
      <c r="E45" s="793"/>
      <c r="F45" s="121"/>
      <c r="G45" s="121"/>
      <c r="H45" s="121"/>
      <c r="I45" s="121"/>
      <c r="J45" s="250"/>
      <c r="K45" s="121"/>
      <c r="L45" s="121"/>
      <c r="M45" s="121"/>
      <c r="N45" s="121"/>
      <c r="O45" s="121"/>
      <c r="P45" s="121"/>
      <c r="Q45" s="121"/>
    </row>
    <row r="46" spans="1:36" x14ac:dyDescent="0.25">
      <c r="B46" s="683"/>
      <c r="C46" s="794"/>
      <c r="D46" s="794"/>
      <c r="E46" s="683"/>
      <c r="G46" s="683"/>
      <c r="H46" s="683"/>
      <c r="I46" s="683"/>
      <c r="J46" s="683"/>
      <c r="K46" s="683"/>
    </row>
    <row r="47" spans="1:36" x14ac:dyDescent="0.25">
      <c r="A47" s="683"/>
      <c r="B47" s="683"/>
      <c r="C47" s="683"/>
      <c r="D47" s="683"/>
      <c r="E47" s="683"/>
      <c r="F47" s="683"/>
      <c r="G47" s="683"/>
      <c r="H47" s="683"/>
      <c r="I47" s="683"/>
      <c r="J47" s="683"/>
      <c r="K47" s="683"/>
    </row>
    <row r="48" spans="1:36" x14ac:dyDescent="0.25">
      <c r="B48" s="683"/>
      <c r="C48" s="683"/>
      <c r="D48" s="683"/>
      <c r="E48" s="683"/>
      <c r="G48" s="683"/>
      <c r="H48" s="683"/>
      <c r="I48" s="683"/>
      <c r="J48" s="683"/>
      <c r="K48" s="683"/>
    </row>
    <row r="49" spans="2:11" x14ac:dyDescent="0.25">
      <c r="B49" s="683"/>
      <c r="C49" s="683"/>
      <c r="D49" s="683"/>
      <c r="E49" s="683"/>
      <c r="G49" s="683"/>
      <c r="H49" s="683"/>
      <c r="I49" s="683"/>
      <c r="J49" s="683"/>
      <c r="K49" s="683"/>
    </row>
    <row r="50" spans="2:11" x14ac:dyDescent="0.25">
      <c r="B50" s="683"/>
      <c r="C50" s="683"/>
      <c r="D50" s="683"/>
      <c r="E50" s="683"/>
      <c r="G50" s="683"/>
      <c r="H50" s="683"/>
      <c r="I50" s="683"/>
      <c r="J50" s="683"/>
      <c r="K50" s="683"/>
    </row>
    <row r="51" spans="2:11" x14ac:dyDescent="0.25">
      <c r="B51" s="683"/>
      <c r="C51" s="683"/>
      <c r="D51" s="683"/>
      <c r="E51" s="683"/>
    </row>
    <row r="52" spans="2:11" x14ac:dyDescent="0.25">
      <c r="B52" s="683"/>
      <c r="C52" s="683"/>
      <c r="D52" s="683"/>
      <c r="E52" s="683"/>
    </row>
  </sheetData>
  <mergeCells count="9">
    <mergeCell ref="E14:E15"/>
    <mergeCell ref="F14:G14"/>
    <mergeCell ref="H14:I14"/>
    <mergeCell ref="A6:I6"/>
    <mergeCell ref="A7:I7"/>
    <mergeCell ref="A8:I8"/>
    <mergeCell ref="A9:I9"/>
    <mergeCell ref="A10:I10"/>
    <mergeCell ref="A11:I11"/>
  </mergeCells>
  <printOptions horizontalCentered="1" verticalCentered="1"/>
  <pageMargins left="0.54" right="0.45" top="0.75" bottom="0.75" header="0.3" footer="0.3"/>
  <pageSetup paperSize="9" scale="5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A1:AJ83"/>
  <sheetViews>
    <sheetView showZeros="0" zoomScale="87" zoomScaleNormal="87" workbookViewId="0">
      <selection activeCell="H44" sqref="H44"/>
    </sheetView>
  </sheetViews>
  <sheetFormatPr defaultRowHeight="15" x14ac:dyDescent="0.25"/>
  <cols>
    <col min="1" max="1" width="6.44140625" style="123" customWidth="1"/>
    <col min="2" max="2" width="43.33203125" style="123" customWidth="1"/>
    <col min="3" max="3" width="11.109375" style="123" customWidth="1"/>
    <col min="4" max="4" width="13.109375" style="123" customWidth="1"/>
    <col min="5" max="5" width="13.88671875" style="123" customWidth="1"/>
    <col min="6" max="6" width="12.44140625" style="123" customWidth="1"/>
    <col min="7" max="7" width="13" style="123" customWidth="1"/>
    <col min="8" max="8" width="11" style="123" customWidth="1"/>
    <col min="9" max="9" width="17.33203125" style="123" customWidth="1"/>
    <col min="10" max="10" width="11.109375" style="123" customWidth="1"/>
    <col min="11" max="11" width="9.44140625" style="123" customWidth="1"/>
    <col min="12" max="12" width="9.5546875" style="123" customWidth="1"/>
    <col min="13" max="13" width="10.77734375" style="123" customWidth="1"/>
    <col min="14" max="14" width="6.5546875" style="123" customWidth="1"/>
    <col min="15" max="15" width="7.5546875" style="123" customWidth="1"/>
    <col min="16" max="16" width="10.109375" style="123" customWidth="1"/>
    <col min="17" max="17" width="9.44140625" style="123" customWidth="1"/>
    <col min="18" max="18" width="11" style="123" customWidth="1"/>
    <col min="19" max="19" width="14" style="123" customWidth="1"/>
    <col min="20" max="20" width="9.88671875" style="123" customWidth="1"/>
    <col min="21" max="24" width="8.88671875" style="123"/>
    <col min="25" max="25" width="15" style="123" customWidth="1"/>
    <col min="26" max="26" width="6.44140625" style="123" customWidth="1"/>
    <col min="27" max="27" width="5.6640625" style="123" customWidth="1"/>
    <col min="28" max="28" width="9.109375" style="123" customWidth="1"/>
    <col min="29" max="31" width="8.88671875" style="123"/>
    <col min="32" max="32" width="11.6640625" style="123" customWidth="1"/>
    <col min="33" max="256" width="8.88671875" style="123"/>
    <col min="257" max="257" width="6.44140625" style="123" customWidth="1"/>
    <col min="258" max="258" width="43.33203125" style="123" customWidth="1"/>
    <col min="259" max="259" width="11.109375" style="123" customWidth="1"/>
    <col min="260" max="260" width="13.109375" style="123" customWidth="1"/>
    <col min="261" max="261" width="13.88671875" style="123" customWidth="1"/>
    <col min="262" max="262" width="8.33203125" style="123" customWidth="1"/>
    <col min="263" max="263" width="13" style="123" customWidth="1"/>
    <col min="264" max="264" width="8.109375" style="123" customWidth="1"/>
    <col min="265" max="265" width="7.88671875" style="123" customWidth="1"/>
    <col min="266" max="266" width="11.109375" style="123" customWidth="1"/>
    <col min="267" max="267" width="9.44140625" style="123" customWidth="1"/>
    <col min="268" max="268" width="9.5546875" style="123" customWidth="1"/>
    <col min="269" max="269" width="10.77734375" style="123" customWidth="1"/>
    <col min="270" max="270" width="6.5546875" style="123" customWidth="1"/>
    <col min="271" max="271" width="7.5546875" style="123" customWidth="1"/>
    <col min="272" max="272" width="10.109375" style="123" customWidth="1"/>
    <col min="273" max="273" width="9.44140625" style="123" customWidth="1"/>
    <col min="274" max="274" width="11" style="123" customWidth="1"/>
    <col min="275" max="275" width="14" style="123" customWidth="1"/>
    <col min="276" max="276" width="9.88671875" style="123" customWidth="1"/>
    <col min="277" max="280" width="8.88671875" style="123"/>
    <col min="281" max="281" width="15" style="123" customWidth="1"/>
    <col min="282" max="282" width="6.44140625" style="123" customWidth="1"/>
    <col min="283" max="283" width="5.6640625" style="123" customWidth="1"/>
    <col min="284" max="284" width="9.109375" style="123" customWidth="1"/>
    <col min="285" max="287" width="8.88671875" style="123"/>
    <col min="288" max="288" width="11.6640625" style="123" customWidth="1"/>
    <col min="289" max="512" width="8.88671875" style="123"/>
    <col min="513" max="513" width="6.44140625" style="123" customWidth="1"/>
    <col min="514" max="514" width="43.33203125" style="123" customWidth="1"/>
    <col min="515" max="515" width="11.109375" style="123" customWidth="1"/>
    <col min="516" max="516" width="13.109375" style="123" customWidth="1"/>
    <col min="517" max="517" width="13.88671875" style="123" customWidth="1"/>
    <col min="518" max="518" width="8.33203125" style="123" customWidth="1"/>
    <col min="519" max="519" width="13" style="123" customWidth="1"/>
    <col min="520" max="520" width="8.109375" style="123" customWidth="1"/>
    <col min="521" max="521" width="7.88671875" style="123" customWidth="1"/>
    <col min="522" max="522" width="11.109375" style="123" customWidth="1"/>
    <col min="523" max="523" width="9.44140625" style="123" customWidth="1"/>
    <col min="524" max="524" width="9.5546875" style="123" customWidth="1"/>
    <col min="525" max="525" width="10.77734375" style="123" customWidth="1"/>
    <col min="526" max="526" width="6.5546875" style="123" customWidth="1"/>
    <col min="527" max="527" width="7.5546875" style="123" customWidth="1"/>
    <col min="528" max="528" width="10.109375" style="123" customWidth="1"/>
    <col min="529" max="529" width="9.44140625" style="123" customWidth="1"/>
    <col min="530" max="530" width="11" style="123" customWidth="1"/>
    <col min="531" max="531" width="14" style="123" customWidth="1"/>
    <col min="532" max="532" width="9.88671875" style="123" customWidth="1"/>
    <col min="533" max="536" width="8.88671875" style="123"/>
    <col min="537" max="537" width="15" style="123" customWidth="1"/>
    <col min="538" max="538" width="6.44140625" style="123" customWidth="1"/>
    <col min="539" max="539" width="5.6640625" style="123" customWidth="1"/>
    <col min="540" max="540" width="9.109375" style="123" customWidth="1"/>
    <col min="541" max="543" width="8.88671875" style="123"/>
    <col min="544" max="544" width="11.6640625" style="123" customWidth="1"/>
    <col min="545" max="768" width="8.88671875" style="123"/>
    <col min="769" max="769" width="6.44140625" style="123" customWidth="1"/>
    <col min="770" max="770" width="43.33203125" style="123" customWidth="1"/>
    <col min="771" max="771" width="11.109375" style="123" customWidth="1"/>
    <col min="772" max="772" width="13.109375" style="123" customWidth="1"/>
    <col min="773" max="773" width="13.88671875" style="123" customWidth="1"/>
    <col min="774" max="774" width="8.33203125" style="123" customWidth="1"/>
    <col min="775" max="775" width="13" style="123" customWidth="1"/>
    <col min="776" max="776" width="8.109375" style="123" customWidth="1"/>
    <col min="777" max="777" width="7.88671875" style="123" customWidth="1"/>
    <col min="778" max="778" width="11.109375" style="123" customWidth="1"/>
    <col min="779" max="779" width="9.44140625" style="123" customWidth="1"/>
    <col min="780" max="780" width="9.5546875" style="123" customWidth="1"/>
    <col min="781" max="781" width="10.77734375" style="123" customWidth="1"/>
    <col min="782" max="782" width="6.5546875" style="123" customWidth="1"/>
    <col min="783" max="783" width="7.5546875" style="123" customWidth="1"/>
    <col min="784" max="784" width="10.109375" style="123" customWidth="1"/>
    <col min="785" max="785" width="9.44140625" style="123" customWidth="1"/>
    <col min="786" max="786" width="11" style="123" customWidth="1"/>
    <col min="787" max="787" width="14" style="123" customWidth="1"/>
    <col min="788" max="788" width="9.88671875" style="123" customWidth="1"/>
    <col min="789" max="792" width="8.88671875" style="123"/>
    <col min="793" max="793" width="15" style="123" customWidth="1"/>
    <col min="794" max="794" width="6.44140625" style="123" customWidth="1"/>
    <col min="795" max="795" width="5.6640625" style="123" customWidth="1"/>
    <col min="796" max="796" width="9.109375" style="123" customWidth="1"/>
    <col min="797" max="799" width="8.88671875" style="123"/>
    <col min="800" max="800" width="11.6640625" style="123" customWidth="1"/>
    <col min="801" max="1024" width="8.88671875" style="123"/>
    <col min="1025" max="1025" width="6.44140625" style="123" customWidth="1"/>
    <col min="1026" max="1026" width="43.33203125" style="123" customWidth="1"/>
    <col min="1027" max="1027" width="11.109375" style="123" customWidth="1"/>
    <col min="1028" max="1028" width="13.109375" style="123" customWidth="1"/>
    <col min="1029" max="1029" width="13.88671875" style="123" customWidth="1"/>
    <col min="1030" max="1030" width="8.33203125" style="123" customWidth="1"/>
    <col min="1031" max="1031" width="13" style="123" customWidth="1"/>
    <col min="1032" max="1032" width="8.109375" style="123" customWidth="1"/>
    <col min="1033" max="1033" width="7.88671875" style="123" customWidth="1"/>
    <col min="1034" max="1034" width="11.109375" style="123" customWidth="1"/>
    <col min="1035" max="1035" width="9.44140625" style="123" customWidth="1"/>
    <col min="1036" max="1036" width="9.5546875" style="123" customWidth="1"/>
    <col min="1037" max="1037" width="10.77734375" style="123" customWidth="1"/>
    <col min="1038" max="1038" width="6.5546875" style="123" customWidth="1"/>
    <col min="1039" max="1039" width="7.5546875" style="123" customWidth="1"/>
    <col min="1040" max="1040" width="10.109375" style="123" customWidth="1"/>
    <col min="1041" max="1041" width="9.44140625" style="123" customWidth="1"/>
    <col min="1042" max="1042" width="11" style="123" customWidth="1"/>
    <col min="1043" max="1043" width="14" style="123" customWidth="1"/>
    <col min="1044" max="1044" width="9.88671875" style="123" customWidth="1"/>
    <col min="1045" max="1048" width="8.88671875" style="123"/>
    <col min="1049" max="1049" width="15" style="123" customWidth="1"/>
    <col min="1050" max="1050" width="6.44140625" style="123" customWidth="1"/>
    <col min="1051" max="1051" width="5.6640625" style="123" customWidth="1"/>
    <col min="1052" max="1052" width="9.109375" style="123" customWidth="1"/>
    <col min="1053" max="1055" width="8.88671875" style="123"/>
    <col min="1056" max="1056" width="11.6640625" style="123" customWidth="1"/>
    <col min="1057" max="1280" width="8.88671875" style="123"/>
    <col min="1281" max="1281" width="6.44140625" style="123" customWidth="1"/>
    <col min="1282" max="1282" width="43.33203125" style="123" customWidth="1"/>
    <col min="1283" max="1283" width="11.109375" style="123" customWidth="1"/>
    <col min="1284" max="1284" width="13.109375" style="123" customWidth="1"/>
    <col min="1285" max="1285" width="13.88671875" style="123" customWidth="1"/>
    <col min="1286" max="1286" width="8.33203125" style="123" customWidth="1"/>
    <col min="1287" max="1287" width="13" style="123" customWidth="1"/>
    <col min="1288" max="1288" width="8.109375" style="123" customWidth="1"/>
    <col min="1289" max="1289" width="7.88671875" style="123" customWidth="1"/>
    <col min="1290" max="1290" width="11.109375" style="123" customWidth="1"/>
    <col min="1291" max="1291" width="9.44140625" style="123" customWidth="1"/>
    <col min="1292" max="1292" width="9.5546875" style="123" customWidth="1"/>
    <col min="1293" max="1293" width="10.77734375" style="123" customWidth="1"/>
    <col min="1294" max="1294" width="6.5546875" style="123" customWidth="1"/>
    <col min="1295" max="1295" width="7.5546875" style="123" customWidth="1"/>
    <col min="1296" max="1296" width="10.109375" style="123" customWidth="1"/>
    <col min="1297" max="1297" width="9.44140625" style="123" customWidth="1"/>
    <col min="1298" max="1298" width="11" style="123" customWidth="1"/>
    <col min="1299" max="1299" width="14" style="123" customWidth="1"/>
    <col min="1300" max="1300" width="9.88671875" style="123" customWidth="1"/>
    <col min="1301" max="1304" width="8.88671875" style="123"/>
    <col min="1305" max="1305" width="15" style="123" customWidth="1"/>
    <col min="1306" max="1306" width="6.44140625" style="123" customWidth="1"/>
    <col min="1307" max="1307" width="5.6640625" style="123" customWidth="1"/>
    <col min="1308" max="1308" width="9.109375" style="123" customWidth="1"/>
    <col min="1309" max="1311" width="8.88671875" style="123"/>
    <col min="1312" max="1312" width="11.6640625" style="123" customWidth="1"/>
    <col min="1313" max="1536" width="8.88671875" style="123"/>
    <col min="1537" max="1537" width="6.44140625" style="123" customWidth="1"/>
    <col min="1538" max="1538" width="43.33203125" style="123" customWidth="1"/>
    <col min="1539" max="1539" width="11.109375" style="123" customWidth="1"/>
    <col min="1540" max="1540" width="13.109375" style="123" customWidth="1"/>
    <col min="1541" max="1541" width="13.88671875" style="123" customWidth="1"/>
    <col min="1542" max="1542" width="8.33203125" style="123" customWidth="1"/>
    <col min="1543" max="1543" width="13" style="123" customWidth="1"/>
    <col min="1544" max="1544" width="8.109375" style="123" customWidth="1"/>
    <col min="1545" max="1545" width="7.88671875" style="123" customWidth="1"/>
    <col min="1546" max="1546" width="11.109375" style="123" customWidth="1"/>
    <col min="1547" max="1547" width="9.44140625" style="123" customWidth="1"/>
    <col min="1548" max="1548" width="9.5546875" style="123" customWidth="1"/>
    <col min="1549" max="1549" width="10.77734375" style="123" customWidth="1"/>
    <col min="1550" max="1550" width="6.5546875" style="123" customWidth="1"/>
    <col min="1551" max="1551" width="7.5546875" style="123" customWidth="1"/>
    <col min="1552" max="1552" width="10.109375" style="123" customWidth="1"/>
    <col min="1553" max="1553" width="9.44140625" style="123" customWidth="1"/>
    <col min="1554" max="1554" width="11" style="123" customWidth="1"/>
    <col min="1555" max="1555" width="14" style="123" customWidth="1"/>
    <col min="1556" max="1556" width="9.88671875" style="123" customWidth="1"/>
    <col min="1557" max="1560" width="8.88671875" style="123"/>
    <col min="1561" max="1561" width="15" style="123" customWidth="1"/>
    <col min="1562" max="1562" width="6.44140625" style="123" customWidth="1"/>
    <col min="1563" max="1563" width="5.6640625" style="123" customWidth="1"/>
    <col min="1564" max="1564" width="9.109375" style="123" customWidth="1"/>
    <col min="1565" max="1567" width="8.88671875" style="123"/>
    <col min="1568" max="1568" width="11.6640625" style="123" customWidth="1"/>
    <col min="1569" max="1792" width="8.88671875" style="123"/>
    <col min="1793" max="1793" width="6.44140625" style="123" customWidth="1"/>
    <col min="1794" max="1794" width="43.33203125" style="123" customWidth="1"/>
    <col min="1795" max="1795" width="11.109375" style="123" customWidth="1"/>
    <col min="1796" max="1796" width="13.109375" style="123" customWidth="1"/>
    <col min="1797" max="1797" width="13.88671875" style="123" customWidth="1"/>
    <col min="1798" max="1798" width="8.33203125" style="123" customWidth="1"/>
    <col min="1799" max="1799" width="13" style="123" customWidth="1"/>
    <col min="1800" max="1800" width="8.109375" style="123" customWidth="1"/>
    <col min="1801" max="1801" width="7.88671875" style="123" customWidth="1"/>
    <col min="1802" max="1802" width="11.109375" style="123" customWidth="1"/>
    <col min="1803" max="1803" width="9.44140625" style="123" customWidth="1"/>
    <col min="1804" max="1804" width="9.5546875" style="123" customWidth="1"/>
    <col min="1805" max="1805" width="10.77734375" style="123" customWidth="1"/>
    <col min="1806" max="1806" width="6.5546875" style="123" customWidth="1"/>
    <col min="1807" max="1807" width="7.5546875" style="123" customWidth="1"/>
    <col min="1808" max="1808" width="10.109375" style="123" customWidth="1"/>
    <col min="1809" max="1809" width="9.44140625" style="123" customWidth="1"/>
    <col min="1810" max="1810" width="11" style="123" customWidth="1"/>
    <col min="1811" max="1811" width="14" style="123" customWidth="1"/>
    <col min="1812" max="1812" width="9.88671875" style="123" customWidth="1"/>
    <col min="1813" max="1816" width="8.88671875" style="123"/>
    <col min="1817" max="1817" width="15" style="123" customWidth="1"/>
    <col min="1818" max="1818" width="6.44140625" style="123" customWidth="1"/>
    <col min="1819" max="1819" width="5.6640625" style="123" customWidth="1"/>
    <col min="1820" max="1820" width="9.109375" style="123" customWidth="1"/>
    <col min="1821" max="1823" width="8.88671875" style="123"/>
    <col min="1824" max="1824" width="11.6640625" style="123" customWidth="1"/>
    <col min="1825" max="2048" width="8.88671875" style="123"/>
    <col min="2049" max="2049" width="6.44140625" style="123" customWidth="1"/>
    <col min="2050" max="2050" width="43.33203125" style="123" customWidth="1"/>
    <col min="2051" max="2051" width="11.109375" style="123" customWidth="1"/>
    <col min="2052" max="2052" width="13.109375" style="123" customWidth="1"/>
    <col min="2053" max="2053" width="13.88671875" style="123" customWidth="1"/>
    <col min="2054" max="2054" width="8.33203125" style="123" customWidth="1"/>
    <col min="2055" max="2055" width="13" style="123" customWidth="1"/>
    <col min="2056" max="2056" width="8.109375" style="123" customWidth="1"/>
    <col min="2057" max="2057" width="7.88671875" style="123" customWidth="1"/>
    <col min="2058" max="2058" width="11.109375" style="123" customWidth="1"/>
    <col min="2059" max="2059" width="9.44140625" style="123" customWidth="1"/>
    <col min="2060" max="2060" width="9.5546875" style="123" customWidth="1"/>
    <col min="2061" max="2061" width="10.77734375" style="123" customWidth="1"/>
    <col min="2062" max="2062" width="6.5546875" style="123" customWidth="1"/>
    <col min="2063" max="2063" width="7.5546875" style="123" customWidth="1"/>
    <col min="2064" max="2064" width="10.109375" style="123" customWidth="1"/>
    <col min="2065" max="2065" width="9.44140625" style="123" customWidth="1"/>
    <col min="2066" max="2066" width="11" style="123" customWidth="1"/>
    <col min="2067" max="2067" width="14" style="123" customWidth="1"/>
    <col min="2068" max="2068" width="9.88671875" style="123" customWidth="1"/>
    <col min="2069" max="2072" width="8.88671875" style="123"/>
    <col min="2073" max="2073" width="15" style="123" customWidth="1"/>
    <col min="2074" max="2074" width="6.44140625" style="123" customWidth="1"/>
    <col min="2075" max="2075" width="5.6640625" style="123" customWidth="1"/>
    <col min="2076" max="2076" width="9.109375" style="123" customWidth="1"/>
    <col min="2077" max="2079" width="8.88671875" style="123"/>
    <col min="2080" max="2080" width="11.6640625" style="123" customWidth="1"/>
    <col min="2081" max="2304" width="8.88671875" style="123"/>
    <col min="2305" max="2305" width="6.44140625" style="123" customWidth="1"/>
    <col min="2306" max="2306" width="43.33203125" style="123" customWidth="1"/>
    <col min="2307" max="2307" width="11.109375" style="123" customWidth="1"/>
    <col min="2308" max="2308" width="13.109375" style="123" customWidth="1"/>
    <col min="2309" max="2309" width="13.88671875" style="123" customWidth="1"/>
    <col min="2310" max="2310" width="8.33203125" style="123" customWidth="1"/>
    <col min="2311" max="2311" width="13" style="123" customWidth="1"/>
    <col min="2312" max="2312" width="8.109375" style="123" customWidth="1"/>
    <col min="2313" max="2313" width="7.88671875" style="123" customWidth="1"/>
    <col min="2314" max="2314" width="11.109375" style="123" customWidth="1"/>
    <col min="2315" max="2315" width="9.44140625" style="123" customWidth="1"/>
    <col min="2316" max="2316" width="9.5546875" style="123" customWidth="1"/>
    <col min="2317" max="2317" width="10.77734375" style="123" customWidth="1"/>
    <col min="2318" max="2318" width="6.5546875" style="123" customWidth="1"/>
    <col min="2319" max="2319" width="7.5546875" style="123" customWidth="1"/>
    <col min="2320" max="2320" width="10.109375" style="123" customWidth="1"/>
    <col min="2321" max="2321" width="9.44140625" style="123" customWidth="1"/>
    <col min="2322" max="2322" width="11" style="123" customWidth="1"/>
    <col min="2323" max="2323" width="14" style="123" customWidth="1"/>
    <col min="2324" max="2324" width="9.88671875" style="123" customWidth="1"/>
    <col min="2325" max="2328" width="8.88671875" style="123"/>
    <col min="2329" max="2329" width="15" style="123" customWidth="1"/>
    <col min="2330" max="2330" width="6.44140625" style="123" customWidth="1"/>
    <col min="2331" max="2331" width="5.6640625" style="123" customWidth="1"/>
    <col min="2332" max="2332" width="9.109375" style="123" customWidth="1"/>
    <col min="2333" max="2335" width="8.88671875" style="123"/>
    <col min="2336" max="2336" width="11.6640625" style="123" customWidth="1"/>
    <col min="2337" max="2560" width="8.88671875" style="123"/>
    <col min="2561" max="2561" width="6.44140625" style="123" customWidth="1"/>
    <col min="2562" max="2562" width="43.33203125" style="123" customWidth="1"/>
    <col min="2563" max="2563" width="11.109375" style="123" customWidth="1"/>
    <col min="2564" max="2564" width="13.109375" style="123" customWidth="1"/>
    <col min="2565" max="2565" width="13.88671875" style="123" customWidth="1"/>
    <col min="2566" max="2566" width="8.33203125" style="123" customWidth="1"/>
    <col min="2567" max="2567" width="13" style="123" customWidth="1"/>
    <col min="2568" max="2568" width="8.109375" style="123" customWidth="1"/>
    <col min="2569" max="2569" width="7.88671875" style="123" customWidth="1"/>
    <col min="2570" max="2570" width="11.109375" style="123" customWidth="1"/>
    <col min="2571" max="2571" width="9.44140625" style="123" customWidth="1"/>
    <col min="2572" max="2572" width="9.5546875" style="123" customWidth="1"/>
    <col min="2573" max="2573" width="10.77734375" style="123" customWidth="1"/>
    <col min="2574" max="2574" width="6.5546875" style="123" customWidth="1"/>
    <col min="2575" max="2575" width="7.5546875" style="123" customWidth="1"/>
    <col min="2576" max="2576" width="10.109375" style="123" customWidth="1"/>
    <col min="2577" max="2577" width="9.44140625" style="123" customWidth="1"/>
    <col min="2578" max="2578" width="11" style="123" customWidth="1"/>
    <col min="2579" max="2579" width="14" style="123" customWidth="1"/>
    <col min="2580" max="2580" width="9.88671875" style="123" customWidth="1"/>
    <col min="2581" max="2584" width="8.88671875" style="123"/>
    <col min="2585" max="2585" width="15" style="123" customWidth="1"/>
    <col min="2586" max="2586" width="6.44140625" style="123" customWidth="1"/>
    <col min="2587" max="2587" width="5.6640625" style="123" customWidth="1"/>
    <col min="2588" max="2588" width="9.109375" style="123" customWidth="1"/>
    <col min="2589" max="2591" width="8.88671875" style="123"/>
    <col min="2592" max="2592" width="11.6640625" style="123" customWidth="1"/>
    <col min="2593" max="2816" width="8.88671875" style="123"/>
    <col min="2817" max="2817" width="6.44140625" style="123" customWidth="1"/>
    <col min="2818" max="2818" width="43.33203125" style="123" customWidth="1"/>
    <col min="2819" max="2819" width="11.109375" style="123" customWidth="1"/>
    <col min="2820" max="2820" width="13.109375" style="123" customWidth="1"/>
    <col min="2821" max="2821" width="13.88671875" style="123" customWidth="1"/>
    <col min="2822" max="2822" width="8.33203125" style="123" customWidth="1"/>
    <col min="2823" max="2823" width="13" style="123" customWidth="1"/>
    <col min="2824" max="2824" width="8.109375" style="123" customWidth="1"/>
    <col min="2825" max="2825" width="7.88671875" style="123" customWidth="1"/>
    <col min="2826" max="2826" width="11.109375" style="123" customWidth="1"/>
    <col min="2827" max="2827" width="9.44140625" style="123" customWidth="1"/>
    <col min="2828" max="2828" width="9.5546875" style="123" customWidth="1"/>
    <col min="2829" max="2829" width="10.77734375" style="123" customWidth="1"/>
    <col min="2830" max="2830" width="6.5546875" style="123" customWidth="1"/>
    <col min="2831" max="2831" width="7.5546875" style="123" customWidth="1"/>
    <col min="2832" max="2832" width="10.109375" style="123" customWidth="1"/>
    <col min="2833" max="2833" width="9.44140625" style="123" customWidth="1"/>
    <col min="2834" max="2834" width="11" style="123" customWidth="1"/>
    <col min="2835" max="2835" width="14" style="123" customWidth="1"/>
    <col min="2836" max="2836" width="9.88671875" style="123" customWidth="1"/>
    <col min="2837" max="2840" width="8.88671875" style="123"/>
    <col min="2841" max="2841" width="15" style="123" customWidth="1"/>
    <col min="2842" max="2842" width="6.44140625" style="123" customWidth="1"/>
    <col min="2843" max="2843" width="5.6640625" style="123" customWidth="1"/>
    <col min="2844" max="2844" width="9.109375" style="123" customWidth="1"/>
    <col min="2845" max="2847" width="8.88671875" style="123"/>
    <col min="2848" max="2848" width="11.6640625" style="123" customWidth="1"/>
    <col min="2849" max="3072" width="8.88671875" style="123"/>
    <col min="3073" max="3073" width="6.44140625" style="123" customWidth="1"/>
    <col min="3074" max="3074" width="43.33203125" style="123" customWidth="1"/>
    <col min="3075" max="3075" width="11.109375" style="123" customWidth="1"/>
    <col min="3076" max="3076" width="13.109375" style="123" customWidth="1"/>
    <col min="3077" max="3077" width="13.88671875" style="123" customWidth="1"/>
    <col min="3078" max="3078" width="8.33203125" style="123" customWidth="1"/>
    <col min="3079" max="3079" width="13" style="123" customWidth="1"/>
    <col min="3080" max="3080" width="8.109375" style="123" customWidth="1"/>
    <col min="3081" max="3081" width="7.88671875" style="123" customWidth="1"/>
    <col min="3082" max="3082" width="11.109375" style="123" customWidth="1"/>
    <col min="3083" max="3083" width="9.44140625" style="123" customWidth="1"/>
    <col min="3084" max="3084" width="9.5546875" style="123" customWidth="1"/>
    <col min="3085" max="3085" width="10.77734375" style="123" customWidth="1"/>
    <col min="3086" max="3086" width="6.5546875" style="123" customWidth="1"/>
    <col min="3087" max="3087" width="7.5546875" style="123" customWidth="1"/>
    <col min="3088" max="3088" width="10.109375" style="123" customWidth="1"/>
    <col min="3089" max="3089" width="9.44140625" style="123" customWidth="1"/>
    <col min="3090" max="3090" width="11" style="123" customWidth="1"/>
    <col min="3091" max="3091" width="14" style="123" customWidth="1"/>
    <col min="3092" max="3092" width="9.88671875" style="123" customWidth="1"/>
    <col min="3093" max="3096" width="8.88671875" style="123"/>
    <col min="3097" max="3097" width="15" style="123" customWidth="1"/>
    <col min="3098" max="3098" width="6.44140625" style="123" customWidth="1"/>
    <col min="3099" max="3099" width="5.6640625" style="123" customWidth="1"/>
    <col min="3100" max="3100" width="9.109375" style="123" customWidth="1"/>
    <col min="3101" max="3103" width="8.88671875" style="123"/>
    <col min="3104" max="3104" width="11.6640625" style="123" customWidth="1"/>
    <col min="3105" max="3328" width="8.88671875" style="123"/>
    <col min="3329" max="3329" width="6.44140625" style="123" customWidth="1"/>
    <col min="3330" max="3330" width="43.33203125" style="123" customWidth="1"/>
    <col min="3331" max="3331" width="11.109375" style="123" customWidth="1"/>
    <col min="3332" max="3332" width="13.109375" style="123" customWidth="1"/>
    <col min="3333" max="3333" width="13.88671875" style="123" customWidth="1"/>
    <col min="3334" max="3334" width="8.33203125" style="123" customWidth="1"/>
    <col min="3335" max="3335" width="13" style="123" customWidth="1"/>
    <col min="3336" max="3336" width="8.109375" style="123" customWidth="1"/>
    <col min="3337" max="3337" width="7.88671875" style="123" customWidth="1"/>
    <col min="3338" max="3338" width="11.109375" style="123" customWidth="1"/>
    <col min="3339" max="3339" width="9.44140625" style="123" customWidth="1"/>
    <col min="3340" max="3340" width="9.5546875" style="123" customWidth="1"/>
    <col min="3341" max="3341" width="10.77734375" style="123" customWidth="1"/>
    <col min="3342" max="3342" width="6.5546875" style="123" customWidth="1"/>
    <col min="3343" max="3343" width="7.5546875" style="123" customWidth="1"/>
    <col min="3344" max="3344" width="10.109375" style="123" customWidth="1"/>
    <col min="3345" max="3345" width="9.44140625" style="123" customWidth="1"/>
    <col min="3346" max="3346" width="11" style="123" customWidth="1"/>
    <col min="3347" max="3347" width="14" style="123" customWidth="1"/>
    <col min="3348" max="3348" width="9.88671875" style="123" customWidth="1"/>
    <col min="3349" max="3352" width="8.88671875" style="123"/>
    <col min="3353" max="3353" width="15" style="123" customWidth="1"/>
    <col min="3354" max="3354" width="6.44140625" style="123" customWidth="1"/>
    <col min="3355" max="3355" width="5.6640625" style="123" customWidth="1"/>
    <col min="3356" max="3356" width="9.109375" style="123" customWidth="1"/>
    <col min="3357" max="3359" width="8.88671875" style="123"/>
    <col min="3360" max="3360" width="11.6640625" style="123" customWidth="1"/>
    <col min="3361" max="3584" width="8.88671875" style="123"/>
    <col min="3585" max="3585" width="6.44140625" style="123" customWidth="1"/>
    <col min="3586" max="3586" width="43.33203125" style="123" customWidth="1"/>
    <col min="3587" max="3587" width="11.109375" style="123" customWidth="1"/>
    <col min="3588" max="3588" width="13.109375" style="123" customWidth="1"/>
    <col min="3589" max="3589" width="13.88671875" style="123" customWidth="1"/>
    <col min="3590" max="3590" width="8.33203125" style="123" customWidth="1"/>
    <col min="3591" max="3591" width="13" style="123" customWidth="1"/>
    <col min="3592" max="3592" width="8.109375" style="123" customWidth="1"/>
    <col min="3593" max="3593" width="7.88671875" style="123" customWidth="1"/>
    <col min="3594" max="3594" width="11.109375" style="123" customWidth="1"/>
    <col min="3595" max="3595" width="9.44140625" style="123" customWidth="1"/>
    <col min="3596" max="3596" width="9.5546875" style="123" customWidth="1"/>
    <col min="3597" max="3597" width="10.77734375" style="123" customWidth="1"/>
    <col min="3598" max="3598" width="6.5546875" style="123" customWidth="1"/>
    <col min="3599" max="3599" width="7.5546875" style="123" customWidth="1"/>
    <col min="3600" max="3600" width="10.109375" style="123" customWidth="1"/>
    <col min="3601" max="3601" width="9.44140625" style="123" customWidth="1"/>
    <col min="3602" max="3602" width="11" style="123" customWidth="1"/>
    <col min="3603" max="3603" width="14" style="123" customWidth="1"/>
    <col min="3604" max="3604" width="9.88671875" style="123" customWidth="1"/>
    <col min="3605" max="3608" width="8.88671875" style="123"/>
    <col min="3609" max="3609" width="15" style="123" customWidth="1"/>
    <col min="3610" max="3610" width="6.44140625" style="123" customWidth="1"/>
    <col min="3611" max="3611" width="5.6640625" style="123" customWidth="1"/>
    <col min="3612" max="3612" width="9.109375" style="123" customWidth="1"/>
    <col min="3613" max="3615" width="8.88671875" style="123"/>
    <col min="3616" max="3616" width="11.6640625" style="123" customWidth="1"/>
    <col min="3617" max="3840" width="8.88671875" style="123"/>
    <col min="3841" max="3841" width="6.44140625" style="123" customWidth="1"/>
    <col min="3842" max="3842" width="43.33203125" style="123" customWidth="1"/>
    <col min="3843" max="3843" width="11.109375" style="123" customWidth="1"/>
    <col min="3844" max="3844" width="13.109375" style="123" customWidth="1"/>
    <col min="3845" max="3845" width="13.88671875" style="123" customWidth="1"/>
    <col min="3846" max="3846" width="8.33203125" style="123" customWidth="1"/>
    <col min="3847" max="3847" width="13" style="123" customWidth="1"/>
    <col min="3848" max="3848" width="8.109375" style="123" customWidth="1"/>
    <col min="3849" max="3849" width="7.88671875" style="123" customWidth="1"/>
    <col min="3850" max="3850" width="11.109375" style="123" customWidth="1"/>
    <col min="3851" max="3851" width="9.44140625" style="123" customWidth="1"/>
    <col min="3852" max="3852" width="9.5546875" style="123" customWidth="1"/>
    <col min="3853" max="3853" width="10.77734375" style="123" customWidth="1"/>
    <col min="3854" max="3854" width="6.5546875" style="123" customWidth="1"/>
    <col min="3855" max="3855" width="7.5546875" style="123" customWidth="1"/>
    <col min="3856" max="3856" width="10.109375" style="123" customWidth="1"/>
    <col min="3857" max="3857" width="9.44140625" style="123" customWidth="1"/>
    <col min="3858" max="3858" width="11" style="123" customWidth="1"/>
    <col min="3859" max="3859" width="14" style="123" customWidth="1"/>
    <col min="3860" max="3860" width="9.88671875" style="123" customWidth="1"/>
    <col min="3861" max="3864" width="8.88671875" style="123"/>
    <col min="3865" max="3865" width="15" style="123" customWidth="1"/>
    <col min="3866" max="3866" width="6.44140625" style="123" customWidth="1"/>
    <col min="3867" max="3867" width="5.6640625" style="123" customWidth="1"/>
    <col min="3868" max="3868" width="9.109375" style="123" customWidth="1"/>
    <col min="3869" max="3871" width="8.88671875" style="123"/>
    <col min="3872" max="3872" width="11.6640625" style="123" customWidth="1"/>
    <col min="3873" max="4096" width="8.88671875" style="123"/>
    <col min="4097" max="4097" width="6.44140625" style="123" customWidth="1"/>
    <col min="4098" max="4098" width="43.33203125" style="123" customWidth="1"/>
    <col min="4099" max="4099" width="11.109375" style="123" customWidth="1"/>
    <col min="4100" max="4100" width="13.109375" style="123" customWidth="1"/>
    <col min="4101" max="4101" width="13.88671875" style="123" customWidth="1"/>
    <col min="4102" max="4102" width="8.33203125" style="123" customWidth="1"/>
    <col min="4103" max="4103" width="13" style="123" customWidth="1"/>
    <col min="4104" max="4104" width="8.109375" style="123" customWidth="1"/>
    <col min="4105" max="4105" width="7.88671875" style="123" customWidth="1"/>
    <col min="4106" max="4106" width="11.109375" style="123" customWidth="1"/>
    <col min="4107" max="4107" width="9.44140625" style="123" customWidth="1"/>
    <col min="4108" max="4108" width="9.5546875" style="123" customWidth="1"/>
    <col min="4109" max="4109" width="10.77734375" style="123" customWidth="1"/>
    <col min="4110" max="4110" width="6.5546875" style="123" customWidth="1"/>
    <col min="4111" max="4111" width="7.5546875" style="123" customWidth="1"/>
    <col min="4112" max="4112" width="10.109375" style="123" customWidth="1"/>
    <col min="4113" max="4113" width="9.44140625" style="123" customWidth="1"/>
    <col min="4114" max="4114" width="11" style="123" customWidth="1"/>
    <col min="4115" max="4115" width="14" style="123" customWidth="1"/>
    <col min="4116" max="4116" width="9.88671875" style="123" customWidth="1"/>
    <col min="4117" max="4120" width="8.88671875" style="123"/>
    <col min="4121" max="4121" width="15" style="123" customWidth="1"/>
    <col min="4122" max="4122" width="6.44140625" style="123" customWidth="1"/>
    <col min="4123" max="4123" width="5.6640625" style="123" customWidth="1"/>
    <col min="4124" max="4124" width="9.109375" style="123" customWidth="1"/>
    <col min="4125" max="4127" width="8.88671875" style="123"/>
    <col min="4128" max="4128" width="11.6640625" style="123" customWidth="1"/>
    <col min="4129" max="4352" width="8.88671875" style="123"/>
    <col min="4353" max="4353" width="6.44140625" style="123" customWidth="1"/>
    <col min="4354" max="4354" width="43.33203125" style="123" customWidth="1"/>
    <col min="4355" max="4355" width="11.109375" style="123" customWidth="1"/>
    <col min="4356" max="4356" width="13.109375" style="123" customWidth="1"/>
    <col min="4357" max="4357" width="13.88671875" style="123" customWidth="1"/>
    <col min="4358" max="4358" width="8.33203125" style="123" customWidth="1"/>
    <col min="4359" max="4359" width="13" style="123" customWidth="1"/>
    <col min="4360" max="4360" width="8.109375" style="123" customWidth="1"/>
    <col min="4361" max="4361" width="7.88671875" style="123" customWidth="1"/>
    <col min="4362" max="4362" width="11.109375" style="123" customWidth="1"/>
    <col min="4363" max="4363" width="9.44140625" style="123" customWidth="1"/>
    <col min="4364" max="4364" width="9.5546875" style="123" customWidth="1"/>
    <col min="4365" max="4365" width="10.77734375" style="123" customWidth="1"/>
    <col min="4366" max="4366" width="6.5546875" style="123" customWidth="1"/>
    <col min="4367" max="4367" width="7.5546875" style="123" customWidth="1"/>
    <col min="4368" max="4368" width="10.109375" style="123" customWidth="1"/>
    <col min="4369" max="4369" width="9.44140625" style="123" customWidth="1"/>
    <col min="4370" max="4370" width="11" style="123" customWidth="1"/>
    <col min="4371" max="4371" width="14" style="123" customWidth="1"/>
    <col min="4372" max="4372" width="9.88671875" style="123" customWidth="1"/>
    <col min="4373" max="4376" width="8.88671875" style="123"/>
    <col min="4377" max="4377" width="15" style="123" customWidth="1"/>
    <col min="4378" max="4378" width="6.44140625" style="123" customWidth="1"/>
    <col min="4379" max="4379" width="5.6640625" style="123" customWidth="1"/>
    <col min="4380" max="4380" width="9.109375" style="123" customWidth="1"/>
    <col min="4381" max="4383" width="8.88671875" style="123"/>
    <col min="4384" max="4384" width="11.6640625" style="123" customWidth="1"/>
    <col min="4385" max="4608" width="8.88671875" style="123"/>
    <col min="4609" max="4609" width="6.44140625" style="123" customWidth="1"/>
    <col min="4610" max="4610" width="43.33203125" style="123" customWidth="1"/>
    <col min="4611" max="4611" width="11.109375" style="123" customWidth="1"/>
    <col min="4612" max="4612" width="13.109375" style="123" customWidth="1"/>
    <col min="4613" max="4613" width="13.88671875" style="123" customWidth="1"/>
    <col min="4614" max="4614" width="8.33203125" style="123" customWidth="1"/>
    <col min="4615" max="4615" width="13" style="123" customWidth="1"/>
    <col min="4616" max="4616" width="8.109375" style="123" customWidth="1"/>
    <col min="4617" max="4617" width="7.88671875" style="123" customWidth="1"/>
    <col min="4618" max="4618" width="11.109375" style="123" customWidth="1"/>
    <col min="4619" max="4619" width="9.44140625" style="123" customWidth="1"/>
    <col min="4620" max="4620" width="9.5546875" style="123" customWidth="1"/>
    <col min="4621" max="4621" width="10.77734375" style="123" customWidth="1"/>
    <col min="4622" max="4622" width="6.5546875" style="123" customWidth="1"/>
    <col min="4623" max="4623" width="7.5546875" style="123" customWidth="1"/>
    <col min="4624" max="4624" width="10.109375" style="123" customWidth="1"/>
    <col min="4625" max="4625" width="9.44140625" style="123" customWidth="1"/>
    <col min="4626" max="4626" width="11" style="123" customWidth="1"/>
    <col min="4627" max="4627" width="14" style="123" customWidth="1"/>
    <col min="4628" max="4628" width="9.88671875" style="123" customWidth="1"/>
    <col min="4629" max="4632" width="8.88671875" style="123"/>
    <col min="4633" max="4633" width="15" style="123" customWidth="1"/>
    <col min="4634" max="4634" width="6.44140625" style="123" customWidth="1"/>
    <col min="4635" max="4635" width="5.6640625" style="123" customWidth="1"/>
    <col min="4636" max="4636" width="9.109375" style="123" customWidth="1"/>
    <col min="4637" max="4639" width="8.88671875" style="123"/>
    <col min="4640" max="4640" width="11.6640625" style="123" customWidth="1"/>
    <col min="4641" max="4864" width="8.88671875" style="123"/>
    <col min="4865" max="4865" width="6.44140625" style="123" customWidth="1"/>
    <col min="4866" max="4866" width="43.33203125" style="123" customWidth="1"/>
    <col min="4867" max="4867" width="11.109375" style="123" customWidth="1"/>
    <col min="4868" max="4868" width="13.109375" style="123" customWidth="1"/>
    <col min="4869" max="4869" width="13.88671875" style="123" customWidth="1"/>
    <col min="4870" max="4870" width="8.33203125" style="123" customWidth="1"/>
    <col min="4871" max="4871" width="13" style="123" customWidth="1"/>
    <col min="4872" max="4872" width="8.109375" style="123" customWidth="1"/>
    <col min="4873" max="4873" width="7.88671875" style="123" customWidth="1"/>
    <col min="4874" max="4874" width="11.109375" style="123" customWidth="1"/>
    <col min="4875" max="4875" width="9.44140625" style="123" customWidth="1"/>
    <col min="4876" max="4876" width="9.5546875" style="123" customWidth="1"/>
    <col min="4877" max="4877" width="10.77734375" style="123" customWidth="1"/>
    <col min="4878" max="4878" width="6.5546875" style="123" customWidth="1"/>
    <col min="4879" max="4879" width="7.5546875" style="123" customWidth="1"/>
    <col min="4880" max="4880" width="10.109375" style="123" customWidth="1"/>
    <col min="4881" max="4881" width="9.44140625" style="123" customWidth="1"/>
    <col min="4882" max="4882" width="11" style="123" customWidth="1"/>
    <col min="4883" max="4883" width="14" style="123" customWidth="1"/>
    <col min="4884" max="4884" width="9.88671875" style="123" customWidth="1"/>
    <col min="4885" max="4888" width="8.88671875" style="123"/>
    <col min="4889" max="4889" width="15" style="123" customWidth="1"/>
    <col min="4890" max="4890" width="6.44140625" style="123" customWidth="1"/>
    <col min="4891" max="4891" width="5.6640625" style="123" customWidth="1"/>
    <col min="4892" max="4892" width="9.109375" style="123" customWidth="1"/>
    <col min="4893" max="4895" width="8.88671875" style="123"/>
    <col min="4896" max="4896" width="11.6640625" style="123" customWidth="1"/>
    <col min="4897" max="5120" width="8.88671875" style="123"/>
    <col min="5121" max="5121" width="6.44140625" style="123" customWidth="1"/>
    <col min="5122" max="5122" width="43.33203125" style="123" customWidth="1"/>
    <col min="5123" max="5123" width="11.109375" style="123" customWidth="1"/>
    <col min="5124" max="5124" width="13.109375" style="123" customWidth="1"/>
    <col min="5125" max="5125" width="13.88671875" style="123" customWidth="1"/>
    <col min="5126" max="5126" width="8.33203125" style="123" customWidth="1"/>
    <col min="5127" max="5127" width="13" style="123" customWidth="1"/>
    <col min="5128" max="5128" width="8.109375" style="123" customWidth="1"/>
    <col min="5129" max="5129" width="7.88671875" style="123" customWidth="1"/>
    <col min="5130" max="5130" width="11.109375" style="123" customWidth="1"/>
    <col min="5131" max="5131" width="9.44140625" style="123" customWidth="1"/>
    <col min="5132" max="5132" width="9.5546875" style="123" customWidth="1"/>
    <col min="5133" max="5133" width="10.77734375" style="123" customWidth="1"/>
    <col min="5134" max="5134" width="6.5546875" style="123" customWidth="1"/>
    <col min="5135" max="5135" width="7.5546875" style="123" customWidth="1"/>
    <col min="5136" max="5136" width="10.109375" style="123" customWidth="1"/>
    <col min="5137" max="5137" width="9.44140625" style="123" customWidth="1"/>
    <col min="5138" max="5138" width="11" style="123" customWidth="1"/>
    <col min="5139" max="5139" width="14" style="123" customWidth="1"/>
    <col min="5140" max="5140" width="9.88671875" style="123" customWidth="1"/>
    <col min="5141" max="5144" width="8.88671875" style="123"/>
    <col min="5145" max="5145" width="15" style="123" customWidth="1"/>
    <col min="5146" max="5146" width="6.44140625" style="123" customWidth="1"/>
    <col min="5147" max="5147" width="5.6640625" style="123" customWidth="1"/>
    <col min="5148" max="5148" width="9.109375" style="123" customWidth="1"/>
    <col min="5149" max="5151" width="8.88671875" style="123"/>
    <col min="5152" max="5152" width="11.6640625" style="123" customWidth="1"/>
    <col min="5153" max="5376" width="8.88671875" style="123"/>
    <col min="5377" max="5377" width="6.44140625" style="123" customWidth="1"/>
    <col min="5378" max="5378" width="43.33203125" style="123" customWidth="1"/>
    <col min="5379" max="5379" width="11.109375" style="123" customWidth="1"/>
    <col min="5380" max="5380" width="13.109375" style="123" customWidth="1"/>
    <col min="5381" max="5381" width="13.88671875" style="123" customWidth="1"/>
    <col min="5382" max="5382" width="8.33203125" style="123" customWidth="1"/>
    <col min="5383" max="5383" width="13" style="123" customWidth="1"/>
    <col min="5384" max="5384" width="8.109375" style="123" customWidth="1"/>
    <col min="5385" max="5385" width="7.88671875" style="123" customWidth="1"/>
    <col min="5386" max="5386" width="11.109375" style="123" customWidth="1"/>
    <col min="5387" max="5387" width="9.44140625" style="123" customWidth="1"/>
    <col min="5388" max="5388" width="9.5546875" style="123" customWidth="1"/>
    <col min="5389" max="5389" width="10.77734375" style="123" customWidth="1"/>
    <col min="5390" max="5390" width="6.5546875" style="123" customWidth="1"/>
    <col min="5391" max="5391" width="7.5546875" style="123" customWidth="1"/>
    <col min="5392" max="5392" width="10.109375" style="123" customWidth="1"/>
    <col min="5393" max="5393" width="9.44140625" style="123" customWidth="1"/>
    <col min="5394" max="5394" width="11" style="123" customWidth="1"/>
    <col min="5395" max="5395" width="14" style="123" customWidth="1"/>
    <col min="5396" max="5396" width="9.88671875" style="123" customWidth="1"/>
    <col min="5397" max="5400" width="8.88671875" style="123"/>
    <col min="5401" max="5401" width="15" style="123" customWidth="1"/>
    <col min="5402" max="5402" width="6.44140625" style="123" customWidth="1"/>
    <col min="5403" max="5403" width="5.6640625" style="123" customWidth="1"/>
    <col min="5404" max="5404" width="9.109375" style="123" customWidth="1"/>
    <col min="5405" max="5407" width="8.88671875" style="123"/>
    <col min="5408" max="5408" width="11.6640625" style="123" customWidth="1"/>
    <col min="5409" max="5632" width="8.88671875" style="123"/>
    <col min="5633" max="5633" width="6.44140625" style="123" customWidth="1"/>
    <col min="5634" max="5634" width="43.33203125" style="123" customWidth="1"/>
    <col min="5635" max="5635" width="11.109375" style="123" customWidth="1"/>
    <col min="5636" max="5636" width="13.109375" style="123" customWidth="1"/>
    <col min="5637" max="5637" width="13.88671875" style="123" customWidth="1"/>
    <col min="5638" max="5638" width="8.33203125" style="123" customWidth="1"/>
    <col min="5639" max="5639" width="13" style="123" customWidth="1"/>
    <col min="5640" max="5640" width="8.109375" style="123" customWidth="1"/>
    <col min="5641" max="5641" width="7.88671875" style="123" customWidth="1"/>
    <col min="5642" max="5642" width="11.109375" style="123" customWidth="1"/>
    <col min="5643" max="5643" width="9.44140625" style="123" customWidth="1"/>
    <col min="5644" max="5644" width="9.5546875" style="123" customWidth="1"/>
    <col min="5645" max="5645" width="10.77734375" style="123" customWidth="1"/>
    <col min="5646" max="5646" width="6.5546875" style="123" customWidth="1"/>
    <col min="5647" max="5647" width="7.5546875" style="123" customWidth="1"/>
    <col min="5648" max="5648" width="10.109375" style="123" customWidth="1"/>
    <col min="5649" max="5649" width="9.44140625" style="123" customWidth="1"/>
    <col min="5650" max="5650" width="11" style="123" customWidth="1"/>
    <col min="5651" max="5651" width="14" style="123" customWidth="1"/>
    <col min="5652" max="5652" width="9.88671875" style="123" customWidth="1"/>
    <col min="5653" max="5656" width="8.88671875" style="123"/>
    <col min="5657" max="5657" width="15" style="123" customWidth="1"/>
    <col min="5658" max="5658" width="6.44140625" style="123" customWidth="1"/>
    <col min="5659" max="5659" width="5.6640625" style="123" customWidth="1"/>
    <col min="5660" max="5660" width="9.109375" style="123" customWidth="1"/>
    <col min="5661" max="5663" width="8.88671875" style="123"/>
    <col min="5664" max="5664" width="11.6640625" style="123" customWidth="1"/>
    <col min="5665" max="5888" width="8.88671875" style="123"/>
    <col min="5889" max="5889" width="6.44140625" style="123" customWidth="1"/>
    <col min="5890" max="5890" width="43.33203125" style="123" customWidth="1"/>
    <col min="5891" max="5891" width="11.109375" style="123" customWidth="1"/>
    <col min="5892" max="5892" width="13.109375" style="123" customWidth="1"/>
    <col min="5893" max="5893" width="13.88671875" style="123" customWidth="1"/>
    <col min="5894" max="5894" width="8.33203125" style="123" customWidth="1"/>
    <col min="5895" max="5895" width="13" style="123" customWidth="1"/>
    <col min="5896" max="5896" width="8.109375" style="123" customWidth="1"/>
    <col min="5897" max="5897" width="7.88671875" style="123" customWidth="1"/>
    <col min="5898" max="5898" width="11.109375" style="123" customWidth="1"/>
    <col min="5899" max="5899" width="9.44140625" style="123" customWidth="1"/>
    <col min="5900" max="5900" width="9.5546875" style="123" customWidth="1"/>
    <col min="5901" max="5901" width="10.77734375" style="123" customWidth="1"/>
    <col min="5902" max="5902" width="6.5546875" style="123" customWidth="1"/>
    <col min="5903" max="5903" width="7.5546875" style="123" customWidth="1"/>
    <col min="5904" max="5904" width="10.109375" style="123" customWidth="1"/>
    <col min="5905" max="5905" width="9.44140625" style="123" customWidth="1"/>
    <col min="5906" max="5906" width="11" style="123" customWidth="1"/>
    <col min="5907" max="5907" width="14" style="123" customWidth="1"/>
    <col min="5908" max="5908" width="9.88671875" style="123" customWidth="1"/>
    <col min="5909" max="5912" width="8.88671875" style="123"/>
    <col min="5913" max="5913" width="15" style="123" customWidth="1"/>
    <col min="5914" max="5914" width="6.44140625" style="123" customWidth="1"/>
    <col min="5915" max="5915" width="5.6640625" style="123" customWidth="1"/>
    <col min="5916" max="5916" width="9.109375" style="123" customWidth="1"/>
    <col min="5917" max="5919" width="8.88671875" style="123"/>
    <col min="5920" max="5920" width="11.6640625" style="123" customWidth="1"/>
    <col min="5921" max="6144" width="8.88671875" style="123"/>
    <col min="6145" max="6145" width="6.44140625" style="123" customWidth="1"/>
    <col min="6146" max="6146" width="43.33203125" style="123" customWidth="1"/>
    <col min="6147" max="6147" width="11.109375" style="123" customWidth="1"/>
    <col min="6148" max="6148" width="13.109375" style="123" customWidth="1"/>
    <col min="6149" max="6149" width="13.88671875" style="123" customWidth="1"/>
    <col min="6150" max="6150" width="8.33203125" style="123" customWidth="1"/>
    <col min="6151" max="6151" width="13" style="123" customWidth="1"/>
    <col min="6152" max="6152" width="8.109375" style="123" customWidth="1"/>
    <col min="6153" max="6153" width="7.88671875" style="123" customWidth="1"/>
    <col min="6154" max="6154" width="11.109375" style="123" customWidth="1"/>
    <col min="6155" max="6155" width="9.44140625" style="123" customWidth="1"/>
    <col min="6156" max="6156" width="9.5546875" style="123" customWidth="1"/>
    <col min="6157" max="6157" width="10.77734375" style="123" customWidth="1"/>
    <col min="6158" max="6158" width="6.5546875" style="123" customWidth="1"/>
    <col min="6159" max="6159" width="7.5546875" style="123" customWidth="1"/>
    <col min="6160" max="6160" width="10.109375" style="123" customWidth="1"/>
    <col min="6161" max="6161" width="9.44140625" style="123" customWidth="1"/>
    <col min="6162" max="6162" width="11" style="123" customWidth="1"/>
    <col min="6163" max="6163" width="14" style="123" customWidth="1"/>
    <col min="6164" max="6164" width="9.88671875" style="123" customWidth="1"/>
    <col min="6165" max="6168" width="8.88671875" style="123"/>
    <col min="6169" max="6169" width="15" style="123" customWidth="1"/>
    <col min="6170" max="6170" width="6.44140625" style="123" customWidth="1"/>
    <col min="6171" max="6171" width="5.6640625" style="123" customWidth="1"/>
    <col min="6172" max="6172" width="9.109375" style="123" customWidth="1"/>
    <col min="6173" max="6175" width="8.88671875" style="123"/>
    <col min="6176" max="6176" width="11.6640625" style="123" customWidth="1"/>
    <col min="6177" max="6400" width="8.88671875" style="123"/>
    <col min="6401" max="6401" width="6.44140625" style="123" customWidth="1"/>
    <col min="6402" max="6402" width="43.33203125" style="123" customWidth="1"/>
    <col min="6403" max="6403" width="11.109375" style="123" customWidth="1"/>
    <col min="6404" max="6404" width="13.109375" style="123" customWidth="1"/>
    <col min="6405" max="6405" width="13.88671875" style="123" customWidth="1"/>
    <col min="6406" max="6406" width="8.33203125" style="123" customWidth="1"/>
    <col min="6407" max="6407" width="13" style="123" customWidth="1"/>
    <col min="6408" max="6408" width="8.109375" style="123" customWidth="1"/>
    <col min="6409" max="6409" width="7.88671875" style="123" customWidth="1"/>
    <col min="6410" max="6410" width="11.109375" style="123" customWidth="1"/>
    <col min="6411" max="6411" width="9.44140625" style="123" customWidth="1"/>
    <col min="6412" max="6412" width="9.5546875" style="123" customWidth="1"/>
    <col min="6413" max="6413" width="10.77734375" style="123" customWidth="1"/>
    <col min="6414" max="6414" width="6.5546875" style="123" customWidth="1"/>
    <col min="6415" max="6415" width="7.5546875" style="123" customWidth="1"/>
    <col min="6416" max="6416" width="10.109375" style="123" customWidth="1"/>
    <col min="6417" max="6417" width="9.44140625" style="123" customWidth="1"/>
    <col min="6418" max="6418" width="11" style="123" customWidth="1"/>
    <col min="6419" max="6419" width="14" style="123" customWidth="1"/>
    <col min="6420" max="6420" width="9.88671875" style="123" customWidth="1"/>
    <col min="6421" max="6424" width="8.88671875" style="123"/>
    <col min="6425" max="6425" width="15" style="123" customWidth="1"/>
    <col min="6426" max="6426" width="6.44140625" style="123" customWidth="1"/>
    <col min="6427" max="6427" width="5.6640625" style="123" customWidth="1"/>
    <col min="6428" max="6428" width="9.109375" style="123" customWidth="1"/>
    <col min="6429" max="6431" width="8.88671875" style="123"/>
    <col min="6432" max="6432" width="11.6640625" style="123" customWidth="1"/>
    <col min="6433" max="6656" width="8.88671875" style="123"/>
    <col min="6657" max="6657" width="6.44140625" style="123" customWidth="1"/>
    <col min="6658" max="6658" width="43.33203125" style="123" customWidth="1"/>
    <col min="6659" max="6659" width="11.109375" style="123" customWidth="1"/>
    <col min="6660" max="6660" width="13.109375" style="123" customWidth="1"/>
    <col min="6661" max="6661" width="13.88671875" style="123" customWidth="1"/>
    <col min="6662" max="6662" width="8.33203125" style="123" customWidth="1"/>
    <col min="6663" max="6663" width="13" style="123" customWidth="1"/>
    <col min="6664" max="6664" width="8.109375" style="123" customWidth="1"/>
    <col min="6665" max="6665" width="7.88671875" style="123" customWidth="1"/>
    <col min="6666" max="6666" width="11.109375" style="123" customWidth="1"/>
    <col min="6667" max="6667" width="9.44140625" style="123" customWidth="1"/>
    <col min="6668" max="6668" width="9.5546875" style="123" customWidth="1"/>
    <col min="6669" max="6669" width="10.77734375" style="123" customWidth="1"/>
    <col min="6670" max="6670" width="6.5546875" style="123" customWidth="1"/>
    <col min="6671" max="6671" width="7.5546875" style="123" customWidth="1"/>
    <col min="6672" max="6672" width="10.109375" style="123" customWidth="1"/>
    <col min="6673" max="6673" width="9.44140625" style="123" customWidth="1"/>
    <col min="6674" max="6674" width="11" style="123" customWidth="1"/>
    <col min="6675" max="6675" width="14" style="123" customWidth="1"/>
    <col min="6676" max="6676" width="9.88671875" style="123" customWidth="1"/>
    <col min="6677" max="6680" width="8.88671875" style="123"/>
    <col min="6681" max="6681" width="15" style="123" customWidth="1"/>
    <col min="6682" max="6682" width="6.44140625" style="123" customWidth="1"/>
    <col min="6683" max="6683" width="5.6640625" style="123" customWidth="1"/>
    <col min="6684" max="6684" width="9.109375" style="123" customWidth="1"/>
    <col min="6685" max="6687" width="8.88671875" style="123"/>
    <col min="6688" max="6688" width="11.6640625" style="123" customWidth="1"/>
    <col min="6689" max="6912" width="8.88671875" style="123"/>
    <col min="6913" max="6913" width="6.44140625" style="123" customWidth="1"/>
    <col min="6914" max="6914" width="43.33203125" style="123" customWidth="1"/>
    <col min="6915" max="6915" width="11.109375" style="123" customWidth="1"/>
    <col min="6916" max="6916" width="13.109375" style="123" customWidth="1"/>
    <col min="6917" max="6917" width="13.88671875" style="123" customWidth="1"/>
    <col min="6918" max="6918" width="8.33203125" style="123" customWidth="1"/>
    <col min="6919" max="6919" width="13" style="123" customWidth="1"/>
    <col min="6920" max="6920" width="8.109375" style="123" customWidth="1"/>
    <col min="6921" max="6921" width="7.88671875" style="123" customWidth="1"/>
    <col min="6922" max="6922" width="11.109375" style="123" customWidth="1"/>
    <col min="6923" max="6923" width="9.44140625" style="123" customWidth="1"/>
    <col min="6924" max="6924" width="9.5546875" style="123" customWidth="1"/>
    <col min="6925" max="6925" width="10.77734375" style="123" customWidth="1"/>
    <col min="6926" max="6926" width="6.5546875" style="123" customWidth="1"/>
    <col min="6927" max="6927" width="7.5546875" style="123" customWidth="1"/>
    <col min="6928" max="6928" width="10.109375" style="123" customWidth="1"/>
    <col min="6929" max="6929" width="9.44140625" style="123" customWidth="1"/>
    <col min="6930" max="6930" width="11" style="123" customWidth="1"/>
    <col min="6931" max="6931" width="14" style="123" customWidth="1"/>
    <col min="6932" max="6932" width="9.88671875" style="123" customWidth="1"/>
    <col min="6933" max="6936" width="8.88671875" style="123"/>
    <col min="6937" max="6937" width="15" style="123" customWidth="1"/>
    <col min="6938" max="6938" width="6.44140625" style="123" customWidth="1"/>
    <col min="6939" max="6939" width="5.6640625" style="123" customWidth="1"/>
    <col min="6940" max="6940" width="9.109375" style="123" customWidth="1"/>
    <col min="6941" max="6943" width="8.88671875" style="123"/>
    <col min="6944" max="6944" width="11.6640625" style="123" customWidth="1"/>
    <col min="6945" max="7168" width="8.88671875" style="123"/>
    <col min="7169" max="7169" width="6.44140625" style="123" customWidth="1"/>
    <col min="7170" max="7170" width="43.33203125" style="123" customWidth="1"/>
    <col min="7171" max="7171" width="11.109375" style="123" customWidth="1"/>
    <col min="7172" max="7172" width="13.109375" style="123" customWidth="1"/>
    <col min="7173" max="7173" width="13.88671875" style="123" customWidth="1"/>
    <col min="7174" max="7174" width="8.33203125" style="123" customWidth="1"/>
    <col min="7175" max="7175" width="13" style="123" customWidth="1"/>
    <col min="7176" max="7176" width="8.109375" style="123" customWidth="1"/>
    <col min="7177" max="7177" width="7.88671875" style="123" customWidth="1"/>
    <col min="7178" max="7178" width="11.109375" style="123" customWidth="1"/>
    <col min="7179" max="7179" width="9.44140625" style="123" customWidth="1"/>
    <col min="7180" max="7180" width="9.5546875" style="123" customWidth="1"/>
    <col min="7181" max="7181" width="10.77734375" style="123" customWidth="1"/>
    <col min="7182" max="7182" width="6.5546875" style="123" customWidth="1"/>
    <col min="7183" max="7183" width="7.5546875" style="123" customWidth="1"/>
    <col min="7184" max="7184" width="10.109375" style="123" customWidth="1"/>
    <col min="7185" max="7185" width="9.44140625" style="123" customWidth="1"/>
    <col min="7186" max="7186" width="11" style="123" customWidth="1"/>
    <col min="7187" max="7187" width="14" style="123" customWidth="1"/>
    <col min="7188" max="7188" width="9.88671875" style="123" customWidth="1"/>
    <col min="7189" max="7192" width="8.88671875" style="123"/>
    <col min="7193" max="7193" width="15" style="123" customWidth="1"/>
    <col min="7194" max="7194" width="6.44140625" style="123" customWidth="1"/>
    <col min="7195" max="7195" width="5.6640625" style="123" customWidth="1"/>
    <col min="7196" max="7196" width="9.109375" style="123" customWidth="1"/>
    <col min="7197" max="7199" width="8.88671875" style="123"/>
    <col min="7200" max="7200" width="11.6640625" style="123" customWidth="1"/>
    <col min="7201" max="7424" width="8.88671875" style="123"/>
    <col min="7425" max="7425" width="6.44140625" style="123" customWidth="1"/>
    <col min="7426" max="7426" width="43.33203125" style="123" customWidth="1"/>
    <col min="7427" max="7427" width="11.109375" style="123" customWidth="1"/>
    <col min="7428" max="7428" width="13.109375" style="123" customWidth="1"/>
    <col min="7429" max="7429" width="13.88671875" style="123" customWidth="1"/>
    <col min="7430" max="7430" width="8.33203125" style="123" customWidth="1"/>
    <col min="7431" max="7431" width="13" style="123" customWidth="1"/>
    <col min="7432" max="7432" width="8.109375" style="123" customWidth="1"/>
    <col min="7433" max="7433" width="7.88671875" style="123" customWidth="1"/>
    <col min="7434" max="7434" width="11.109375" style="123" customWidth="1"/>
    <col min="7435" max="7435" width="9.44140625" style="123" customWidth="1"/>
    <col min="7436" max="7436" width="9.5546875" style="123" customWidth="1"/>
    <col min="7437" max="7437" width="10.77734375" style="123" customWidth="1"/>
    <col min="7438" max="7438" width="6.5546875" style="123" customWidth="1"/>
    <col min="7439" max="7439" width="7.5546875" style="123" customWidth="1"/>
    <col min="7440" max="7440" width="10.109375" style="123" customWidth="1"/>
    <col min="7441" max="7441" width="9.44140625" style="123" customWidth="1"/>
    <col min="7442" max="7442" width="11" style="123" customWidth="1"/>
    <col min="7443" max="7443" width="14" style="123" customWidth="1"/>
    <col min="7444" max="7444" width="9.88671875" style="123" customWidth="1"/>
    <col min="7445" max="7448" width="8.88671875" style="123"/>
    <col min="7449" max="7449" width="15" style="123" customWidth="1"/>
    <col min="7450" max="7450" width="6.44140625" style="123" customWidth="1"/>
    <col min="7451" max="7451" width="5.6640625" style="123" customWidth="1"/>
    <col min="7452" max="7452" width="9.109375" style="123" customWidth="1"/>
    <col min="7453" max="7455" width="8.88671875" style="123"/>
    <col min="7456" max="7456" width="11.6640625" style="123" customWidth="1"/>
    <col min="7457" max="7680" width="8.88671875" style="123"/>
    <col min="7681" max="7681" width="6.44140625" style="123" customWidth="1"/>
    <col min="7682" max="7682" width="43.33203125" style="123" customWidth="1"/>
    <col min="7683" max="7683" width="11.109375" style="123" customWidth="1"/>
    <col min="7684" max="7684" width="13.109375" style="123" customWidth="1"/>
    <col min="7685" max="7685" width="13.88671875" style="123" customWidth="1"/>
    <col min="7686" max="7686" width="8.33203125" style="123" customWidth="1"/>
    <col min="7687" max="7687" width="13" style="123" customWidth="1"/>
    <col min="7688" max="7688" width="8.109375" style="123" customWidth="1"/>
    <col min="7689" max="7689" width="7.88671875" style="123" customWidth="1"/>
    <col min="7690" max="7690" width="11.109375" style="123" customWidth="1"/>
    <col min="7691" max="7691" width="9.44140625" style="123" customWidth="1"/>
    <col min="7692" max="7692" width="9.5546875" style="123" customWidth="1"/>
    <col min="7693" max="7693" width="10.77734375" style="123" customWidth="1"/>
    <col min="7694" max="7694" width="6.5546875" style="123" customWidth="1"/>
    <col min="7695" max="7695" width="7.5546875" style="123" customWidth="1"/>
    <col min="7696" max="7696" width="10.109375" style="123" customWidth="1"/>
    <col min="7697" max="7697" width="9.44140625" style="123" customWidth="1"/>
    <col min="7698" max="7698" width="11" style="123" customWidth="1"/>
    <col min="7699" max="7699" width="14" style="123" customWidth="1"/>
    <col min="7700" max="7700" width="9.88671875" style="123" customWidth="1"/>
    <col min="7701" max="7704" width="8.88671875" style="123"/>
    <col min="7705" max="7705" width="15" style="123" customWidth="1"/>
    <col min="7706" max="7706" width="6.44140625" style="123" customWidth="1"/>
    <col min="7707" max="7707" width="5.6640625" style="123" customWidth="1"/>
    <col min="7708" max="7708" width="9.109375" style="123" customWidth="1"/>
    <col min="7709" max="7711" width="8.88671875" style="123"/>
    <col min="7712" max="7712" width="11.6640625" style="123" customWidth="1"/>
    <col min="7713" max="7936" width="8.88671875" style="123"/>
    <col min="7937" max="7937" width="6.44140625" style="123" customWidth="1"/>
    <col min="7938" max="7938" width="43.33203125" style="123" customWidth="1"/>
    <col min="7939" max="7939" width="11.109375" style="123" customWidth="1"/>
    <col min="7940" max="7940" width="13.109375" style="123" customWidth="1"/>
    <col min="7941" max="7941" width="13.88671875" style="123" customWidth="1"/>
    <col min="7942" max="7942" width="8.33203125" style="123" customWidth="1"/>
    <col min="7943" max="7943" width="13" style="123" customWidth="1"/>
    <col min="7944" max="7944" width="8.109375" style="123" customWidth="1"/>
    <col min="7945" max="7945" width="7.88671875" style="123" customWidth="1"/>
    <col min="7946" max="7946" width="11.109375" style="123" customWidth="1"/>
    <col min="7947" max="7947" width="9.44140625" style="123" customWidth="1"/>
    <col min="7948" max="7948" width="9.5546875" style="123" customWidth="1"/>
    <col min="7949" max="7949" width="10.77734375" style="123" customWidth="1"/>
    <col min="7950" max="7950" width="6.5546875" style="123" customWidth="1"/>
    <col min="7951" max="7951" width="7.5546875" style="123" customWidth="1"/>
    <col min="7952" max="7952" width="10.109375" style="123" customWidth="1"/>
    <col min="7953" max="7953" width="9.44140625" style="123" customWidth="1"/>
    <col min="7954" max="7954" width="11" style="123" customWidth="1"/>
    <col min="7955" max="7955" width="14" style="123" customWidth="1"/>
    <col min="7956" max="7956" width="9.88671875" style="123" customWidth="1"/>
    <col min="7957" max="7960" width="8.88671875" style="123"/>
    <col min="7961" max="7961" width="15" style="123" customWidth="1"/>
    <col min="7962" max="7962" width="6.44140625" style="123" customWidth="1"/>
    <col min="7963" max="7963" width="5.6640625" style="123" customWidth="1"/>
    <col min="7964" max="7964" width="9.109375" style="123" customWidth="1"/>
    <col min="7965" max="7967" width="8.88671875" style="123"/>
    <col min="7968" max="7968" width="11.6640625" style="123" customWidth="1"/>
    <col min="7969" max="8192" width="8.88671875" style="123"/>
    <col min="8193" max="8193" width="6.44140625" style="123" customWidth="1"/>
    <col min="8194" max="8194" width="43.33203125" style="123" customWidth="1"/>
    <col min="8195" max="8195" width="11.109375" style="123" customWidth="1"/>
    <col min="8196" max="8196" width="13.109375" style="123" customWidth="1"/>
    <col min="8197" max="8197" width="13.88671875" style="123" customWidth="1"/>
    <col min="8198" max="8198" width="8.33203125" style="123" customWidth="1"/>
    <col min="8199" max="8199" width="13" style="123" customWidth="1"/>
    <col min="8200" max="8200" width="8.109375" style="123" customWidth="1"/>
    <col min="8201" max="8201" width="7.88671875" style="123" customWidth="1"/>
    <col min="8202" max="8202" width="11.109375" style="123" customWidth="1"/>
    <col min="8203" max="8203" width="9.44140625" style="123" customWidth="1"/>
    <col min="8204" max="8204" width="9.5546875" style="123" customWidth="1"/>
    <col min="8205" max="8205" width="10.77734375" style="123" customWidth="1"/>
    <col min="8206" max="8206" width="6.5546875" style="123" customWidth="1"/>
    <col min="8207" max="8207" width="7.5546875" style="123" customWidth="1"/>
    <col min="8208" max="8208" width="10.109375" style="123" customWidth="1"/>
    <col min="8209" max="8209" width="9.44140625" style="123" customWidth="1"/>
    <col min="8210" max="8210" width="11" style="123" customWidth="1"/>
    <col min="8211" max="8211" width="14" style="123" customWidth="1"/>
    <col min="8212" max="8212" width="9.88671875" style="123" customWidth="1"/>
    <col min="8213" max="8216" width="8.88671875" style="123"/>
    <col min="8217" max="8217" width="15" style="123" customWidth="1"/>
    <col min="8218" max="8218" width="6.44140625" style="123" customWidth="1"/>
    <col min="8219" max="8219" width="5.6640625" style="123" customWidth="1"/>
    <col min="8220" max="8220" width="9.109375" style="123" customWidth="1"/>
    <col min="8221" max="8223" width="8.88671875" style="123"/>
    <col min="8224" max="8224" width="11.6640625" style="123" customWidth="1"/>
    <col min="8225" max="8448" width="8.88671875" style="123"/>
    <col min="8449" max="8449" width="6.44140625" style="123" customWidth="1"/>
    <col min="8450" max="8450" width="43.33203125" style="123" customWidth="1"/>
    <col min="8451" max="8451" width="11.109375" style="123" customWidth="1"/>
    <col min="8452" max="8452" width="13.109375" style="123" customWidth="1"/>
    <col min="8453" max="8453" width="13.88671875" style="123" customWidth="1"/>
    <col min="8454" max="8454" width="8.33203125" style="123" customWidth="1"/>
    <col min="8455" max="8455" width="13" style="123" customWidth="1"/>
    <col min="8456" max="8456" width="8.109375" style="123" customWidth="1"/>
    <col min="8457" max="8457" width="7.88671875" style="123" customWidth="1"/>
    <col min="8458" max="8458" width="11.109375" style="123" customWidth="1"/>
    <col min="8459" max="8459" width="9.44140625" style="123" customWidth="1"/>
    <col min="8460" max="8460" width="9.5546875" style="123" customWidth="1"/>
    <col min="8461" max="8461" width="10.77734375" style="123" customWidth="1"/>
    <col min="8462" max="8462" width="6.5546875" style="123" customWidth="1"/>
    <col min="8463" max="8463" width="7.5546875" style="123" customWidth="1"/>
    <col min="8464" max="8464" width="10.109375" style="123" customWidth="1"/>
    <col min="8465" max="8465" width="9.44140625" style="123" customWidth="1"/>
    <col min="8466" max="8466" width="11" style="123" customWidth="1"/>
    <col min="8467" max="8467" width="14" style="123" customWidth="1"/>
    <col min="8468" max="8468" width="9.88671875" style="123" customWidth="1"/>
    <col min="8469" max="8472" width="8.88671875" style="123"/>
    <col min="8473" max="8473" width="15" style="123" customWidth="1"/>
    <col min="8474" max="8474" width="6.44140625" style="123" customWidth="1"/>
    <col min="8475" max="8475" width="5.6640625" style="123" customWidth="1"/>
    <col min="8476" max="8476" width="9.109375" style="123" customWidth="1"/>
    <col min="8477" max="8479" width="8.88671875" style="123"/>
    <col min="8480" max="8480" width="11.6640625" style="123" customWidth="1"/>
    <col min="8481" max="8704" width="8.88671875" style="123"/>
    <col min="8705" max="8705" width="6.44140625" style="123" customWidth="1"/>
    <col min="8706" max="8706" width="43.33203125" style="123" customWidth="1"/>
    <col min="8707" max="8707" width="11.109375" style="123" customWidth="1"/>
    <col min="8708" max="8708" width="13.109375" style="123" customWidth="1"/>
    <col min="8709" max="8709" width="13.88671875" style="123" customWidth="1"/>
    <col min="8710" max="8710" width="8.33203125" style="123" customWidth="1"/>
    <col min="8711" max="8711" width="13" style="123" customWidth="1"/>
    <col min="8712" max="8712" width="8.109375" style="123" customWidth="1"/>
    <col min="8713" max="8713" width="7.88671875" style="123" customWidth="1"/>
    <col min="8714" max="8714" width="11.109375" style="123" customWidth="1"/>
    <col min="8715" max="8715" width="9.44140625" style="123" customWidth="1"/>
    <col min="8716" max="8716" width="9.5546875" style="123" customWidth="1"/>
    <col min="8717" max="8717" width="10.77734375" style="123" customWidth="1"/>
    <col min="8718" max="8718" width="6.5546875" style="123" customWidth="1"/>
    <col min="8719" max="8719" width="7.5546875" style="123" customWidth="1"/>
    <col min="8720" max="8720" width="10.109375" style="123" customWidth="1"/>
    <col min="8721" max="8721" width="9.44140625" style="123" customWidth="1"/>
    <col min="8722" max="8722" width="11" style="123" customWidth="1"/>
    <col min="8723" max="8723" width="14" style="123" customWidth="1"/>
    <col min="8724" max="8724" width="9.88671875" style="123" customWidth="1"/>
    <col min="8725" max="8728" width="8.88671875" style="123"/>
    <col min="8729" max="8729" width="15" style="123" customWidth="1"/>
    <col min="8730" max="8730" width="6.44140625" style="123" customWidth="1"/>
    <col min="8731" max="8731" width="5.6640625" style="123" customWidth="1"/>
    <col min="8732" max="8732" width="9.109375" style="123" customWidth="1"/>
    <col min="8733" max="8735" width="8.88671875" style="123"/>
    <col min="8736" max="8736" width="11.6640625" style="123" customWidth="1"/>
    <col min="8737" max="8960" width="8.88671875" style="123"/>
    <col min="8961" max="8961" width="6.44140625" style="123" customWidth="1"/>
    <col min="8962" max="8962" width="43.33203125" style="123" customWidth="1"/>
    <col min="8963" max="8963" width="11.109375" style="123" customWidth="1"/>
    <col min="8964" max="8964" width="13.109375" style="123" customWidth="1"/>
    <col min="8965" max="8965" width="13.88671875" style="123" customWidth="1"/>
    <col min="8966" max="8966" width="8.33203125" style="123" customWidth="1"/>
    <col min="8967" max="8967" width="13" style="123" customWidth="1"/>
    <col min="8968" max="8968" width="8.109375" style="123" customWidth="1"/>
    <col min="8969" max="8969" width="7.88671875" style="123" customWidth="1"/>
    <col min="8970" max="8970" width="11.109375" style="123" customWidth="1"/>
    <col min="8971" max="8971" width="9.44140625" style="123" customWidth="1"/>
    <col min="8972" max="8972" width="9.5546875" style="123" customWidth="1"/>
    <col min="8973" max="8973" width="10.77734375" style="123" customWidth="1"/>
    <col min="8974" max="8974" width="6.5546875" style="123" customWidth="1"/>
    <col min="8975" max="8975" width="7.5546875" style="123" customWidth="1"/>
    <col min="8976" max="8976" width="10.109375" style="123" customWidth="1"/>
    <col min="8977" max="8977" width="9.44140625" style="123" customWidth="1"/>
    <col min="8978" max="8978" width="11" style="123" customWidth="1"/>
    <col min="8979" max="8979" width="14" style="123" customWidth="1"/>
    <col min="8980" max="8980" width="9.88671875" style="123" customWidth="1"/>
    <col min="8981" max="8984" width="8.88671875" style="123"/>
    <col min="8985" max="8985" width="15" style="123" customWidth="1"/>
    <col min="8986" max="8986" width="6.44140625" style="123" customWidth="1"/>
    <col min="8987" max="8987" width="5.6640625" style="123" customWidth="1"/>
    <col min="8988" max="8988" width="9.109375" style="123" customWidth="1"/>
    <col min="8989" max="8991" width="8.88671875" style="123"/>
    <col min="8992" max="8992" width="11.6640625" style="123" customWidth="1"/>
    <col min="8993" max="9216" width="8.88671875" style="123"/>
    <col min="9217" max="9217" width="6.44140625" style="123" customWidth="1"/>
    <col min="9218" max="9218" width="43.33203125" style="123" customWidth="1"/>
    <col min="9219" max="9219" width="11.109375" style="123" customWidth="1"/>
    <col min="9220" max="9220" width="13.109375" style="123" customWidth="1"/>
    <col min="9221" max="9221" width="13.88671875" style="123" customWidth="1"/>
    <col min="9222" max="9222" width="8.33203125" style="123" customWidth="1"/>
    <col min="9223" max="9223" width="13" style="123" customWidth="1"/>
    <col min="9224" max="9224" width="8.109375" style="123" customWidth="1"/>
    <col min="9225" max="9225" width="7.88671875" style="123" customWidth="1"/>
    <col min="9226" max="9226" width="11.109375" style="123" customWidth="1"/>
    <col min="9227" max="9227" width="9.44140625" style="123" customWidth="1"/>
    <col min="9228" max="9228" width="9.5546875" style="123" customWidth="1"/>
    <col min="9229" max="9229" width="10.77734375" style="123" customWidth="1"/>
    <col min="9230" max="9230" width="6.5546875" style="123" customWidth="1"/>
    <col min="9231" max="9231" width="7.5546875" style="123" customWidth="1"/>
    <col min="9232" max="9232" width="10.109375" style="123" customWidth="1"/>
    <col min="9233" max="9233" width="9.44140625" style="123" customWidth="1"/>
    <col min="9234" max="9234" width="11" style="123" customWidth="1"/>
    <col min="9235" max="9235" width="14" style="123" customWidth="1"/>
    <col min="9236" max="9236" width="9.88671875" style="123" customWidth="1"/>
    <col min="9237" max="9240" width="8.88671875" style="123"/>
    <col min="9241" max="9241" width="15" style="123" customWidth="1"/>
    <col min="9242" max="9242" width="6.44140625" style="123" customWidth="1"/>
    <col min="9243" max="9243" width="5.6640625" style="123" customWidth="1"/>
    <col min="9244" max="9244" width="9.109375" style="123" customWidth="1"/>
    <col min="9245" max="9247" width="8.88671875" style="123"/>
    <col min="9248" max="9248" width="11.6640625" style="123" customWidth="1"/>
    <col min="9249" max="9472" width="8.88671875" style="123"/>
    <col min="9473" max="9473" width="6.44140625" style="123" customWidth="1"/>
    <col min="9474" max="9474" width="43.33203125" style="123" customWidth="1"/>
    <col min="9475" max="9475" width="11.109375" style="123" customWidth="1"/>
    <col min="9476" max="9476" width="13.109375" style="123" customWidth="1"/>
    <col min="9477" max="9477" width="13.88671875" style="123" customWidth="1"/>
    <col min="9478" max="9478" width="8.33203125" style="123" customWidth="1"/>
    <col min="9479" max="9479" width="13" style="123" customWidth="1"/>
    <col min="9480" max="9480" width="8.109375" style="123" customWidth="1"/>
    <col min="9481" max="9481" width="7.88671875" style="123" customWidth="1"/>
    <col min="9482" max="9482" width="11.109375" style="123" customWidth="1"/>
    <col min="9483" max="9483" width="9.44140625" style="123" customWidth="1"/>
    <col min="9484" max="9484" width="9.5546875" style="123" customWidth="1"/>
    <col min="9485" max="9485" width="10.77734375" style="123" customWidth="1"/>
    <col min="9486" max="9486" width="6.5546875" style="123" customWidth="1"/>
    <col min="9487" max="9487" width="7.5546875" style="123" customWidth="1"/>
    <col min="9488" max="9488" width="10.109375" style="123" customWidth="1"/>
    <col min="9489" max="9489" width="9.44140625" style="123" customWidth="1"/>
    <col min="9490" max="9490" width="11" style="123" customWidth="1"/>
    <col min="9491" max="9491" width="14" style="123" customWidth="1"/>
    <col min="9492" max="9492" width="9.88671875" style="123" customWidth="1"/>
    <col min="9493" max="9496" width="8.88671875" style="123"/>
    <col min="9497" max="9497" width="15" style="123" customWidth="1"/>
    <col min="9498" max="9498" width="6.44140625" style="123" customWidth="1"/>
    <col min="9499" max="9499" width="5.6640625" style="123" customWidth="1"/>
    <col min="9500" max="9500" width="9.109375" style="123" customWidth="1"/>
    <col min="9501" max="9503" width="8.88671875" style="123"/>
    <col min="9504" max="9504" width="11.6640625" style="123" customWidth="1"/>
    <col min="9505" max="9728" width="8.88671875" style="123"/>
    <col min="9729" max="9729" width="6.44140625" style="123" customWidth="1"/>
    <col min="9730" max="9730" width="43.33203125" style="123" customWidth="1"/>
    <col min="9731" max="9731" width="11.109375" style="123" customWidth="1"/>
    <col min="9732" max="9732" width="13.109375" style="123" customWidth="1"/>
    <col min="9733" max="9733" width="13.88671875" style="123" customWidth="1"/>
    <col min="9734" max="9734" width="8.33203125" style="123" customWidth="1"/>
    <col min="9735" max="9735" width="13" style="123" customWidth="1"/>
    <col min="9736" max="9736" width="8.109375" style="123" customWidth="1"/>
    <col min="9737" max="9737" width="7.88671875" style="123" customWidth="1"/>
    <col min="9738" max="9738" width="11.109375" style="123" customWidth="1"/>
    <col min="9739" max="9739" width="9.44140625" style="123" customWidth="1"/>
    <col min="9740" max="9740" width="9.5546875" style="123" customWidth="1"/>
    <col min="9741" max="9741" width="10.77734375" style="123" customWidth="1"/>
    <col min="9742" max="9742" width="6.5546875" style="123" customWidth="1"/>
    <col min="9743" max="9743" width="7.5546875" style="123" customWidth="1"/>
    <col min="9744" max="9744" width="10.109375" style="123" customWidth="1"/>
    <col min="9745" max="9745" width="9.44140625" style="123" customWidth="1"/>
    <col min="9746" max="9746" width="11" style="123" customWidth="1"/>
    <col min="9747" max="9747" width="14" style="123" customWidth="1"/>
    <col min="9748" max="9748" width="9.88671875" style="123" customWidth="1"/>
    <col min="9749" max="9752" width="8.88671875" style="123"/>
    <col min="9753" max="9753" width="15" style="123" customWidth="1"/>
    <col min="9754" max="9754" width="6.44140625" style="123" customWidth="1"/>
    <col min="9755" max="9755" width="5.6640625" style="123" customWidth="1"/>
    <col min="9756" max="9756" width="9.109375" style="123" customWidth="1"/>
    <col min="9757" max="9759" width="8.88671875" style="123"/>
    <col min="9760" max="9760" width="11.6640625" style="123" customWidth="1"/>
    <col min="9761" max="9984" width="8.88671875" style="123"/>
    <col min="9985" max="9985" width="6.44140625" style="123" customWidth="1"/>
    <col min="9986" max="9986" width="43.33203125" style="123" customWidth="1"/>
    <col min="9987" max="9987" width="11.109375" style="123" customWidth="1"/>
    <col min="9988" max="9988" width="13.109375" style="123" customWidth="1"/>
    <col min="9989" max="9989" width="13.88671875" style="123" customWidth="1"/>
    <col min="9990" max="9990" width="8.33203125" style="123" customWidth="1"/>
    <col min="9991" max="9991" width="13" style="123" customWidth="1"/>
    <col min="9992" max="9992" width="8.109375" style="123" customWidth="1"/>
    <col min="9993" max="9993" width="7.88671875" style="123" customWidth="1"/>
    <col min="9994" max="9994" width="11.109375" style="123" customWidth="1"/>
    <col min="9995" max="9995" width="9.44140625" style="123" customWidth="1"/>
    <col min="9996" max="9996" width="9.5546875" style="123" customWidth="1"/>
    <col min="9997" max="9997" width="10.77734375" style="123" customWidth="1"/>
    <col min="9998" max="9998" width="6.5546875" style="123" customWidth="1"/>
    <col min="9999" max="9999" width="7.5546875" style="123" customWidth="1"/>
    <col min="10000" max="10000" width="10.109375" style="123" customWidth="1"/>
    <col min="10001" max="10001" width="9.44140625" style="123" customWidth="1"/>
    <col min="10002" max="10002" width="11" style="123" customWidth="1"/>
    <col min="10003" max="10003" width="14" style="123" customWidth="1"/>
    <col min="10004" max="10004" width="9.88671875" style="123" customWidth="1"/>
    <col min="10005" max="10008" width="8.88671875" style="123"/>
    <col min="10009" max="10009" width="15" style="123" customWidth="1"/>
    <col min="10010" max="10010" width="6.44140625" style="123" customWidth="1"/>
    <col min="10011" max="10011" width="5.6640625" style="123" customWidth="1"/>
    <col min="10012" max="10012" width="9.109375" style="123" customWidth="1"/>
    <col min="10013" max="10015" width="8.88671875" style="123"/>
    <col min="10016" max="10016" width="11.6640625" style="123" customWidth="1"/>
    <col min="10017" max="10240" width="8.88671875" style="123"/>
    <col min="10241" max="10241" width="6.44140625" style="123" customWidth="1"/>
    <col min="10242" max="10242" width="43.33203125" style="123" customWidth="1"/>
    <col min="10243" max="10243" width="11.109375" style="123" customWidth="1"/>
    <col min="10244" max="10244" width="13.109375" style="123" customWidth="1"/>
    <col min="10245" max="10245" width="13.88671875" style="123" customWidth="1"/>
    <col min="10246" max="10246" width="8.33203125" style="123" customWidth="1"/>
    <col min="10247" max="10247" width="13" style="123" customWidth="1"/>
    <col min="10248" max="10248" width="8.109375" style="123" customWidth="1"/>
    <col min="10249" max="10249" width="7.88671875" style="123" customWidth="1"/>
    <col min="10250" max="10250" width="11.109375" style="123" customWidth="1"/>
    <col min="10251" max="10251" width="9.44140625" style="123" customWidth="1"/>
    <col min="10252" max="10252" width="9.5546875" style="123" customWidth="1"/>
    <col min="10253" max="10253" width="10.77734375" style="123" customWidth="1"/>
    <col min="10254" max="10254" width="6.5546875" style="123" customWidth="1"/>
    <col min="10255" max="10255" width="7.5546875" style="123" customWidth="1"/>
    <col min="10256" max="10256" width="10.109375" style="123" customWidth="1"/>
    <col min="10257" max="10257" width="9.44140625" style="123" customWidth="1"/>
    <col min="10258" max="10258" width="11" style="123" customWidth="1"/>
    <col min="10259" max="10259" width="14" style="123" customWidth="1"/>
    <col min="10260" max="10260" width="9.88671875" style="123" customWidth="1"/>
    <col min="10261" max="10264" width="8.88671875" style="123"/>
    <col min="10265" max="10265" width="15" style="123" customWidth="1"/>
    <col min="10266" max="10266" width="6.44140625" style="123" customWidth="1"/>
    <col min="10267" max="10267" width="5.6640625" style="123" customWidth="1"/>
    <col min="10268" max="10268" width="9.109375" style="123" customWidth="1"/>
    <col min="10269" max="10271" width="8.88671875" style="123"/>
    <col min="10272" max="10272" width="11.6640625" style="123" customWidth="1"/>
    <col min="10273" max="10496" width="8.88671875" style="123"/>
    <col min="10497" max="10497" width="6.44140625" style="123" customWidth="1"/>
    <col min="10498" max="10498" width="43.33203125" style="123" customWidth="1"/>
    <col min="10499" max="10499" width="11.109375" style="123" customWidth="1"/>
    <col min="10500" max="10500" width="13.109375" style="123" customWidth="1"/>
    <col min="10501" max="10501" width="13.88671875" style="123" customWidth="1"/>
    <col min="10502" max="10502" width="8.33203125" style="123" customWidth="1"/>
    <col min="10503" max="10503" width="13" style="123" customWidth="1"/>
    <col min="10504" max="10504" width="8.109375" style="123" customWidth="1"/>
    <col min="10505" max="10505" width="7.88671875" style="123" customWidth="1"/>
    <col min="10506" max="10506" width="11.109375" style="123" customWidth="1"/>
    <col min="10507" max="10507" width="9.44140625" style="123" customWidth="1"/>
    <col min="10508" max="10508" width="9.5546875" style="123" customWidth="1"/>
    <col min="10509" max="10509" width="10.77734375" style="123" customWidth="1"/>
    <col min="10510" max="10510" width="6.5546875" style="123" customWidth="1"/>
    <col min="10511" max="10511" width="7.5546875" style="123" customWidth="1"/>
    <col min="10512" max="10512" width="10.109375" style="123" customWidth="1"/>
    <col min="10513" max="10513" width="9.44140625" style="123" customWidth="1"/>
    <col min="10514" max="10514" width="11" style="123" customWidth="1"/>
    <col min="10515" max="10515" width="14" style="123" customWidth="1"/>
    <col min="10516" max="10516" width="9.88671875" style="123" customWidth="1"/>
    <col min="10517" max="10520" width="8.88671875" style="123"/>
    <col min="10521" max="10521" width="15" style="123" customWidth="1"/>
    <col min="10522" max="10522" width="6.44140625" style="123" customWidth="1"/>
    <col min="10523" max="10523" width="5.6640625" style="123" customWidth="1"/>
    <col min="10524" max="10524" width="9.109375" style="123" customWidth="1"/>
    <col min="10525" max="10527" width="8.88671875" style="123"/>
    <col min="10528" max="10528" width="11.6640625" style="123" customWidth="1"/>
    <col min="10529" max="10752" width="8.88671875" style="123"/>
    <col min="10753" max="10753" width="6.44140625" style="123" customWidth="1"/>
    <col min="10754" max="10754" width="43.33203125" style="123" customWidth="1"/>
    <col min="10755" max="10755" width="11.109375" style="123" customWidth="1"/>
    <col min="10756" max="10756" width="13.109375" style="123" customWidth="1"/>
    <col min="10757" max="10757" width="13.88671875" style="123" customWidth="1"/>
    <col min="10758" max="10758" width="8.33203125" style="123" customWidth="1"/>
    <col min="10759" max="10759" width="13" style="123" customWidth="1"/>
    <col min="10760" max="10760" width="8.109375" style="123" customWidth="1"/>
    <col min="10761" max="10761" width="7.88671875" style="123" customWidth="1"/>
    <col min="10762" max="10762" width="11.109375" style="123" customWidth="1"/>
    <col min="10763" max="10763" width="9.44140625" style="123" customWidth="1"/>
    <col min="10764" max="10764" width="9.5546875" style="123" customWidth="1"/>
    <col min="10765" max="10765" width="10.77734375" style="123" customWidth="1"/>
    <col min="10766" max="10766" width="6.5546875" style="123" customWidth="1"/>
    <col min="10767" max="10767" width="7.5546875" style="123" customWidth="1"/>
    <col min="10768" max="10768" width="10.109375" style="123" customWidth="1"/>
    <col min="10769" max="10769" width="9.44140625" style="123" customWidth="1"/>
    <col min="10770" max="10770" width="11" style="123" customWidth="1"/>
    <col min="10771" max="10771" width="14" style="123" customWidth="1"/>
    <col min="10772" max="10772" width="9.88671875" style="123" customWidth="1"/>
    <col min="10773" max="10776" width="8.88671875" style="123"/>
    <col min="10777" max="10777" width="15" style="123" customWidth="1"/>
    <col min="10778" max="10778" width="6.44140625" style="123" customWidth="1"/>
    <col min="10779" max="10779" width="5.6640625" style="123" customWidth="1"/>
    <col min="10780" max="10780" width="9.109375" style="123" customWidth="1"/>
    <col min="10781" max="10783" width="8.88671875" style="123"/>
    <col min="10784" max="10784" width="11.6640625" style="123" customWidth="1"/>
    <col min="10785" max="11008" width="8.88671875" style="123"/>
    <col min="11009" max="11009" width="6.44140625" style="123" customWidth="1"/>
    <col min="11010" max="11010" width="43.33203125" style="123" customWidth="1"/>
    <col min="11011" max="11011" width="11.109375" style="123" customWidth="1"/>
    <col min="11012" max="11012" width="13.109375" style="123" customWidth="1"/>
    <col min="11013" max="11013" width="13.88671875" style="123" customWidth="1"/>
    <col min="11014" max="11014" width="8.33203125" style="123" customWidth="1"/>
    <col min="11015" max="11015" width="13" style="123" customWidth="1"/>
    <col min="11016" max="11016" width="8.109375" style="123" customWidth="1"/>
    <col min="11017" max="11017" width="7.88671875" style="123" customWidth="1"/>
    <col min="11018" max="11018" width="11.109375" style="123" customWidth="1"/>
    <col min="11019" max="11019" width="9.44140625" style="123" customWidth="1"/>
    <col min="11020" max="11020" width="9.5546875" style="123" customWidth="1"/>
    <col min="11021" max="11021" width="10.77734375" style="123" customWidth="1"/>
    <col min="11022" max="11022" width="6.5546875" style="123" customWidth="1"/>
    <col min="11023" max="11023" width="7.5546875" style="123" customWidth="1"/>
    <col min="11024" max="11024" width="10.109375" style="123" customWidth="1"/>
    <col min="11025" max="11025" width="9.44140625" style="123" customWidth="1"/>
    <col min="11026" max="11026" width="11" style="123" customWidth="1"/>
    <col min="11027" max="11027" width="14" style="123" customWidth="1"/>
    <col min="11028" max="11028" width="9.88671875" style="123" customWidth="1"/>
    <col min="11029" max="11032" width="8.88671875" style="123"/>
    <col min="11033" max="11033" width="15" style="123" customWidth="1"/>
    <col min="11034" max="11034" width="6.44140625" style="123" customWidth="1"/>
    <col min="11035" max="11035" width="5.6640625" style="123" customWidth="1"/>
    <col min="11036" max="11036" width="9.109375" style="123" customWidth="1"/>
    <col min="11037" max="11039" width="8.88671875" style="123"/>
    <col min="11040" max="11040" width="11.6640625" style="123" customWidth="1"/>
    <col min="11041" max="11264" width="8.88671875" style="123"/>
    <col min="11265" max="11265" width="6.44140625" style="123" customWidth="1"/>
    <col min="11266" max="11266" width="43.33203125" style="123" customWidth="1"/>
    <col min="11267" max="11267" width="11.109375" style="123" customWidth="1"/>
    <col min="11268" max="11268" width="13.109375" style="123" customWidth="1"/>
    <col min="11269" max="11269" width="13.88671875" style="123" customWidth="1"/>
    <col min="11270" max="11270" width="8.33203125" style="123" customWidth="1"/>
    <col min="11271" max="11271" width="13" style="123" customWidth="1"/>
    <col min="11272" max="11272" width="8.109375" style="123" customWidth="1"/>
    <col min="11273" max="11273" width="7.88671875" style="123" customWidth="1"/>
    <col min="11274" max="11274" width="11.109375" style="123" customWidth="1"/>
    <col min="11275" max="11275" width="9.44140625" style="123" customWidth="1"/>
    <col min="11276" max="11276" width="9.5546875" style="123" customWidth="1"/>
    <col min="11277" max="11277" width="10.77734375" style="123" customWidth="1"/>
    <col min="11278" max="11278" width="6.5546875" style="123" customWidth="1"/>
    <col min="11279" max="11279" width="7.5546875" style="123" customWidth="1"/>
    <col min="11280" max="11280" width="10.109375" style="123" customWidth="1"/>
    <col min="11281" max="11281" width="9.44140625" style="123" customWidth="1"/>
    <col min="11282" max="11282" width="11" style="123" customWidth="1"/>
    <col min="11283" max="11283" width="14" style="123" customWidth="1"/>
    <col min="11284" max="11284" width="9.88671875" style="123" customWidth="1"/>
    <col min="11285" max="11288" width="8.88671875" style="123"/>
    <col min="11289" max="11289" width="15" style="123" customWidth="1"/>
    <col min="11290" max="11290" width="6.44140625" style="123" customWidth="1"/>
    <col min="11291" max="11291" width="5.6640625" style="123" customWidth="1"/>
    <col min="11292" max="11292" width="9.109375" style="123" customWidth="1"/>
    <col min="11293" max="11295" width="8.88671875" style="123"/>
    <col min="11296" max="11296" width="11.6640625" style="123" customWidth="1"/>
    <col min="11297" max="11520" width="8.88671875" style="123"/>
    <col min="11521" max="11521" width="6.44140625" style="123" customWidth="1"/>
    <col min="11522" max="11522" width="43.33203125" style="123" customWidth="1"/>
    <col min="11523" max="11523" width="11.109375" style="123" customWidth="1"/>
    <col min="11524" max="11524" width="13.109375" style="123" customWidth="1"/>
    <col min="11525" max="11525" width="13.88671875" style="123" customWidth="1"/>
    <col min="11526" max="11526" width="8.33203125" style="123" customWidth="1"/>
    <col min="11527" max="11527" width="13" style="123" customWidth="1"/>
    <col min="11528" max="11528" width="8.109375" style="123" customWidth="1"/>
    <col min="11529" max="11529" width="7.88671875" style="123" customWidth="1"/>
    <col min="11530" max="11530" width="11.109375" style="123" customWidth="1"/>
    <col min="11531" max="11531" width="9.44140625" style="123" customWidth="1"/>
    <col min="11532" max="11532" width="9.5546875" style="123" customWidth="1"/>
    <col min="11533" max="11533" width="10.77734375" style="123" customWidth="1"/>
    <col min="11534" max="11534" width="6.5546875" style="123" customWidth="1"/>
    <col min="11535" max="11535" width="7.5546875" style="123" customWidth="1"/>
    <col min="11536" max="11536" width="10.109375" style="123" customWidth="1"/>
    <col min="11537" max="11537" width="9.44140625" style="123" customWidth="1"/>
    <col min="11538" max="11538" width="11" style="123" customWidth="1"/>
    <col min="11539" max="11539" width="14" style="123" customWidth="1"/>
    <col min="11540" max="11540" width="9.88671875" style="123" customWidth="1"/>
    <col min="11541" max="11544" width="8.88671875" style="123"/>
    <col min="11545" max="11545" width="15" style="123" customWidth="1"/>
    <col min="11546" max="11546" width="6.44140625" style="123" customWidth="1"/>
    <col min="11547" max="11547" width="5.6640625" style="123" customWidth="1"/>
    <col min="11548" max="11548" width="9.109375" style="123" customWidth="1"/>
    <col min="11549" max="11551" width="8.88671875" style="123"/>
    <col min="11552" max="11552" width="11.6640625" style="123" customWidth="1"/>
    <col min="11553" max="11776" width="8.88671875" style="123"/>
    <col min="11777" max="11777" width="6.44140625" style="123" customWidth="1"/>
    <col min="11778" max="11778" width="43.33203125" style="123" customWidth="1"/>
    <col min="11779" max="11779" width="11.109375" style="123" customWidth="1"/>
    <col min="11780" max="11780" width="13.109375" style="123" customWidth="1"/>
    <col min="11781" max="11781" width="13.88671875" style="123" customWidth="1"/>
    <col min="11782" max="11782" width="8.33203125" style="123" customWidth="1"/>
    <col min="11783" max="11783" width="13" style="123" customWidth="1"/>
    <col min="11784" max="11784" width="8.109375" style="123" customWidth="1"/>
    <col min="11785" max="11785" width="7.88671875" style="123" customWidth="1"/>
    <col min="11786" max="11786" width="11.109375" style="123" customWidth="1"/>
    <col min="11787" max="11787" width="9.44140625" style="123" customWidth="1"/>
    <col min="11788" max="11788" width="9.5546875" style="123" customWidth="1"/>
    <col min="11789" max="11789" width="10.77734375" style="123" customWidth="1"/>
    <col min="11790" max="11790" width="6.5546875" style="123" customWidth="1"/>
    <col min="11791" max="11791" width="7.5546875" style="123" customWidth="1"/>
    <col min="11792" max="11792" width="10.109375" style="123" customWidth="1"/>
    <col min="11793" max="11793" width="9.44140625" style="123" customWidth="1"/>
    <col min="11794" max="11794" width="11" style="123" customWidth="1"/>
    <col min="11795" max="11795" width="14" style="123" customWidth="1"/>
    <col min="11796" max="11796" width="9.88671875" style="123" customWidth="1"/>
    <col min="11797" max="11800" width="8.88671875" style="123"/>
    <col min="11801" max="11801" width="15" style="123" customWidth="1"/>
    <col min="11802" max="11802" width="6.44140625" style="123" customWidth="1"/>
    <col min="11803" max="11803" width="5.6640625" style="123" customWidth="1"/>
    <col min="11804" max="11804" width="9.109375" style="123" customWidth="1"/>
    <col min="11805" max="11807" width="8.88671875" style="123"/>
    <col min="11808" max="11808" width="11.6640625" style="123" customWidth="1"/>
    <col min="11809" max="12032" width="8.88671875" style="123"/>
    <col min="12033" max="12033" width="6.44140625" style="123" customWidth="1"/>
    <col min="12034" max="12034" width="43.33203125" style="123" customWidth="1"/>
    <col min="12035" max="12035" width="11.109375" style="123" customWidth="1"/>
    <col min="12036" max="12036" width="13.109375" style="123" customWidth="1"/>
    <col min="12037" max="12037" width="13.88671875" style="123" customWidth="1"/>
    <col min="12038" max="12038" width="8.33203125" style="123" customWidth="1"/>
    <col min="12039" max="12039" width="13" style="123" customWidth="1"/>
    <col min="12040" max="12040" width="8.109375" style="123" customWidth="1"/>
    <col min="12041" max="12041" width="7.88671875" style="123" customWidth="1"/>
    <col min="12042" max="12042" width="11.109375" style="123" customWidth="1"/>
    <col min="12043" max="12043" width="9.44140625" style="123" customWidth="1"/>
    <col min="12044" max="12044" width="9.5546875" style="123" customWidth="1"/>
    <col min="12045" max="12045" width="10.77734375" style="123" customWidth="1"/>
    <col min="12046" max="12046" width="6.5546875" style="123" customWidth="1"/>
    <col min="12047" max="12047" width="7.5546875" style="123" customWidth="1"/>
    <col min="12048" max="12048" width="10.109375" style="123" customWidth="1"/>
    <col min="12049" max="12049" width="9.44140625" style="123" customWidth="1"/>
    <col min="12050" max="12050" width="11" style="123" customWidth="1"/>
    <col min="12051" max="12051" width="14" style="123" customWidth="1"/>
    <col min="12052" max="12052" width="9.88671875" style="123" customWidth="1"/>
    <col min="12053" max="12056" width="8.88671875" style="123"/>
    <col min="12057" max="12057" width="15" style="123" customWidth="1"/>
    <col min="12058" max="12058" width="6.44140625" style="123" customWidth="1"/>
    <col min="12059" max="12059" width="5.6640625" style="123" customWidth="1"/>
    <col min="12060" max="12060" width="9.109375" style="123" customWidth="1"/>
    <col min="12061" max="12063" width="8.88671875" style="123"/>
    <col min="12064" max="12064" width="11.6640625" style="123" customWidth="1"/>
    <col min="12065" max="12288" width="8.88671875" style="123"/>
    <col min="12289" max="12289" width="6.44140625" style="123" customWidth="1"/>
    <col min="12290" max="12290" width="43.33203125" style="123" customWidth="1"/>
    <col min="12291" max="12291" width="11.109375" style="123" customWidth="1"/>
    <col min="12292" max="12292" width="13.109375" style="123" customWidth="1"/>
    <col min="12293" max="12293" width="13.88671875" style="123" customWidth="1"/>
    <col min="12294" max="12294" width="8.33203125" style="123" customWidth="1"/>
    <col min="12295" max="12295" width="13" style="123" customWidth="1"/>
    <col min="12296" max="12296" width="8.109375" style="123" customWidth="1"/>
    <col min="12297" max="12297" width="7.88671875" style="123" customWidth="1"/>
    <col min="12298" max="12298" width="11.109375" style="123" customWidth="1"/>
    <col min="12299" max="12299" width="9.44140625" style="123" customWidth="1"/>
    <col min="12300" max="12300" width="9.5546875" style="123" customWidth="1"/>
    <col min="12301" max="12301" width="10.77734375" style="123" customWidth="1"/>
    <col min="12302" max="12302" width="6.5546875" style="123" customWidth="1"/>
    <col min="12303" max="12303" width="7.5546875" style="123" customWidth="1"/>
    <col min="12304" max="12304" width="10.109375" style="123" customWidth="1"/>
    <col min="12305" max="12305" width="9.44140625" style="123" customWidth="1"/>
    <col min="12306" max="12306" width="11" style="123" customWidth="1"/>
    <col min="12307" max="12307" width="14" style="123" customWidth="1"/>
    <col min="12308" max="12308" width="9.88671875" style="123" customWidth="1"/>
    <col min="12309" max="12312" width="8.88671875" style="123"/>
    <col min="12313" max="12313" width="15" style="123" customWidth="1"/>
    <col min="12314" max="12314" width="6.44140625" style="123" customWidth="1"/>
    <col min="12315" max="12315" width="5.6640625" style="123" customWidth="1"/>
    <col min="12316" max="12316" width="9.109375" style="123" customWidth="1"/>
    <col min="12317" max="12319" width="8.88671875" style="123"/>
    <col min="12320" max="12320" width="11.6640625" style="123" customWidth="1"/>
    <col min="12321" max="12544" width="8.88671875" style="123"/>
    <col min="12545" max="12545" width="6.44140625" style="123" customWidth="1"/>
    <col min="12546" max="12546" width="43.33203125" style="123" customWidth="1"/>
    <col min="12547" max="12547" width="11.109375" style="123" customWidth="1"/>
    <col min="12548" max="12548" width="13.109375" style="123" customWidth="1"/>
    <col min="12549" max="12549" width="13.88671875" style="123" customWidth="1"/>
    <col min="12550" max="12550" width="8.33203125" style="123" customWidth="1"/>
    <col min="12551" max="12551" width="13" style="123" customWidth="1"/>
    <col min="12552" max="12552" width="8.109375" style="123" customWidth="1"/>
    <col min="12553" max="12553" width="7.88671875" style="123" customWidth="1"/>
    <col min="12554" max="12554" width="11.109375" style="123" customWidth="1"/>
    <col min="12555" max="12555" width="9.44140625" style="123" customWidth="1"/>
    <col min="12556" max="12556" width="9.5546875" style="123" customWidth="1"/>
    <col min="12557" max="12557" width="10.77734375" style="123" customWidth="1"/>
    <col min="12558" max="12558" width="6.5546875" style="123" customWidth="1"/>
    <col min="12559" max="12559" width="7.5546875" style="123" customWidth="1"/>
    <col min="12560" max="12560" width="10.109375" style="123" customWidth="1"/>
    <col min="12561" max="12561" width="9.44140625" style="123" customWidth="1"/>
    <col min="12562" max="12562" width="11" style="123" customWidth="1"/>
    <col min="12563" max="12563" width="14" style="123" customWidth="1"/>
    <col min="12564" max="12564" width="9.88671875" style="123" customWidth="1"/>
    <col min="12565" max="12568" width="8.88671875" style="123"/>
    <col min="12569" max="12569" width="15" style="123" customWidth="1"/>
    <col min="12570" max="12570" width="6.44140625" style="123" customWidth="1"/>
    <col min="12571" max="12571" width="5.6640625" style="123" customWidth="1"/>
    <col min="12572" max="12572" width="9.109375" style="123" customWidth="1"/>
    <col min="12573" max="12575" width="8.88671875" style="123"/>
    <col min="12576" max="12576" width="11.6640625" style="123" customWidth="1"/>
    <col min="12577" max="12800" width="8.88671875" style="123"/>
    <col min="12801" max="12801" width="6.44140625" style="123" customWidth="1"/>
    <col min="12802" max="12802" width="43.33203125" style="123" customWidth="1"/>
    <col min="12803" max="12803" width="11.109375" style="123" customWidth="1"/>
    <col min="12804" max="12804" width="13.109375" style="123" customWidth="1"/>
    <col min="12805" max="12805" width="13.88671875" style="123" customWidth="1"/>
    <col min="12806" max="12806" width="8.33203125" style="123" customWidth="1"/>
    <col min="12807" max="12807" width="13" style="123" customWidth="1"/>
    <col min="12808" max="12808" width="8.109375" style="123" customWidth="1"/>
    <col min="12809" max="12809" width="7.88671875" style="123" customWidth="1"/>
    <col min="12810" max="12810" width="11.109375" style="123" customWidth="1"/>
    <col min="12811" max="12811" width="9.44140625" style="123" customWidth="1"/>
    <col min="12812" max="12812" width="9.5546875" style="123" customWidth="1"/>
    <col min="12813" max="12813" width="10.77734375" style="123" customWidth="1"/>
    <col min="12814" max="12814" width="6.5546875" style="123" customWidth="1"/>
    <col min="12815" max="12815" width="7.5546875" style="123" customWidth="1"/>
    <col min="12816" max="12816" width="10.109375" style="123" customWidth="1"/>
    <col min="12817" max="12817" width="9.44140625" style="123" customWidth="1"/>
    <col min="12818" max="12818" width="11" style="123" customWidth="1"/>
    <col min="12819" max="12819" width="14" style="123" customWidth="1"/>
    <col min="12820" max="12820" width="9.88671875" style="123" customWidth="1"/>
    <col min="12821" max="12824" width="8.88671875" style="123"/>
    <col min="12825" max="12825" width="15" style="123" customWidth="1"/>
    <col min="12826" max="12826" width="6.44140625" style="123" customWidth="1"/>
    <col min="12827" max="12827" width="5.6640625" style="123" customWidth="1"/>
    <col min="12828" max="12828" width="9.109375" style="123" customWidth="1"/>
    <col min="12829" max="12831" width="8.88671875" style="123"/>
    <col min="12832" max="12832" width="11.6640625" style="123" customWidth="1"/>
    <col min="12833" max="13056" width="8.88671875" style="123"/>
    <col min="13057" max="13057" width="6.44140625" style="123" customWidth="1"/>
    <col min="13058" max="13058" width="43.33203125" style="123" customWidth="1"/>
    <col min="13059" max="13059" width="11.109375" style="123" customWidth="1"/>
    <col min="13060" max="13060" width="13.109375" style="123" customWidth="1"/>
    <col min="13061" max="13061" width="13.88671875" style="123" customWidth="1"/>
    <col min="13062" max="13062" width="8.33203125" style="123" customWidth="1"/>
    <col min="13063" max="13063" width="13" style="123" customWidth="1"/>
    <col min="13064" max="13064" width="8.109375" style="123" customWidth="1"/>
    <col min="13065" max="13065" width="7.88671875" style="123" customWidth="1"/>
    <col min="13066" max="13066" width="11.109375" style="123" customWidth="1"/>
    <col min="13067" max="13067" width="9.44140625" style="123" customWidth="1"/>
    <col min="13068" max="13068" width="9.5546875" style="123" customWidth="1"/>
    <col min="13069" max="13069" width="10.77734375" style="123" customWidth="1"/>
    <col min="13070" max="13070" width="6.5546875" style="123" customWidth="1"/>
    <col min="13071" max="13071" width="7.5546875" style="123" customWidth="1"/>
    <col min="13072" max="13072" width="10.109375" style="123" customWidth="1"/>
    <col min="13073" max="13073" width="9.44140625" style="123" customWidth="1"/>
    <col min="13074" max="13074" width="11" style="123" customWidth="1"/>
    <col min="13075" max="13075" width="14" style="123" customWidth="1"/>
    <col min="13076" max="13076" width="9.88671875" style="123" customWidth="1"/>
    <col min="13077" max="13080" width="8.88671875" style="123"/>
    <col min="13081" max="13081" width="15" style="123" customWidth="1"/>
    <col min="13082" max="13082" width="6.44140625" style="123" customWidth="1"/>
    <col min="13083" max="13083" width="5.6640625" style="123" customWidth="1"/>
    <col min="13084" max="13084" width="9.109375" style="123" customWidth="1"/>
    <col min="13085" max="13087" width="8.88671875" style="123"/>
    <col min="13088" max="13088" width="11.6640625" style="123" customWidth="1"/>
    <col min="13089" max="13312" width="8.88671875" style="123"/>
    <col min="13313" max="13313" width="6.44140625" style="123" customWidth="1"/>
    <col min="13314" max="13314" width="43.33203125" style="123" customWidth="1"/>
    <col min="13315" max="13315" width="11.109375" style="123" customWidth="1"/>
    <col min="13316" max="13316" width="13.109375" style="123" customWidth="1"/>
    <col min="13317" max="13317" width="13.88671875" style="123" customWidth="1"/>
    <col min="13318" max="13318" width="8.33203125" style="123" customWidth="1"/>
    <col min="13319" max="13319" width="13" style="123" customWidth="1"/>
    <col min="13320" max="13320" width="8.109375" style="123" customWidth="1"/>
    <col min="13321" max="13321" width="7.88671875" style="123" customWidth="1"/>
    <col min="13322" max="13322" width="11.109375" style="123" customWidth="1"/>
    <col min="13323" max="13323" width="9.44140625" style="123" customWidth="1"/>
    <col min="13324" max="13324" width="9.5546875" style="123" customWidth="1"/>
    <col min="13325" max="13325" width="10.77734375" style="123" customWidth="1"/>
    <col min="13326" max="13326" width="6.5546875" style="123" customWidth="1"/>
    <col min="13327" max="13327" width="7.5546875" style="123" customWidth="1"/>
    <col min="13328" max="13328" width="10.109375" style="123" customWidth="1"/>
    <col min="13329" max="13329" width="9.44140625" style="123" customWidth="1"/>
    <col min="13330" max="13330" width="11" style="123" customWidth="1"/>
    <col min="13331" max="13331" width="14" style="123" customWidth="1"/>
    <col min="13332" max="13332" width="9.88671875" style="123" customWidth="1"/>
    <col min="13333" max="13336" width="8.88671875" style="123"/>
    <col min="13337" max="13337" width="15" style="123" customWidth="1"/>
    <col min="13338" max="13338" width="6.44140625" style="123" customWidth="1"/>
    <col min="13339" max="13339" width="5.6640625" style="123" customWidth="1"/>
    <col min="13340" max="13340" width="9.109375" style="123" customWidth="1"/>
    <col min="13341" max="13343" width="8.88671875" style="123"/>
    <col min="13344" max="13344" width="11.6640625" style="123" customWidth="1"/>
    <col min="13345" max="13568" width="8.88671875" style="123"/>
    <col min="13569" max="13569" width="6.44140625" style="123" customWidth="1"/>
    <col min="13570" max="13570" width="43.33203125" style="123" customWidth="1"/>
    <col min="13571" max="13571" width="11.109375" style="123" customWidth="1"/>
    <col min="13572" max="13572" width="13.109375" style="123" customWidth="1"/>
    <col min="13573" max="13573" width="13.88671875" style="123" customWidth="1"/>
    <col min="13574" max="13574" width="8.33203125" style="123" customWidth="1"/>
    <col min="13575" max="13575" width="13" style="123" customWidth="1"/>
    <col min="13576" max="13576" width="8.109375" style="123" customWidth="1"/>
    <col min="13577" max="13577" width="7.88671875" style="123" customWidth="1"/>
    <col min="13578" max="13578" width="11.109375" style="123" customWidth="1"/>
    <col min="13579" max="13579" width="9.44140625" style="123" customWidth="1"/>
    <col min="13580" max="13580" width="9.5546875" style="123" customWidth="1"/>
    <col min="13581" max="13581" width="10.77734375" style="123" customWidth="1"/>
    <col min="13582" max="13582" width="6.5546875" style="123" customWidth="1"/>
    <col min="13583" max="13583" width="7.5546875" style="123" customWidth="1"/>
    <col min="13584" max="13584" width="10.109375" style="123" customWidth="1"/>
    <col min="13585" max="13585" width="9.44140625" style="123" customWidth="1"/>
    <col min="13586" max="13586" width="11" style="123" customWidth="1"/>
    <col min="13587" max="13587" width="14" style="123" customWidth="1"/>
    <col min="13588" max="13588" width="9.88671875" style="123" customWidth="1"/>
    <col min="13589" max="13592" width="8.88671875" style="123"/>
    <col min="13593" max="13593" width="15" style="123" customWidth="1"/>
    <col min="13594" max="13594" width="6.44140625" style="123" customWidth="1"/>
    <col min="13595" max="13595" width="5.6640625" style="123" customWidth="1"/>
    <col min="13596" max="13596" width="9.109375" style="123" customWidth="1"/>
    <col min="13597" max="13599" width="8.88671875" style="123"/>
    <col min="13600" max="13600" width="11.6640625" style="123" customWidth="1"/>
    <col min="13601" max="13824" width="8.88671875" style="123"/>
    <col min="13825" max="13825" width="6.44140625" style="123" customWidth="1"/>
    <col min="13826" max="13826" width="43.33203125" style="123" customWidth="1"/>
    <col min="13827" max="13827" width="11.109375" style="123" customWidth="1"/>
    <col min="13828" max="13828" width="13.109375" style="123" customWidth="1"/>
    <col min="13829" max="13829" width="13.88671875" style="123" customWidth="1"/>
    <col min="13830" max="13830" width="8.33203125" style="123" customWidth="1"/>
    <col min="13831" max="13831" width="13" style="123" customWidth="1"/>
    <col min="13832" max="13832" width="8.109375" style="123" customWidth="1"/>
    <col min="13833" max="13833" width="7.88671875" style="123" customWidth="1"/>
    <col min="13834" max="13834" width="11.109375" style="123" customWidth="1"/>
    <col min="13835" max="13835" width="9.44140625" style="123" customWidth="1"/>
    <col min="13836" max="13836" width="9.5546875" style="123" customWidth="1"/>
    <col min="13837" max="13837" width="10.77734375" style="123" customWidth="1"/>
    <col min="13838" max="13838" width="6.5546875" style="123" customWidth="1"/>
    <col min="13839" max="13839" width="7.5546875" style="123" customWidth="1"/>
    <col min="13840" max="13840" width="10.109375" style="123" customWidth="1"/>
    <col min="13841" max="13841" width="9.44140625" style="123" customWidth="1"/>
    <col min="13842" max="13842" width="11" style="123" customWidth="1"/>
    <col min="13843" max="13843" width="14" style="123" customWidth="1"/>
    <col min="13844" max="13844" width="9.88671875" style="123" customWidth="1"/>
    <col min="13845" max="13848" width="8.88671875" style="123"/>
    <col min="13849" max="13849" width="15" style="123" customWidth="1"/>
    <col min="13850" max="13850" width="6.44140625" style="123" customWidth="1"/>
    <col min="13851" max="13851" width="5.6640625" style="123" customWidth="1"/>
    <col min="13852" max="13852" width="9.109375" style="123" customWidth="1"/>
    <col min="13853" max="13855" width="8.88671875" style="123"/>
    <col min="13856" max="13856" width="11.6640625" style="123" customWidth="1"/>
    <col min="13857" max="14080" width="8.88671875" style="123"/>
    <col min="14081" max="14081" width="6.44140625" style="123" customWidth="1"/>
    <col min="14082" max="14082" width="43.33203125" style="123" customWidth="1"/>
    <col min="14083" max="14083" width="11.109375" style="123" customWidth="1"/>
    <col min="14084" max="14084" width="13.109375" style="123" customWidth="1"/>
    <col min="14085" max="14085" width="13.88671875" style="123" customWidth="1"/>
    <col min="14086" max="14086" width="8.33203125" style="123" customWidth="1"/>
    <col min="14087" max="14087" width="13" style="123" customWidth="1"/>
    <col min="14088" max="14088" width="8.109375" style="123" customWidth="1"/>
    <col min="14089" max="14089" width="7.88671875" style="123" customWidth="1"/>
    <col min="14090" max="14090" width="11.109375" style="123" customWidth="1"/>
    <col min="14091" max="14091" width="9.44140625" style="123" customWidth="1"/>
    <col min="14092" max="14092" width="9.5546875" style="123" customWidth="1"/>
    <col min="14093" max="14093" width="10.77734375" style="123" customWidth="1"/>
    <col min="14094" max="14094" width="6.5546875" style="123" customWidth="1"/>
    <col min="14095" max="14095" width="7.5546875" style="123" customWidth="1"/>
    <col min="14096" max="14096" width="10.109375" style="123" customWidth="1"/>
    <col min="14097" max="14097" width="9.44140625" style="123" customWidth="1"/>
    <col min="14098" max="14098" width="11" style="123" customWidth="1"/>
    <col min="14099" max="14099" width="14" style="123" customWidth="1"/>
    <col min="14100" max="14100" width="9.88671875" style="123" customWidth="1"/>
    <col min="14101" max="14104" width="8.88671875" style="123"/>
    <col min="14105" max="14105" width="15" style="123" customWidth="1"/>
    <col min="14106" max="14106" width="6.44140625" style="123" customWidth="1"/>
    <col min="14107" max="14107" width="5.6640625" style="123" customWidth="1"/>
    <col min="14108" max="14108" width="9.109375" style="123" customWidth="1"/>
    <col min="14109" max="14111" width="8.88671875" style="123"/>
    <col min="14112" max="14112" width="11.6640625" style="123" customWidth="1"/>
    <col min="14113" max="14336" width="8.88671875" style="123"/>
    <col min="14337" max="14337" width="6.44140625" style="123" customWidth="1"/>
    <col min="14338" max="14338" width="43.33203125" style="123" customWidth="1"/>
    <col min="14339" max="14339" width="11.109375" style="123" customWidth="1"/>
    <col min="14340" max="14340" width="13.109375" style="123" customWidth="1"/>
    <col min="14341" max="14341" width="13.88671875" style="123" customWidth="1"/>
    <col min="14342" max="14342" width="8.33203125" style="123" customWidth="1"/>
    <col min="14343" max="14343" width="13" style="123" customWidth="1"/>
    <col min="14344" max="14344" width="8.109375" style="123" customWidth="1"/>
    <col min="14345" max="14345" width="7.88671875" style="123" customWidth="1"/>
    <col min="14346" max="14346" width="11.109375" style="123" customWidth="1"/>
    <col min="14347" max="14347" width="9.44140625" style="123" customWidth="1"/>
    <col min="14348" max="14348" width="9.5546875" style="123" customWidth="1"/>
    <col min="14349" max="14349" width="10.77734375" style="123" customWidth="1"/>
    <col min="14350" max="14350" width="6.5546875" style="123" customWidth="1"/>
    <col min="14351" max="14351" width="7.5546875" style="123" customWidth="1"/>
    <col min="14352" max="14352" width="10.109375" style="123" customWidth="1"/>
    <col min="14353" max="14353" width="9.44140625" style="123" customWidth="1"/>
    <col min="14354" max="14354" width="11" style="123" customWidth="1"/>
    <col min="14355" max="14355" width="14" style="123" customWidth="1"/>
    <col min="14356" max="14356" width="9.88671875" style="123" customWidth="1"/>
    <col min="14357" max="14360" width="8.88671875" style="123"/>
    <col min="14361" max="14361" width="15" style="123" customWidth="1"/>
    <col min="14362" max="14362" width="6.44140625" style="123" customWidth="1"/>
    <col min="14363" max="14363" width="5.6640625" style="123" customWidth="1"/>
    <col min="14364" max="14364" width="9.109375" style="123" customWidth="1"/>
    <col min="14365" max="14367" width="8.88671875" style="123"/>
    <col min="14368" max="14368" width="11.6640625" style="123" customWidth="1"/>
    <col min="14369" max="14592" width="8.88671875" style="123"/>
    <col min="14593" max="14593" width="6.44140625" style="123" customWidth="1"/>
    <col min="14594" max="14594" width="43.33203125" style="123" customWidth="1"/>
    <col min="14595" max="14595" width="11.109375" style="123" customWidth="1"/>
    <col min="14596" max="14596" width="13.109375" style="123" customWidth="1"/>
    <col min="14597" max="14597" width="13.88671875" style="123" customWidth="1"/>
    <col min="14598" max="14598" width="8.33203125" style="123" customWidth="1"/>
    <col min="14599" max="14599" width="13" style="123" customWidth="1"/>
    <col min="14600" max="14600" width="8.109375" style="123" customWidth="1"/>
    <col min="14601" max="14601" width="7.88671875" style="123" customWidth="1"/>
    <col min="14602" max="14602" width="11.109375" style="123" customWidth="1"/>
    <col min="14603" max="14603" width="9.44140625" style="123" customWidth="1"/>
    <col min="14604" max="14604" width="9.5546875" style="123" customWidth="1"/>
    <col min="14605" max="14605" width="10.77734375" style="123" customWidth="1"/>
    <col min="14606" max="14606" width="6.5546875" style="123" customWidth="1"/>
    <col min="14607" max="14607" width="7.5546875" style="123" customWidth="1"/>
    <col min="14608" max="14608" width="10.109375" style="123" customWidth="1"/>
    <col min="14609" max="14609" width="9.44140625" style="123" customWidth="1"/>
    <col min="14610" max="14610" width="11" style="123" customWidth="1"/>
    <col min="14611" max="14611" width="14" style="123" customWidth="1"/>
    <col min="14612" max="14612" width="9.88671875" style="123" customWidth="1"/>
    <col min="14613" max="14616" width="8.88671875" style="123"/>
    <col min="14617" max="14617" width="15" style="123" customWidth="1"/>
    <col min="14618" max="14618" width="6.44140625" style="123" customWidth="1"/>
    <col min="14619" max="14619" width="5.6640625" style="123" customWidth="1"/>
    <col min="14620" max="14620" width="9.109375" style="123" customWidth="1"/>
    <col min="14621" max="14623" width="8.88671875" style="123"/>
    <col min="14624" max="14624" width="11.6640625" style="123" customWidth="1"/>
    <col min="14625" max="14848" width="8.88671875" style="123"/>
    <col min="14849" max="14849" width="6.44140625" style="123" customWidth="1"/>
    <col min="14850" max="14850" width="43.33203125" style="123" customWidth="1"/>
    <col min="14851" max="14851" width="11.109375" style="123" customWidth="1"/>
    <col min="14852" max="14852" width="13.109375" style="123" customWidth="1"/>
    <col min="14853" max="14853" width="13.88671875" style="123" customWidth="1"/>
    <col min="14854" max="14854" width="8.33203125" style="123" customWidth="1"/>
    <col min="14855" max="14855" width="13" style="123" customWidth="1"/>
    <col min="14856" max="14856" width="8.109375" style="123" customWidth="1"/>
    <col min="14857" max="14857" width="7.88671875" style="123" customWidth="1"/>
    <col min="14858" max="14858" width="11.109375" style="123" customWidth="1"/>
    <col min="14859" max="14859" width="9.44140625" style="123" customWidth="1"/>
    <col min="14860" max="14860" width="9.5546875" style="123" customWidth="1"/>
    <col min="14861" max="14861" width="10.77734375" style="123" customWidth="1"/>
    <col min="14862" max="14862" width="6.5546875" style="123" customWidth="1"/>
    <col min="14863" max="14863" width="7.5546875" style="123" customWidth="1"/>
    <col min="14864" max="14864" width="10.109375" style="123" customWidth="1"/>
    <col min="14865" max="14865" width="9.44140625" style="123" customWidth="1"/>
    <col min="14866" max="14866" width="11" style="123" customWidth="1"/>
    <col min="14867" max="14867" width="14" style="123" customWidth="1"/>
    <col min="14868" max="14868" width="9.88671875" style="123" customWidth="1"/>
    <col min="14869" max="14872" width="8.88671875" style="123"/>
    <col min="14873" max="14873" width="15" style="123" customWidth="1"/>
    <col min="14874" max="14874" width="6.44140625" style="123" customWidth="1"/>
    <col min="14875" max="14875" width="5.6640625" style="123" customWidth="1"/>
    <col min="14876" max="14876" width="9.109375" style="123" customWidth="1"/>
    <col min="14877" max="14879" width="8.88671875" style="123"/>
    <col min="14880" max="14880" width="11.6640625" style="123" customWidth="1"/>
    <col min="14881" max="15104" width="8.88671875" style="123"/>
    <col min="15105" max="15105" width="6.44140625" style="123" customWidth="1"/>
    <col min="15106" max="15106" width="43.33203125" style="123" customWidth="1"/>
    <col min="15107" max="15107" width="11.109375" style="123" customWidth="1"/>
    <col min="15108" max="15108" width="13.109375" style="123" customWidth="1"/>
    <col min="15109" max="15109" width="13.88671875" style="123" customWidth="1"/>
    <col min="15110" max="15110" width="8.33203125" style="123" customWidth="1"/>
    <col min="15111" max="15111" width="13" style="123" customWidth="1"/>
    <col min="15112" max="15112" width="8.109375" style="123" customWidth="1"/>
    <col min="15113" max="15113" width="7.88671875" style="123" customWidth="1"/>
    <col min="15114" max="15114" width="11.109375" style="123" customWidth="1"/>
    <col min="15115" max="15115" width="9.44140625" style="123" customWidth="1"/>
    <col min="15116" max="15116" width="9.5546875" style="123" customWidth="1"/>
    <col min="15117" max="15117" width="10.77734375" style="123" customWidth="1"/>
    <col min="15118" max="15118" width="6.5546875" style="123" customWidth="1"/>
    <col min="15119" max="15119" width="7.5546875" style="123" customWidth="1"/>
    <col min="15120" max="15120" width="10.109375" style="123" customWidth="1"/>
    <col min="15121" max="15121" width="9.44140625" style="123" customWidth="1"/>
    <col min="15122" max="15122" width="11" style="123" customWidth="1"/>
    <col min="15123" max="15123" width="14" style="123" customWidth="1"/>
    <col min="15124" max="15124" width="9.88671875" style="123" customWidth="1"/>
    <col min="15125" max="15128" width="8.88671875" style="123"/>
    <col min="15129" max="15129" width="15" style="123" customWidth="1"/>
    <col min="15130" max="15130" width="6.44140625" style="123" customWidth="1"/>
    <col min="15131" max="15131" width="5.6640625" style="123" customWidth="1"/>
    <col min="15132" max="15132" width="9.109375" style="123" customWidth="1"/>
    <col min="15133" max="15135" width="8.88671875" style="123"/>
    <col min="15136" max="15136" width="11.6640625" style="123" customWidth="1"/>
    <col min="15137" max="15360" width="8.88671875" style="123"/>
    <col min="15361" max="15361" width="6.44140625" style="123" customWidth="1"/>
    <col min="15362" max="15362" width="43.33203125" style="123" customWidth="1"/>
    <col min="15363" max="15363" width="11.109375" style="123" customWidth="1"/>
    <col min="15364" max="15364" width="13.109375" style="123" customWidth="1"/>
    <col min="15365" max="15365" width="13.88671875" style="123" customWidth="1"/>
    <col min="15366" max="15366" width="8.33203125" style="123" customWidth="1"/>
    <col min="15367" max="15367" width="13" style="123" customWidth="1"/>
    <col min="15368" max="15368" width="8.109375" style="123" customWidth="1"/>
    <col min="15369" max="15369" width="7.88671875" style="123" customWidth="1"/>
    <col min="15370" max="15370" width="11.109375" style="123" customWidth="1"/>
    <col min="15371" max="15371" width="9.44140625" style="123" customWidth="1"/>
    <col min="15372" max="15372" width="9.5546875" style="123" customWidth="1"/>
    <col min="15373" max="15373" width="10.77734375" style="123" customWidth="1"/>
    <col min="15374" max="15374" width="6.5546875" style="123" customWidth="1"/>
    <col min="15375" max="15375" width="7.5546875" style="123" customWidth="1"/>
    <col min="15376" max="15376" width="10.109375" style="123" customWidth="1"/>
    <col min="15377" max="15377" width="9.44140625" style="123" customWidth="1"/>
    <col min="15378" max="15378" width="11" style="123" customWidth="1"/>
    <col min="15379" max="15379" width="14" style="123" customWidth="1"/>
    <col min="15380" max="15380" width="9.88671875" style="123" customWidth="1"/>
    <col min="15381" max="15384" width="8.88671875" style="123"/>
    <col min="15385" max="15385" width="15" style="123" customWidth="1"/>
    <col min="15386" max="15386" width="6.44140625" style="123" customWidth="1"/>
    <col min="15387" max="15387" width="5.6640625" style="123" customWidth="1"/>
    <col min="15388" max="15388" width="9.109375" style="123" customWidth="1"/>
    <col min="15389" max="15391" width="8.88671875" style="123"/>
    <col min="15392" max="15392" width="11.6640625" style="123" customWidth="1"/>
    <col min="15393" max="15616" width="8.88671875" style="123"/>
    <col min="15617" max="15617" width="6.44140625" style="123" customWidth="1"/>
    <col min="15618" max="15618" width="43.33203125" style="123" customWidth="1"/>
    <col min="15619" max="15619" width="11.109375" style="123" customWidth="1"/>
    <col min="15620" max="15620" width="13.109375" style="123" customWidth="1"/>
    <col min="15621" max="15621" width="13.88671875" style="123" customWidth="1"/>
    <col min="15622" max="15622" width="8.33203125" style="123" customWidth="1"/>
    <col min="15623" max="15623" width="13" style="123" customWidth="1"/>
    <col min="15624" max="15624" width="8.109375" style="123" customWidth="1"/>
    <col min="15625" max="15625" width="7.88671875" style="123" customWidth="1"/>
    <col min="15626" max="15626" width="11.109375" style="123" customWidth="1"/>
    <col min="15627" max="15627" width="9.44140625" style="123" customWidth="1"/>
    <col min="15628" max="15628" width="9.5546875" style="123" customWidth="1"/>
    <col min="15629" max="15629" width="10.77734375" style="123" customWidth="1"/>
    <col min="15630" max="15630" width="6.5546875" style="123" customWidth="1"/>
    <col min="15631" max="15631" width="7.5546875" style="123" customWidth="1"/>
    <col min="15632" max="15632" width="10.109375" style="123" customWidth="1"/>
    <col min="15633" max="15633" width="9.44140625" style="123" customWidth="1"/>
    <col min="15634" max="15634" width="11" style="123" customWidth="1"/>
    <col min="15635" max="15635" width="14" style="123" customWidth="1"/>
    <col min="15636" max="15636" width="9.88671875" style="123" customWidth="1"/>
    <col min="15637" max="15640" width="8.88671875" style="123"/>
    <col min="15641" max="15641" width="15" style="123" customWidth="1"/>
    <col min="15642" max="15642" width="6.44140625" style="123" customWidth="1"/>
    <col min="15643" max="15643" width="5.6640625" style="123" customWidth="1"/>
    <col min="15644" max="15644" width="9.109375" style="123" customWidth="1"/>
    <col min="15645" max="15647" width="8.88671875" style="123"/>
    <col min="15648" max="15648" width="11.6640625" style="123" customWidth="1"/>
    <col min="15649" max="15872" width="8.88671875" style="123"/>
    <col min="15873" max="15873" width="6.44140625" style="123" customWidth="1"/>
    <col min="15874" max="15874" width="43.33203125" style="123" customWidth="1"/>
    <col min="15875" max="15875" width="11.109375" style="123" customWidth="1"/>
    <col min="15876" max="15876" width="13.109375" style="123" customWidth="1"/>
    <col min="15877" max="15877" width="13.88671875" style="123" customWidth="1"/>
    <col min="15878" max="15878" width="8.33203125" style="123" customWidth="1"/>
    <col min="15879" max="15879" width="13" style="123" customWidth="1"/>
    <col min="15880" max="15880" width="8.109375" style="123" customWidth="1"/>
    <col min="15881" max="15881" width="7.88671875" style="123" customWidth="1"/>
    <col min="15882" max="15882" width="11.109375" style="123" customWidth="1"/>
    <col min="15883" max="15883" width="9.44140625" style="123" customWidth="1"/>
    <col min="15884" max="15884" width="9.5546875" style="123" customWidth="1"/>
    <col min="15885" max="15885" width="10.77734375" style="123" customWidth="1"/>
    <col min="15886" max="15886" width="6.5546875" style="123" customWidth="1"/>
    <col min="15887" max="15887" width="7.5546875" style="123" customWidth="1"/>
    <col min="15888" max="15888" width="10.109375" style="123" customWidth="1"/>
    <col min="15889" max="15889" width="9.44140625" style="123" customWidth="1"/>
    <col min="15890" max="15890" width="11" style="123" customWidth="1"/>
    <col min="15891" max="15891" width="14" style="123" customWidth="1"/>
    <col min="15892" max="15892" width="9.88671875" style="123" customWidth="1"/>
    <col min="15893" max="15896" width="8.88671875" style="123"/>
    <col min="15897" max="15897" width="15" style="123" customWidth="1"/>
    <col min="15898" max="15898" width="6.44140625" style="123" customWidth="1"/>
    <col min="15899" max="15899" width="5.6640625" style="123" customWidth="1"/>
    <col min="15900" max="15900" width="9.109375" style="123" customWidth="1"/>
    <col min="15901" max="15903" width="8.88671875" style="123"/>
    <col min="15904" max="15904" width="11.6640625" style="123" customWidth="1"/>
    <col min="15905" max="16128" width="8.88671875" style="123"/>
    <col min="16129" max="16129" width="6.44140625" style="123" customWidth="1"/>
    <col min="16130" max="16130" width="43.33203125" style="123" customWidth="1"/>
    <col min="16131" max="16131" width="11.109375" style="123" customWidth="1"/>
    <col min="16132" max="16132" width="13.109375" style="123" customWidth="1"/>
    <col min="16133" max="16133" width="13.88671875" style="123" customWidth="1"/>
    <col min="16134" max="16134" width="8.33203125" style="123" customWidth="1"/>
    <col min="16135" max="16135" width="13" style="123" customWidth="1"/>
    <col min="16136" max="16136" width="8.109375" style="123" customWidth="1"/>
    <col min="16137" max="16137" width="7.88671875" style="123" customWidth="1"/>
    <col min="16138" max="16138" width="11.109375" style="123" customWidth="1"/>
    <col min="16139" max="16139" width="9.44140625" style="123" customWidth="1"/>
    <col min="16140" max="16140" width="9.5546875" style="123" customWidth="1"/>
    <col min="16141" max="16141" width="10.77734375" style="123" customWidth="1"/>
    <col min="16142" max="16142" width="6.5546875" style="123" customWidth="1"/>
    <col min="16143" max="16143" width="7.5546875" style="123" customWidth="1"/>
    <col min="16144" max="16144" width="10.109375" style="123" customWidth="1"/>
    <col min="16145" max="16145" width="9.44140625" style="123" customWidth="1"/>
    <col min="16146" max="16146" width="11" style="123" customWidth="1"/>
    <col min="16147" max="16147" width="14" style="123" customWidth="1"/>
    <col min="16148" max="16148" width="9.88671875" style="123" customWidth="1"/>
    <col min="16149" max="16152" width="8.88671875" style="123"/>
    <col min="16153" max="16153" width="15" style="123" customWidth="1"/>
    <col min="16154" max="16154" width="6.44140625" style="123" customWidth="1"/>
    <col min="16155" max="16155" width="5.6640625" style="123" customWidth="1"/>
    <col min="16156" max="16156" width="9.109375" style="123" customWidth="1"/>
    <col min="16157" max="16159" width="8.88671875" style="123"/>
    <col min="16160" max="16160" width="11.6640625" style="123" customWidth="1"/>
    <col min="16161" max="16384" width="8.88671875" style="123"/>
  </cols>
  <sheetData>
    <row r="1" spans="1:36" ht="15.75" x14ac:dyDescent="0.25">
      <c r="A1" s="121"/>
      <c r="B1" s="121"/>
      <c r="C1" s="121"/>
      <c r="D1" s="121"/>
      <c r="E1" s="122" t="s">
        <v>182</v>
      </c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</row>
    <row r="2" spans="1:36" ht="19.5" customHeight="1" x14ac:dyDescent="0.25">
      <c r="A2" s="121"/>
      <c r="B2" s="121"/>
      <c r="D2" s="121"/>
      <c r="F2" s="122"/>
      <c r="G2" s="122"/>
      <c r="H2" s="122"/>
      <c r="I2" s="121"/>
      <c r="J2" s="121"/>
      <c r="K2" s="121"/>
      <c r="L2" s="121"/>
      <c r="M2" s="121"/>
      <c r="N2" s="121"/>
      <c r="O2" s="121"/>
      <c r="P2" s="124"/>
      <c r="Q2" s="121"/>
    </row>
    <row r="3" spans="1:36" ht="15.75" x14ac:dyDescent="0.25">
      <c r="A3" s="121"/>
      <c r="B3" s="121"/>
      <c r="D3" s="121"/>
      <c r="E3" s="125" t="s">
        <v>412</v>
      </c>
      <c r="F3" s="126"/>
      <c r="G3" s="126"/>
      <c r="H3" s="127"/>
      <c r="I3" s="121"/>
      <c r="J3" s="121"/>
      <c r="L3" s="121"/>
      <c r="M3" s="121"/>
      <c r="N3" s="121"/>
      <c r="O3" s="121"/>
      <c r="P3" s="121"/>
      <c r="Q3" s="121"/>
    </row>
    <row r="4" spans="1:36" ht="15.75" x14ac:dyDescent="0.25">
      <c r="A4" s="121"/>
      <c r="B4" s="121"/>
      <c r="D4" s="121"/>
      <c r="E4" s="125" t="s">
        <v>413</v>
      </c>
      <c r="F4" s="126"/>
      <c r="G4" s="126"/>
      <c r="H4" s="128"/>
      <c r="I4" s="121"/>
      <c r="J4" s="121"/>
      <c r="K4" s="121"/>
      <c r="L4" s="121"/>
      <c r="M4" s="121"/>
      <c r="N4" s="121"/>
      <c r="O4" s="121"/>
      <c r="P4" s="121"/>
      <c r="Q4" s="121"/>
    </row>
    <row r="5" spans="1:36" ht="15.75" x14ac:dyDescent="0.25">
      <c r="A5" s="121"/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67"/>
      <c r="Q5" s="121"/>
    </row>
    <row r="6" spans="1:36" ht="18" x14ac:dyDescent="0.25">
      <c r="A6" s="825" t="s">
        <v>183</v>
      </c>
      <c r="B6" s="825"/>
      <c r="C6" s="825"/>
      <c r="D6" s="825"/>
      <c r="E6" s="825"/>
      <c r="F6" s="129"/>
      <c r="G6" s="129"/>
      <c r="H6" s="129"/>
      <c r="I6" s="121"/>
      <c r="J6" s="121"/>
      <c r="K6" s="121"/>
      <c r="L6" s="121"/>
      <c r="M6" s="121"/>
      <c r="N6" s="121"/>
      <c r="O6" s="121"/>
      <c r="P6" s="36"/>
      <c r="Q6" s="121"/>
    </row>
    <row r="7" spans="1:36" ht="18" x14ac:dyDescent="0.25">
      <c r="A7" s="835" t="s">
        <v>372</v>
      </c>
      <c r="B7" s="835"/>
      <c r="C7" s="835"/>
      <c r="D7" s="835"/>
      <c r="E7" s="835"/>
      <c r="F7" s="129"/>
      <c r="G7" s="129"/>
      <c r="H7" s="129"/>
      <c r="I7" s="121"/>
      <c r="J7" s="121"/>
      <c r="K7" s="121"/>
      <c r="L7" s="121"/>
      <c r="M7" s="121"/>
      <c r="N7" s="121"/>
      <c r="O7" s="121"/>
      <c r="P7" s="121"/>
      <c r="Q7" s="121"/>
    </row>
    <row r="8" spans="1:36" ht="39.75" customHeight="1" x14ac:dyDescent="0.25">
      <c r="A8" s="836" t="s">
        <v>373</v>
      </c>
      <c r="B8" s="836" t="s">
        <v>184</v>
      </c>
      <c r="C8" s="836"/>
      <c r="D8" s="836"/>
      <c r="E8" s="836"/>
      <c r="F8" s="129"/>
      <c r="G8" s="129"/>
      <c r="H8" s="129"/>
      <c r="I8" s="121"/>
      <c r="J8" s="121"/>
      <c r="K8" s="121"/>
      <c r="L8" s="121"/>
      <c r="M8" s="121"/>
      <c r="N8" s="121"/>
      <c r="O8" s="121"/>
      <c r="P8" s="121"/>
      <c r="Q8" s="121"/>
    </row>
    <row r="9" spans="1:36" ht="15.75" x14ac:dyDescent="0.25">
      <c r="A9" s="827" t="s">
        <v>185</v>
      </c>
      <c r="B9" s="827"/>
      <c r="C9" s="827"/>
      <c r="D9" s="827"/>
      <c r="E9" s="827"/>
      <c r="F9" s="130"/>
      <c r="G9" s="130"/>
      <c r="H9" s="130"/>
      <c r="I9" s="121"/>
      <c r="J9" s="121"/>
      <c r="K9" s="121"/>
      <c r="L9" s="121"/>
      <c r="M9" s="121"/>
      <c r="N9" s="121"/>
      <c r="O9" s="121"/>
      <c r="P9" s="121"/>
      <c r="Q9" s="121"/>
    </row>
    <row r="10" spans="1:36" ht="15.75" x14ac:dyDescent="0.25">
      <c r="A10" s="837" t="s">
        <v>186</v>
      </c>
      <c r="B10" s="837"/>
      <c r="C10" s="837"/>
      <c r="D10" s="837"/>
      <c r="E10" s="837"/>
      <c r="F10" s="130"/>
      <c r="G10" s="130"/>
      <c r="H10" s="130"/>
      <c r="I10" s="121"/>
      <c r="J10" s="121"/>
      <c r="K10" s="121"/>
      <c r="L10" s="121"/>
      <c r="M10" s="121"/>
      <c r="N10" s="121"/>
      <c r="O10" s="121"/>
      <c r="P10" s="121"/>
      <c r="Q10" s="121"/>
    </row>
    <row r="11" spans="1:36" ht="15.75" x14ac:dyDescent="0.25">
      <c r="A11" s="144"/>
      <c r="B11" s="144"/>
      <c r="C11" s="144"/>
      <c r="D11" s="121"/>
      <c r="E11" s="121"/>
      <c r="F11" s="130"/>
      <c r="G11" s="130"/>
      <c r="H11" s="130"/>
      <c r="I11" s="121"/>
      <c r="J11" s="121"/>
      <c r="K11" s="121"/>
      <c r="L11" s="121"/>
      <c r="M11" s="121"/>
      <c r="N11" s="121"/>
      <c r="O11" s="121"/>
      <c r="P11" s="121"/>
      <c r="Q11" s="121"/>
    </row>
    <row r="12" spans="1:36" ht="16.5" thickBot="1" x14ac:dyDescent="0.3">
      <c r="A12" s="131"/>
      <c r="B12" s="132" t="s">
        <v>187</v>
      </c>
      <c r="C12" s="133">
        <f>C46</f>
        <v>75</v>
      </c>
      <c r="D12" s="134"/>
      <c r="E12" s="135" t="s">
        <v>188</v>
      </c>
      <c r="F12" s="136"/>
      <c r="G12" s="136"/>
      <c r="H12" s="136"/>
      <c r="I12" s="121"/>
      <c r="J12" s="121"/>
      <c r="K12" s="136"/>
      <c r="L12" s="121"/>
      <c r="M12" s="121"/>
      <c r="N12" s="121"/>
      <c r="O12" s="121"/>
      <c r="P12" s="121"/>
      <c r="Q12" s="121"/>
      <c r="S12" s="137"/>
      <c r="T12" s="138"/>
      <c r="U12" s="138"/>
      <c r="V12" s="139"/>
      <c r="W12" s="138"/>
      <c r="AE12" s="138"/>
      <c r="AF12" s="138"/>
      <c r="AG12" s="138"/>
      <c r="AH12" s="138"/>
      <c r="AI12" s="138"/>
      <c r="AJ12" s="138"/>
    </row>
    <row r="13" spans="1:36" ht="16.5" thickBot="1" x14ac:dyDescent="0.3">
      <c r="A13" s="131"/>
      <c r="B13" s="132" t="s">
        <v>189</v>
      </c>
      <c r="C13" s="133">
        <f>C47</f>
        <v>68</v>
      </c>
      <c r="D13" s="134"/>
      <c r="E13" s="135"/>
      <c r="F13" s="136"/>
      <c r="G13" s="136"/>
      <c r="H13" s="136"/>
      <c r="I13" s="121"/>
      <c r="J13" s="121"/>
      <c r="K13" s="136"/>
      <c r="L13" s="121"/>
      <c r="M13" s="121"/>
      <c r="N13" s="121"/>
      <c r="O13" s="121"/>
      <c r="P13" s="121"/>
      <c r="Q13" s="121"/>
      <c r="S13" s="137"/>
      <c r="T13" s="138"/>
      <c r="U13" s="138"/>
      <c r="V13" s="139"/>
      <c r="W13" s="138"/>
      <c r="AE13" s="138"/>
      <c r="AF13" s="138"/>
      <c r="AG13" s="138"/>
      <c r="AH13" s="138"/>
      <c r="AI13" s="138"/>
      <c r="AJ13" s="138"/>
    </row>
    <row r="14" spans="1:36" ht="32.25" customHeight="1" thickBot="1" x14ac:dyDescent="0.3">
      <c r="A14" s="140" t="s">
        <v>190</v>
      </c>
      <c r="B14" s="141" t="s">
        <v>191</v>
      </c>
      <c r="C14" s="141" t="s">
        <v>14</v>
      </c>
      <c r="D14" s="142" t="s">
        <v>12</v>
      </c>
      <c r="E14" s="143" t="s">
        <v>4</v>
      </c>
      <c r="F14" s="144"/>
      <c r="G14" s="144"/>
      <c r="H14" s="145"/>
      <c r="I14" s="145"/>
      <c r="J14" s="145"/>
      <c r="K14" s="145"/>
      <c r="L14" s="146"/>
      <c r="M14" s="146"/>
      <c r="N14" s="146"/>
      <c r="O14" s="146"/>
      <c r="P14" s="130"/>
      <c r="Q14" s="121"/>
      <c r="R14" s="130"/>
      <c r="S14" s="147"/>
      <c r="T14" s="138"/>
      <c r="U14" s="138"/>
      <c r="V14" s="138"/>
      <c r="W14" s="138"/>
      <c r="X14" s="130"/>
      <c r="Y14" s="130"/>
      <c r="Z14" s="130"/>
      <c r="AA14" s="130"/>
      <c r="AB14" s="148"/>
      <c r="AE14" s="149"/>
      <c r="AF14" s="138"/>
      <c r="AG14" s="138"/>
      <c r="AH14" s="138"/>
      <c r="AI14" s="138"/>
      <c r="AJ14" s="138"/>
    </row>
    <row r="15" spans="1:36" ht="30" customHeight="1" x14ac:dyDescent="0.25">
      <c r="A15" s="150">
        <v>1</v>
      </c>
      <c r="B15" s="151" t="s">
        <v>374</v>
      </c>
      <c r="C15" s="152" t="e">
        <f>C56</f>
        <v>#REF!</v>
      </c>
      <c r="D15" s="153" t="e">
        <f>SUM(D56:G56)</f>
        <v>#REF!</v>
      </c>
      <c r="E15" s="154" t="e">
        <f>C15+D15</f>
        <v>#REF!</v>
      </c>
      <c r="F15" s="673" t="e">
        <f>Pkgcost_4308!E14</f>
        <v>#REF!</v>
      </c>
      <c r="G15" s="144"/>
      <c r="H15" s="155"/>
      <c r="I15" s="156"/>
      <c r="J15" s="155"/>
      <c r="K15" s="156"/>
      <c r="L15" s="121"/>
      <c r="M15" s="121"/>
      <c r="N15" s="121"/>
      <c r="O15" s="121"/>
      <c r="P15" s="157"/>
      <c r="Q15" s="158"/>
      <c r="R15" s="159"/>
      <c r="S15" s="160"/>
      <c r="T15" s="138"/>
      <c r="U15" s="138"/>
      <c r="V15" s="138"/>
      <c r="W15" s="138"/>
      <c r="X15" s="159"/>
      <c r="Y15" s="159"/>
      <c r="Z15" s="159"/>
      <c r="AA15" s="159"/>
      <c r="AB15" s="159"/>
      <c r="AE15" s="161"/>
      <c r="AF15" s="162"/>
      <c r="AG15" s="138"/>
      <c r="AH15" s="138"/>
      <c r="AI15" s="138"/>
      <c r="AJ15" s="138"/>
    </row>
    <row r="16" spans="1:36" ht="37.5" customHeight="1" x14ac:dyDescent="0.25">
      <c r="A16" s="150">
        <v>2</v>
      </c>
      <c r="B16" s="163" t="s">
        <v>192</v>
      </c>
      <c r="C16" s="152" t="e">
        <f>C57+C58+C59+C71</f>
        <v>#REF!</v>
      </c>
      <c r="D16" s="164" t="e">
        <f>SUM(D57:G59)</f>
        <v>#REF!</v>
      </c>
      <c r="E16" s="154" t="e">
        <f t="shared" ref="E16:E35" si="0">C16+D16</f>
        <v>#REF!</v>
      </c>
      <c r="F16" s="673" t="e">
        <f>Pkgcost_4308!E15</f>
        <v>#REF!</v>
      </c>
      <c r="G16" s="121"/>
      <c r="H16" s="158"/>
      <c r="I16" s="124"/>
      <c r="J16" s="158"/>
      <c r="K16" s="165"/>
      <c r="L16" s="166"/>
      <c r="M16" s="166"/>
      <c r="N16" s="166"/>
      <c r="O16" s="166"/>
      <c r="P16" s="157"/>
      <c r="Q16" s="158"/>
      <c r="R16" s="159"/>
      <c r="S16" s="167"/>
      <c r="T16" s="168"/>
      <c r="U16" s="169"/>
      <c r="V16" s="169"/>
      <c r="W16" s="170"/>
      <c r="X16" s="159"/>
      <c r="Y16" s="159"/>
      <c r="Z16" s="159"/>
      <c r="AA16" s="159"/>
      <c r="AB16" s="159"/>
      <c r="AE16" s="161"/>
      <c r="AF16" s="162"/>
      <c r="AG16" s="138"/>
      <c r="AH16" s="171"/>
      <c r="AI16" s="138"/>
      <c r="AJ16" s="138"/>
    </row>
    <row r="17" spans="1:36" ht="34.5" customHeight="1" x14ac:dyDescent="0.25">
      <c r="A17" s="150">
        <v>3</v>
      </c>
      <c r="B17" s="163" t="s">
        <v>375</v>
      </c>
      <c r="C17" s="152"/>
      <c r="D17" s="172" t="e">
        <f>SUM(D60:G60)</f>
        <v>#REF!</v>
      </c>
      <c r="E17" s="154" t="e">
        <f t="shared" si="0"/>
        <v>#REF!</v>
      </c>
      <c r="F17" s="673" t="e">
        <f>Pkgcost_4308!E16</f>
        <v>#REF!</v>
      </c>
      <c r="G17" s="173"/>
      <c r="H17" s="174"/>
      <c r="I17" s="175"/>
      <c r="J17" s="174"/>
      <c r="K17" s="175"/>
      <c r="L17" s="121"/>
      <c r="M17" s="121"/>
      <c r="N17" s="121"/>
      <c r="O17" s="121"/>
      <c r="P17" s="157"/>
      <c r="Q17" s="158"/>
      <c r="R17" s="159"/>
      <c r="S17" s="167"/>
      <c r="T17" s="176"/>
      <c r="U17" s="169"/>
      <c r="V17" s="169"/>
      <c r="W17" s="170"/>
      <c r="X17" s="159"/>
      <c r="Y17" s="159"/>
      <c r="Z17" s="159"/>
      <c r="AA17" s="159"/>
      <c r="AB17" s="159"/>
      <c r="AE17" s="138"/>
      <c r="AF17" s="138"/>
      <c r="AG17" s="138"/>
      <c r="AH17" s="138"/>
      <c r="AI17" s="138"/>
      <c r="AJ17" s="138"/>
    </row>
    <row r="18" spans="1:36" ht="23.25" customHeight="1" x14ac:dyDescent="0.25">
      <c r="A18" s="150">
        <v>4</v>
      </c>
      <c r="B18" s="177" t="s">
        <v>193</v>
      </c>
      <c r="C18" s="152" t="e">
        <f>C61</f>
        <v>#REF!</v>
      </c>
      <c r="D18" s="172" t="e">
        <f>SUM(D61:G61)</f>
        <v>#REF!</v>
      </c>
      <c r="E18" s="154" t="e">
        <f t="shared" si="0"/>
        <v>#REF!</v>
      </c>
      <c r="F18" s="673" t="e">
        <f>Pkgcost_4308!E17</f>
        <v>#REF!</v>
      </c>
      <c r="G18" s="173"/>
      <c r="H18" s="159"/>
      <c r="I18" s="157"/>
      <c r="J18" s="159"/>
      <c r="K18" s="178"/>
      <c r="L18" s="124"/>
      <c r="M18" s="124"/>
      <c r="N18" s="124"/>
      <c r="O18" s="124"/>
      <c r="P18" s="157"/>
      <c r="Q18" s="158"/>
      <c r="R18" s="159"/>
      <c r="S18" s="179"/>
      <c r="T18" s="180"/>
      <c r="U18" s="179"/>
      <c r="V18" s="179"/>
      <c r="W18" s="179"/>
      <c r="X18" s="159"/>
      <c r="Y18" s="159"/>
      <c r="Z18" s="159"/>
      <c r="AA18" s="159"/>
      <c r="AB18" s="159"/>
      <c r="AE18" s="179"/>
      <c r="AF18" s="179"/>
      <c r="AG18" s="181"/>
      <c r="AH18" s="181"/>
      <c r="AI18" s="169"/>
      <c r="AJ18" s="138"/>
    </row>
    <row r="19" spans="1:36" ht="30" customHeight="1" x14ac:dyDescent="0.25">
      <c r="A19" s="150">
        <v>5</v>
      </c>
      <c r="B19" s="163" t="s">
        <v>194</v>
      </c>
      <c r="C19" s="152"/>
      <c r="D19" s="172" t="e">
        <f>SUM(D62:G62)</f>
        <v>#REF!</v>
      </c>
      <c r="E19" s="154" t="e">
        <f t="shared" si="0"/>
        <v>#REF!</v>
      </c>
      <c r="F19" s="673" t="e">
        <f>Pkgcost_4308!E18</f>
        <v>#REF!</v>
      </c>
      <c r="G19" s="173"/>
      <c r="H19" s="174"/>
      <c r="I19" s="175"/>
      <c r="J19" s="174"/>
      <c r="K19" s="175"/>
      <c r="L19" s="121"/>
      <c r="M19" s="121"/>
      <c r="N19" s="121"/>
      <c r="O19" s="121"/>
      <c r="P19" s="157"/>
      <c r="Q19" s="158"/>
      <c r="R19" s="159"/>
      <c r="S19" s="138"/>
      <c r="T19" s="138"/>
      <c r="U19" s="138"/>
      <c r="V19" s="138"/>
      <c r="W19" s="179"/>
      <c r="X19" s="159"/>
      <c r="Y19" s="159"/>
      <c r="Z19" s="159"/>
      <c r="AA19" s="159"/>
      <c r="AB19" s="159"/>
      <c r="AE19" s="179"/>
      <c r="AF19" s="179"/>
      <c r="AI19" s="182"/>
      <c r="AJ19" s="138"/>
    </row>
    <row r="20" spans="1:36" ht="30" customHeight="1" x14ac:dyDescent="0.25">
      <c r="A20" s="150">
        <v>6</v>
      </c>
      <c r="B20" s="163" t="s">
        <v>376</v>
      </c>
      <c r="C20" s="178"/>
      <c r="D20" s="172" t="e">
        <f>SUM(D63:G63)</f>
        <v>#REF!</v>
      </c>
      <c r="E20" s="154" t="e">
        <f t="shared" si="0"/>
        <v>#REF!</v>
      </c>
      <c r="F20" s="673">
        <f>Pkgcost_4308!E19</f>
        <v>0</v>
      </c>
      <c r="G20" s="173"/>
      <c r="H20" s="174"/>
      <c r="I20" s="175"/>
      <c r="J20" s="174"/>
      <c r="K20" s="175"/>
      <c r="L20" s="121"/>
      <c r="M20" s="121"/>
      <c r="N20" s="121"/>
      <c r="O20" s="121"/>
      <c r="P20" s="157"/>
      <c r="Q20" s="158"/>
      <c r="R20" s="159"/>
      <c r="S20" s="138"/>
      <c r="T20" s="138"/>
      <c r="U20" s="138"/>
      <c r="V20" s="138"/>
      <c r="W20" s="179"/>
      <c r="X20" s="159"/>
      <c r="Y20" s="159"/>
      <c r="Z20" s="159"/>
      <c r="AA20" s="159"/>
      <c r="AB20" s="159"/>
      <c r="AE20" s="179"/>
      <c r="AF20" s="179"/>
      <c r="AI20" s="182"/>
      <c r="AJ20" s="138"/>
    </row>
    <row r="21" spans="1:36" ht="48.75" customHeight="1" x14ac:dyDescent="0.25">
      <c r="A21" s="150">
        <v>7</v>
      </c>
      <c r="B21" s="163" t="s">
        <v>377</v>
      </c>
      <c r="C21" s="183"/>
      <c r="D21" s="164" t="e">
        <f>SUM(D64:G67)</f>
        <v>#REF!</v>
      </c>
      <c r="E21" s="154" t="e">
        <f t="shared" si="0"/>
        <v>#REF!</v>
      </c>
      <c r="F21" s="673" t="e">
        <f>Pkgcost_4308!E20</f>
        <v>#REF!</v>
      </c>
      <c r="H21" s="174"/>
      <c r="I21" s="175"/>
      <c r="J21" s="174"/>
      <c r="K21" s="175"/>
    </row>
    <row r="22" spans="1:36" ht="42.75" customHeight="1" x14ac:dyDescent="0.25">
      <c r="A22" s="150">
        <v>8</v>
      </c>
      <c r="B22" s="163" t="s">
        <v>378</v>
      </c>
      <c r="C22" s="183"/>
      <c r="D22" s="164" t="e">
        <f>SUM(D68:G68)</f>
        <v>#REF!</v>
      </c>
      <c r="E22" s="154" t="e">
        <f t="shared" si="0"/>
        <v>#REF!</v>
      </c>
      <c r="F22" s="673" t="e">
        <f>Pkgcost_4308!E21</f>
        <v>#REF!</v>
      </c>
      <c r="H22" s="174"/>
      <c r="I22" s="175"/>
      <c r="J22" s="174"/>
      <c r="K22" s="175"/>
    </row>
    <row r="23" spans="1:36" ht="22.5" customHeight="1" x14ac:dyDescent="0.25">
      <c r="A23" s="150">
        <v>9</v>
      </c>
      <c r="B23" s="184" t="s">
        <v>379</v>
      </c>
      <c r="C23" s="185">
        <f>C69</f>
        <v>0</v>
      </c>
      <c r="D23" s="186"/>
      <c r="E23" s="154">
        <f t="shared" si="0"/>
        <v>0</v>
      </c>
      <c r="F23" s="673">
        <f>Pkgcost_4308!E22</f>
        <v>0</v>
      </c>
      <c r="G23" s="174"/>
      <c r="H23" s="174"/>
      <c r="I23" s="187"/>
      <c r="J23" s="174"/>
      <c r="K23" s="165"/>
      <c r="L23" s="124"/>
      <c r="M23" s="124"/>
      <c r="N23" s="124"/>
      <c r="O23" s="124"/>
      <c r="P23" s="157"/>
      <c r="Q23" s="158"/>
      <c r="R23" s="159"/>
      <c r="S23" s="188"/>
      <c r="T23" s="189"/>
      <c r="U23" s="190"/>
      <c r="V23" s="191"/>
      <c r="W23" s="192"/>
      <c r="X23" s="159"/>
      <c r="Y23" s="159"/>
      <c r="Z23" s="159"/>
      <c r="AA23" s="159"/>
      <c r="AB23" s="159"/>
      <c r="AE23" s="189"/>
      <c r="AF23" s="193"/>
      <c r="AG23" s="194"/>
      <c r="AH23" s="183"/>
      <c r="AI23" s="162"/>
      <c r="AJ23" s="138"/>
    </row>
    <row r="24" spans="1:36" ht="34.5" customHeight="1" x14ac:dyDescent="0.25">
      <c r="A24" s="150">
        <v>10</v>
      </c>
      <c r="B24" s="184" t="s">
        <v>380</v>
      </c>
      <c r="C24" s="195" t="e">
        <f>C70</f>
        <v>#REF!</v>
      </c>
      <c r="D24" s="172" t="e">
        <f>D70</f>
        <v>#REF!</v>
      </c>
      <c r="E24" s="154" t="e">
        <f t="shared" si="0"/>
        <v>#REF!</v>
      </c>
      <c r="F24" s="673">
        <f>Pkgcost_4308!E23</f>
        <v>0</v>
      </c>
      <c r="G24" s="173"/>
      <c r="H24" s="159"/>
      <c r="I24" s="157"/>
      <c r="J24" s="159"/>
      <c r="K24" s="178"/>
      <c r="L24" s="124"/>
      <c r="M24" s="124"/>
      <c r="N24" s="124"/>
      <c r="O24" s="124"/>
      <c r="P24" s="130"/>
      <c r="Q24" s="196"/>
      <c r="R24" s="173"/>
      <c r="S24" s="197"/>
      <c r="T24" s="189"/>
      <c r="U24" s="190"/>
      <c r="V24" s="191"/>
      <c r="W24" s="192"/>
      <c r="X24" s="173"/>
      <c r="Y24" s="173"/>
      <c r="Z24" s="173"/>
      <c r="AA24" s="159"/>
      <c r="AB24" s="159"/>
      <c r="AE24" s="189"/>
      <c r="AF24" s="193"/>
      <c r="AG24" s="198"/>
      <c r="AI24" s="138"/>
      <c r="AJ24" s="138"/>
    </row>
    <row r="25" spans="1:36" ht="33.75" customHeight="1" x14ac:dyDescent="0.25">
      <c r="A25" s="150">
        <v>11</v>
      </c>
      <c r="B25" s="184" t="s">
        <v>381</v>
      </c>
      <c r="C25" s="195"/>
      <c r="D25" s="172" t="e">
        <f>SUM(E72:G72)</f>
        <v>#REF!</v>
      </c>
      <c r="E25" s="154" t="e">
        <f t="shared" si="0"/>
        <v>#REF!</v>
      </c>
      <c r="F25" s="673">
        <f>Pkgcost_4308!E24</f>
        <v>0</v>
      </c>
      <c r="G25" s="173"/>
      <c r="H25" s="174"/>
      <c r="I25" s="199"/>
      <c r="J25" s="174"/>
      <c r="K25" s="174"/>
      <c r="L25" s="124"/>
      <c r="M25" s="124"/>
      <c r="N25" s="124"/>
      <c r="O25" s="124"/>
      <c r="P25" s="130"/>
      <c r="Q25" s="196"/>
      <c r="R25" s="173"/>
      <c r="S25" s="197"/>
      <c r="T25" s="189"/>
      <c r="U25" s="190"/>
      <c r="V25" s="191"/>
      <c r="W25" s="192"/>
      <c r="X25" s="173"/>
      <c r="Y25" s="173"/>
      <c r="Z25" s="173"/>
      <c r="AA25" s="159"/>
      <c r="AB25" s="159"/>
      <c r="AE25" s="200"/>
      <c r="AF25" s="193"/>
      <c r="AG25" s="198"/>
      <c r="AI25" s="138"/>
      <c r="AJ25" s="138"/>
    </row>
    <row r="26" spans="1:36" ht="30" x14ac:dyDescent="0.25">
      <c r="A26" s="150">
        <v>12</v>
      </c>
      <c r="B26" s="184" t="s">
        <v>382</v>
      </c>
      <c r="C26" s="195"/>
      <c r="D26" s="159" t="s">
        <v>195</v>
      </c>
      <c r="E26" s="464"/>
      <c r="F26" s="673">
        <f>Pkgcost_4308!E25</f>
        <v>0</v>
      </c>
      <c r="G26" s="173"/>
      <c r="H26" s="174"/>
      <c r="I26" s="199"/>
      <c r="J26" s="174"/>
      <c r="K26" s="174"/>
      <c r="L26" s="124"/>
      <c r="M26" s="124"/>
      <c r="N26" s="124"/>
      <c r="O26" s="124"/>
      <c r="P26" s="130"/>
      <c r="Q26" s="196"/>
      <c r="R26" s="173"/>
      <c r="S26" s="197"/>
      <c r="T26" s="189"/>
      <c r="U26" s="190"/>
      <c r="V26" s="191"/>
      <c r="W26" s="192"/>
      <c r="X26" s="173"/>
      <c r="Y26" s="173"/>
      <c r="Z26" s="173"/>
      <c r="AA26" s="159"/>
      <c r="AB26" s="159"/>
      <c r="AE26" s="200"/>
      <c r="AF26" s="193"/>
      <c r="AG26" s="198"/>
      <c r="AI26" s="138"/>
      <c r="AJ26" s="138"/>
    </row>
    <row r="27" spans="1:36" ht="15.75" x14ac:dyDescent="0.25">
      <c r="A27" s="465">
        <v>13</v>
      </c>
      <c r="B27" s="202" t="s">
        <v>383</v>
      </c>
      <c r="C27" s="466" t="e">
        <f>C73</f>
        <v>#REF!</v>
      </c>
      <c r="D27" s="467" t="e">
        <f>SUM(D73:G73)</f>
        <v>#REF!</v>
      </c>
      <c r="E27" s="466" t="e">
        <f>C27+D27</f>
        <v>#REF!</v>
      </c>
      <c r="F27" s="673" t="e">
        <f>Pkgcost_4308!E26</f>
        <v>#REF!</v>
      </c>
      <c r="G27" s="173"/>
      <c r="H27" s="174"/>
      <c r="I27" s="203"/>
      <c r="J27" s="174"/>
      <c r="K27" s="204"/>
      <c r="L27" s="124"/>
      <c r="M27" s="124"/>
      <c r="N27" s="124"/>
      <c r="O27" s="124"/>
      <c r="P27" s="157"/>
      <c r="Q27" s="158"/>
      <c r="R27" s="159"/>
      <c r="S27" s="188"/>
      <c r="T27" s="205"/>
      <c r="U27" s="169"/>
      <c r="V27" s="206"/>
      <c r="W27" s="170"/>
      <c r="X27" s="159"/>
      <c r="Y27" s="159"/>
      <c r="Z27" s="159"/>
      <c r="AB27" s="159"/>
      <c r="AE27" s="207"/>
      <c r="AF27" s="193"/>
      <c r="AG27" s="198"/>
      <c r="AI27" s="138"/>
      <c r="AJ27" s="138"/>
    </row>
    <row r="28" spans="1:36" ht="15.75" x14ac:dyDescent="0.25">
      <c r="A28" s="201">
        <v>14</v>
      </c>
      <c r="B28" s="208" t="s">
        <v>384</v>
      </c>
      <c r="C28" s="209" t="e">
        <f>SUM(C15:C27)</f>
        <v>#REF!</v>
      </c>
      <c r="D28" s="209" t="e">
        <f>SUM(D15:D27)</f>
        <v>#REF!</v>
      </c>
      <c r="E28" s="210" t="e">
        <f t="shared" si="0"/>
        <v>#REF!</v>
      </c>
      <c r="F28" s="673" t="e">
        <f>Pkgcost_4308!E27</f>
        <v>#REF!</v>
      </c>
      <c r="G28" s="173"/>
      <c r="H28" s="211"/>
      <c r="I28" s="212"/>
      <c r="J28" s="213"/>
      <c r="K28" s="214"/>
      <c r="L28" s="121"/>
      <c r="M28" s="121"/>
      <c r="N28" s="121"/>
      <c r="O28" s="121"/>
      <c r="P28" s="157"/>
      <c r="Q28" s="158"/>
      <c r="R28" s="159"/>
      <c r="S28" s="188"/>
      <c r="T28" s="205"/>
      <c r="U28" s="169"/>
      <c r="V28" s="206"/>
      <c r="W28" s="170"/>
      <c r="X28" s="159"/>
      <c r="Y28" s="159"/>
      <c r="Z28" s="159"/>
      <c r="AB28" s="159"/>
      <c r="AE28" s="207"/>
      <c r="AF28" s="193"/>
      <c r="AG28" s="198"/>
      <c r="AI28" s="138"/>
      <c r="AJ28" s="138"/>
    </row>
    <row r="29" spans="1:36" ht="15.75" x14ac:dyDescent="0.25">
      <c r="A29" s="150">
        <v>15</v>
      </c>
      <c r="B29" s="215" t="s">
        <v>196</v>
      </c>
      <c r="C29" s="216">
        <v>0</v>
      </c>
      <c r="D29" s="217"/>
      <c r="E29" s="217"/>
      <c r="F29" s="673">
        <f>Pkgcost_4308!E28</f>
        <v>0</v>
      </c>
      <c r="G29" s="121"/>
      <c r="H29" s="121"/>
      <c r="L29" s="121"/>
      <c r="M29" s="121"/>
      <c r="N29" s="121"/>
      <c r="O29" s="121"/>
      <c r="P29" s="121"/>
      <c r="Q29" s="121"/>
      <c r="S29" s="219"/>
      <c r="T29" s="220"/>
      <c r="U29" s="179"/>
      <c r="V29" s="221"/>
      <c r="W29" s="180"/>
      <c r="AE29" s="180"/>
      <c r="AF29" s="180"/>
      <c r="AI29" s="180"/>
      <c r="AJ29" s="138">
        <f>AE29-AI29</f>
        <v>0</v>
      </c>
    </row>
    <row r="30" spans="1:36" ht="15.75" x14ac:dyDescent="0.25">
      <c r="A30" s="222" t="s">
        <v>120</v>
      </c>
      <c r="B30" s="223" t="s">
        <v>385</v>
      </c>
      <c r="C30" s="152"/>
      <c r="D30" s="224" t="e">
        <f>+(C16+C17+C18+C27)*0.05</f>
        <v>#REF!</v>
      </c>
      <c r="E30" s="154" t="e">
        <f t="shared" si="0"/>
        <v>#REF!</v>
      </c>
      <c r="F30" s="673">
        <f>Pkgcost_4308!E29</f>
        <v>0</v>
      </c>
      <c r="G30" s="121"/>
      <c r="H30" s="121"/>
      <c r="L30" s="121"/>
      <c r="M30" s="121"/>
      <c r="N30" s="121"/>
      <c r="O30" s="121"/>
      <c r="P30" s="121"/>
      <c r="Q30" s="121"/>
      <c r="S30" s="138"/>
      <c r="T30" s="225"/>
      <c r="U30" s="181"/>
      <c r="V30" s="200"/>
      <c r="W30" s="200"/>
      <c r="AE30" s="138"/>
      <c r="AF30" s="138"/>
      <c r="AI30" s="138"/>
      <c r="AJ30" s="138"/>
    </row>
    <row r="31" spans="1:36" ht="20.25" customHeight="1" x14ac:dyDescent="0.25">
      <c r="A31" s="222" t="s">
        <v>148</v>
      </c>
      <c r="B31" s="177" t="s">
        <v>197</v>
      </c>
      <c r="C31" s="152"/>
      <c r="D31" s="224" t="e">
        <f>+(D30)*0.1</f>
        <v>#REF!</v>
      </c>
      <c r="E31" s="154" t="e">
        <f t="shared" si="0"/>
        <v>#REF!</v>
      </c>
      <c r="F31" s="673">
        <f>Pkgcost_4308!E30</f>
        <v>0</v>
      </c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1"/>
      <c r="S31" s="193"/>
      <c r="T31" s="226"/>
      <c r="U31" s="181"/>
      <c r="V31" s="200"/>
      <c r="W31" s="200"/>
      <c r="AE31" s="138"/>
      <c r="AF31" s="138"/>
      <c r="AI31" s="138"/>
      <c r="AJ31" s="138"/>
    </row>
    <row r="32" spans="1:36" ht="15.75" x14ac:dyDescent="0.25">
      <c r="A32" s="222" t="s">
        <v>149</v>
      </c>
      <c r="B32" s="177" t="s">
        <v>198</v>
      </c>
      <c r="C32" s="152"/>
      <c r="D32" s="224" t="e">
        <f>((C16+C17+C18+C27)+D30+D31)*0.18</f>
        <v>#REF!</v>
      </c>
      <c r="E32" s="154" t="e">
        <f t="shared" si="0"/>
        <v>#REF!</v>
      </c>
      <c r="F32" s="673">
        <f>Pkgcost_4308!E31</f>
        <v>0</v>
      </c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S32" s="193"/>
      <c r="T32" s="226"/>
      <c r="U32" s="181"/>
      <c r="V32" s="200"/>
      <c r="W32" s="200"/>
      <c r="AE32" s="138"/>
      <c r="AF32" s="138"/>
      <c r="AI32" s="138"/>
      <c r="AJ32" s="138"/>
    </row>
    <row r="33" spans="1:36" ht="30" x14ac:dyDescent="0.25">
      <c r="A33" s="468" t="s">
        <v>150</v>
      </c>
      <c r="B33" s="184" t="s">
        <v>199</v>
      </c>
      <c r="C33" s="152"/>
      <c r="D33" s="224" t="e">
        <f>+(C15+C23+C24)*0.1/(1-0.1)</f>
        <v>#REF!</v>
      </c>
      <c r="E33" s="154" t="e">
        <f t="shared" si="0"/>
        <v>#REF!</v>
      </c>
      <c r="F33" s="673" t="e">
        <f>Pkgcost_4308!E32</f>
        <v>#REF!</v>
      </c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S33" s="138"/>
      <c r="T33" s="149"/>
      <c r="U33" s="181"/>
      <c r="V33" s="200"/>
      <c r="W33" s="200"/>
      <c r="AE33" s="227"/>
      <c r="AF33" s="138"/>
      <c r="AI33" s="227"/>
      <c r="AJ33" s="138"/>
    </row>
    <row r="34" spans="1:36" ht="15.75" x14ac:dyDescent="0.25">
      <c r="A34" s="468" t="s">
        <v>16</v>
      </c>
      <c r="B34" s="184" t="s">
        <v>200</v>
      </c>
      <c r="C34" s="228"/>
      <c r="D34" s="229" t="e">
        <f>+(C15+C23+C24+D33)*0.18</f>
        <v>#REF!</v>
      </c>
      <c r="E34" s="230" t="e">
        <f t="shared" si="0"/>
        <v>#REF!</v>
      </c>
      <c r="F34" s="673" t="e">
        <f>Pkgcost_4308!E33</f>
        <v>#REF!</v>
      </c>
      <c r="G34" s="121"/>
      <c r="H34" s="121"/>
      <c r="I34" s="121"/>
      <c r="J34" s="173"/>
      <c r="K34" s="121"/>
      <c r="L34" s="121"/>
      <c r="M34" s="121"/>
      <c r="N34" s="121"/>
      <c r="O34" s="121"/>
      <c r="P34" s="121"/>
      <c r="Q34" s="121"/>
      <c r="S34" s="180"/>
      <c r="T34" s="231"/>
      <c r="U34" s="181"/>
      <c r="V34" s="181"/>
      <c r="W34" s="181"/>
      <c r="AE34" s="200"/>
      <c r="AF34" s="180"/>
      <c r="AI34" s="138"/>
      <c r="AJ34" s="138"/>
    </row>
    <row r="35" spans="1:36" ht="15.75" x14ac:dyDescent="0.25">
      <c r="A35" s="232"/>
      <c r="B35" s="233" t="s">
        <v>386</v>
      </c>
      <c r="C35" s="234">
        <f>SUM(C30:C34)</f>
        <v>0</v>
      </c>
      <c r="D35" s="224" t="e">
        <f>SUM(D30:D34)</f>
        <v>#REF!</v>
      </c>
      <c r="E35" s="154" t="e">
        <f t="shared" si="0"/>
        <v>#REF!</v>
      </c>
      <c r="F35" s="673" t="e">
        <f>Pkgcost_4308!E34</f>
        <v>#REF!</v>
      </c>
      <c r="G35" s="121"/>
      <c r="H35" s="121"/>
      <c r="I35" s="121"/>
      <c r="J35" s="235"/>
      <c r="K35" s="173"/>
      <c r="L35" s="121"/>
      <c r="M35" s="121"/>
      <c r="N35" s="121"/>
      <c r="O35" s="121"/>
      <c r="P35" s="121"/>
      <c r="Q35" s="121"/>
      <c r="S35" s="180"/>
      <c r="T35" s="236"/>
      <c r="U35" s="237"/>
      <c r="V35" s="237"/>
      <c r="W35" s="237"/>
      <c r="AE35" s="207"/>
      <c r="AF35" s="180"/>
      <c r="AI35" s="138"/>
      <c r="AJ35" s="138"/>
    </row>
    <row r="36" spans="1:36" ht="15.75" x14ac:dyDescent="0.25">
      <c r="A36" s="238">
        <v>16</v>
      </c>
      <c r="B36" s="239" t="s">
        <v>387</v>
      </c>
      <c r="C36" s="240" t="e">
        <f>C35+C28</f>
        <v>#REF!</v>
      </c>
      <c r="D36" s="240" t="e">
        <f>D35+D28</f>
        <v>#REF!</v>
      </c>
      <c r="E36" s="240" t="e">
        <f>E35+E28</f>
        <v>#REF!</v>
      </c>
      <c r="F36" s="673" t="e">
        <f>Pkgcost_4308!E35</f>
        <v>#REF!</v>
      </c>
      <c r="G36" s="121"/>
      <c r="H36" s="121"/>
      <c r="I36" s="121"/>
      <c r="J36" s="235"/>
      <c r="K36" s="173"/>
      <c r="L36" s="121"/>
      <c r="M36" s="121"/>
      <c r="N36" s="121"/>
      <c r="O36" s="121"/>
      <c r="P36" s="121"/>
      <c r="Q36" s="121"/>
      <c r="S36" s="180"/>
      <c r="T36" s="236"/>
      <c r="U36" s="181"/>
      <c r="V36" s="241"/>
      <c r="W36" s="200"/>
      <c r="AE36" s="207"/>
      <c r="AF36" s="180"/>
      <c r="AI36" s="138"/>
      <c r="AJ36" s="138"/>
    </row>
    <row r="37" spans="1:36" ht="15.75" x14ac:dyDescent="0.25">
      <c r="A37" s="242">
        <v>17</v>
      </c>
      <c r="B37" s="243" t="s">
        <v>388</v>
      </c>
      <c r="C37" s="244"/>
      <c r="D37" s="245" t="e">
        <f>I76</f>
        <v>#REF!</v>
      </c>
      <c r="E37" s="244" t="e">
        <f>C37+D37</f>
        <v>#REF!</v>
      </c>
      <c r="F37" s="673" t="e">
        <f>Pkgcost_4308!E36</f>
        <v>#REF!</v>
      </c>
      <c r="G37" s="121"/>
      <c r="H37" s="121"/>
      <c r="I37" s="121"/>
      <c r="J37" s="235"/>
      <c r="K37" s="173"/>
      <c r="L37" s="121"/>
      <c r="M37" s="121"/>
      <c r="N37" s="121"/>
      <c r="O37" s="121"/>
      <c r="P37" s="121"/>
      <c r="Q37" s="121"/>
      <c r="S37" s="180"/>
      <c r="T37" s="236"/>
      <c r="U37" s="181"/>
      <c r="V37" s="241"/>
      <c r="W37" s="200"/>
      <c r="AE37" s="207"/>
      <c r="AF37" s="180"/>
      <c r="AI37" s="138"/>
      <c r="AJ37" s="138"/>
    </row>
    <row r="38" spans="1:36" ht="15.75" x14ac:dyDescent="0.25">
      <c r="A38" s="238">
        <v>18</v>
      </c>
      <c r="B38" s="239" t="s">
        <v>389</v>
      </c>
      <c r="C38" s="246" t="e">
        <f>C36-C37</f>
        <v>#REF!</v>
      </c>
      <c r="D38" s="246" t="e">
        <f>D36-D37</f>
        <v>#REF!</v>
      </c>
      <c r="E38" s="246" t="e">
        <f>E36-E37</f>
        <v>#REF!</v>
      </c>
      <c r="F38" s="673" t="e">
        <f>Pkgcost_4308!E37</f>
        <v>#REF!</v>
      </c>
      <c r="G38" s="67" t="e">
        <f>E38/F38-1</f>
        <v>#REF!</v>
      </c>
      <c r="H38" s="67"/>
      <c r="I38" s="247"/>
      <c r="J38" s="248"/>
      <c r="K38" s="121"/>
      <c r="L38" s="121"/>
      <c r="M38" s="121"/>
      <c r="N38" s="121"/>
      <c r="O38" s="121"/>
      <c r="P38" s="121"/>
      <c r="Q38" s="121"/>
    </row>
    <row r="39" spans="1:36" ht="15.75" x14ac:dyDescent="0.25">
      <c r="A39" s="128"/>
      <c r="B39" s="249"/>
      <c r="C39" s="130"/>
      <c r="D39" s="121"/>
      <c r="E39" s="121"/>
      <c r="F39" s="121"/>
      <c r="G39" s="121"/>
      <c r="H39" s="121"/>
      <c r="I39" s="247"/>
      <c r="J39" s="250"/>
      <c r="K39" s="121"/>
      <c r="L39" s="121"/>
      <c r="M39" s="121"/>
      <c r="N39" s="121"/>
      <c r="O39" s="121"/>
      <c r="P39" s="121"/>
      <c r="Q39" s="121"/>
    </row>
    <row r="40" spans="1:36" ht="15.75" x14ac:dyDescent="0.25">
      <c r="A40" s="128"/>
      <c r="B40" s="249"/>
      <c r="C40" s="130"/>
      <c r="D40" s="121"/>
      <c r="E40" s="121"/>
      <c r="F40" s="121"/>
      <c r="G40" s="121"/>
      <c r="H40" s="121"/>
      <c r="I40" s="248"/>
      <c r="J40" s="250"/>
      <c r="K40" s="121"/>
      <c r="L40" s="121"/>
      <c r="M40" s="121"/>
      <c r="N40" s="121"/>
      <c r="O40" s="121"/>
      <c r="P40" s="121"/>
      <c r="Q40" s="121"/>
    </row>
    <row r="41" spans="1:36" ht="15.75" x14ac:dyDescent="0.25">
      <c r="A41" s="128"/>
      <c r="B41" s="249"/>
      <c r="C41" s="130"/>
      <c r="D41" s="121"/>
      <c r="E41" s="121"/>
      <c r="F41" s="121"/>
      <c r="G41" s="67"/>
      <c r="H41" s="121"/>
      <c r="I41" s="121"/>
      <c r="J41" s="250"/>
      <c r="K41" s="121"/>
      <c r="L41" s="121"/>
      <c r="M41" s="121"/>
      <c r="N41" s="121"/>
      <c r="O41" s="121"/>
      <c r="P41" s="121"/>
      <c r="Q41" s="121"/>
    </row>
    <row r="42" spans="1:36" ht="15.75" x14ac:dyDescent="0.25">
      <c r="A42" s="128"/>
      <c r="B42" s="249"/>
      <c r="C42" s="130"/>
      <c r="D42" s="121"/>
      <c r="E42" s="251"/>
      <c r="F42" s="121"/>
      <c r="G42" s="121"/>
      <c r="H42" s="121"/>
      <c r="I42" s="248"/>
      <c r="J42" s="250"/>
      <c r="K42" s="121"/>
      <c r="L42" s="121"/>
      <c r="M42" s="121"/>
      <c r="N42" s="121"/>
      <c r="O42" s="121"/>
      <c r="P42" s="121"/>
      <c r="Q42" s="121"/>
    </row>
    <row r="43" spans="1:36" ht="15.75" x14ac:dyDescent="0.25">
      <c r="A43" s="128"/>
      <c r="B43" s="249"/>
      <c r="C43" s="130"/>
      <c r="D43" s="121"/>
      <c r="E43" s="251"/>
      <c r="F43" s="121"/>
      <c r="G43" s="121"/>
      <c r="H43" s="121"/>
      <c r="I43" s="121"/>
      <c r="J43" s="250"/>
      <c r="K43" s="121"/>
      <c r="L43" s="121"/>
      <c r="M43" s="121"/>
      <c r="N43" s="121"/>
      <c r="O43" s="121"/>
      <c r="P43" s="121"/>
      <c r="Q43" s="121"/>
    </row>
    <row r="44" spans="1:36" ht="15.75" x14ac:dyDescent="0.25">
      <c r="A44" s="128"/>
      <c r="B44" s="249"/>
      <c r="C44" s="130"/>
      <c r="D44" s="121"/>
      <c r="E44" s="252"/>
      <c r="F44" s="121"/>
      <c r="G44" s="121"/>
      <c r="H44" s="121"/>
      <c r="I44" s="121"/>
      <c r="J44" s="250"/>
      <c r="K44" s="121"/>
      <c r="L44" s="121"/>
      <c r="M44" s="121"/>
      <c r="N44" s="121"/>
      <c r="O44" s="121"/>
      <c r="P44" s="121"/>
      <c r="Q44" s="121"/>
    </row>
    <row r="45" spans="1:36" ht="15.75" x14ac:dyDescent="0.25">
      <c r="A45" s="128"/>
      <c r="B45" s="249"/>
      <c r="C45" s="130"/>
      <c r="D45" s="121"/>
      <c r="E45" s="252"/>
      <c r="F45" s="121"/>
      <c r="G45" s="121"/>
      <c r="H45" s="121"/>
      <c r="I45" s="121"/>
      <c r="J45" s="250"/>
      <c r="K45" s="121"/>
      <c r="L45" s="121"/>
      <c r="M45" s="121"/>
      <c r="N45" s="121"/>
      <c r="O45" s="121"/>
      <c r="P45" s="121"/>
      <c r="Q45" s="121"/>
    </row>
    <row r="46" spans="1:36" ht="15.75" x14ac:dyDescent="0.25">
      <c r="A46" s="128"/>
      <c r="B46" s="253" t="s">
        <v>187</v>
      </c>
      <c r="C46" s="254">
        <v>75</v>
      </c>
      <c r="D46" s="255" t="s">
        <v>202</v>
      </c>
      <c r="F46" s="121"/>
      <c r="I46" s="250"/>
      <c r="L46" s="121"/>
      <c r="M46" s="121"/>
      <c r="N46" s="121"/>
      <c r="O46" s="121"/>
      <c r="P46" s="121"/>
      <c r="Q46" s="121"/>
      <c r="S46" s="256"/>
      <c r="T46" s="183"/>
      <c r="U46" s="183"/>
      <c r="V46" s="183"/>
      <c r="W46" s="183"/>
      <c r="AF46" s="183"/>
      <c r="AG46" s="183"/>
      <c r="AH46" s="183"/>
      <c r="AI46" s="183"/>
      <c r="AJ46" s="257"/>
    </row>
    <row r="47" spans="1:36" ht="15.75" x14ac:dyDescent="0.25">
      <c r="A47" s="128"/>
      <c r="B47" s="253" t="s">
        <v>189</v>
      </c>
      <c r="C47" s="254">
        <v>68</v>
      </c>
      <c r="D47" s="258" t="s">
        <v>203</v>
      </c>
      <c r="F47" s="121"/>
      <c r="G47" s="121"/>
      <c r="H47" s="121"/>
      <c r="I47" s="121"/>
      <c r="J47" s="250"/>
      <c r="L47" s="121"/>
      <c r="M47" s="121"/>
      <c r="N47" s="121"/>
      <c r="O47" s="121"/>
      <c r="P47" s="121"/>
      <c r="Q47" s="121"/>
      <c r="Y47" s="259"/>
      <c r="Z47" s="260"/>
      <c r="AA47" s="260"/>
      <c r="AB47" s="261"/>
      <c r="AC47" s="260"/>
    </row>
    <row r="48" spans="1:36" ht="15.75" x14ac:dyDescent="0.25">
      <c r="A48" s="128"/>
      <c r="B48" s="262" t="s">
        <v>204</v>
      </c>
      <c r="C48" s="263">
        <v>0.06</v>
      </c>
      <c r="D48" s="264"/>
      <c r="F48" s="121"/>
      <c r="G48" s="121"/>
      <c r="H48" s="121"/>
      <c r="I48" s="121"/>
      <c r="J48" s="250"/>
      <c r="K48" s="121"/>
      <c r="L48" s="121"/>
      <c r="M48" s="121"/>
      <c r="N48" s="121"/>
      <c r="O48" s="121"/>
      <c r="P48" s="121"/>
      <c r="Q48" s="121"/>
      <c r="Y48" s="259"/>
      <c r="Z48" s="260"/>
      <c r="AA48" s="260"/>
      <c r="AB48" s="261"/>
      <c r="AC48" s="260"/>
    </row>
    <row r="49" spans="1:29" ht="15.75" x14ac:dyDescent="0.25">
      <c r="A49" s="128"/>
      <c r="B49" s="262" t="s">
        <v>205</v>
      </c>
      <c r="C49" s="263">
        <v>0.15</v>
      </c>
      <c r="D49" s="265"/>
      <c r="E49" s="266"/>
      <c r="F49" s="121"/>
      <c r="G49" s="121"/>
      <c r="H49" s="121"/>
      <c r="I49" s="121"/>
      <c r="J49" s="250"/>
      <c r="K49" s="121"/>
      <c r="L49" s="121"/>
      <c r="M49" s="121"/>
      <c r="N49" s="121"/>
      <c r="O49" s="121"/>
      <c r="P49" s="121"/>
      <c r="Q49" s="121"/>
      <c r="Y49" s="259"/>
      <c r="Z49" s="260"/>
      <c r="AA49" s="260"/>
      <c r="AB49" s="261"/>
      <c r="AC49" s="260"/>
    </row>
    <row r="50" spans="1:29" ht="15.75" x14ac:dyDescent="0.25">
      <c r="A50" s="128"/>
      <c r="B50" s="262" t="s">
        <v>206</v>
      </c>
      <c r="C50" s="263">
        <v>0.25</v>
      </c>
      <c r="D50" s="265"/>
      <c r="E50" s="266"/>
      <c r="F50" s="121"/>
      <c r="G50" s="121"/>
      <c r="H50" s="121"/>
      <c r="I50" s="121" t="s">
        <v>145</v>
      </c>
      <c r="K50" s="121"/>
      <c r="L50" s="121"/>
      <c r="M50" s="121"/>
      <c r="N50" s="121"/>
      <c r="O50" s="121"/>
      <c r="P50" s="121"/>
      <c r="Q50" s="121"/>
      <c r="Y50" s="259"/>
      <c r="Z50" s="260"/>
      <c r="AA50" s="260"/>
      <c r="AB50" s="261"/>
      <c r="AC50" s="260"/>
    </row>
    <row r="51" spans="1:29" ht="15.75" x14ac:dyDescent="0.25">
      <c r="A51" s="128"/>
      <c r="B51" s="262" t="s">
        <v>207</v>
      </c>
      <c r="C51" s="263">
        <v>0.12</v>
      </c>
      <c r="D51" s="264"/>
      <c r="F51" s="121"/>
      <c r="G51" s="121"/>
      <c r="H51" s="121"/>
      <c r="I51" s="121"/>
      <c r="J51" s="250"/>
      <c r="K51" s="121"/>
      <c r="L51" s="121"/>
      <c r="M51" s="121"/>
      <c r="N51" s="121"/>
      <c r="O51" s="121"/>
      <c r="P51" s="121"/>
      <c r="Q51" s="121"/>
      <c r="Y51" s="259"/>
      <c r="Z51" s="260"/>
      <c r="AA51" s="260"/>
      <c r="AB51" s="261"/>
      <c r="AC51" s="260"/>
    </row>
    <row r="52" spans="1:29" ht="15.75" x14ac:dyDescent="0.25">
      <c r="A52" s="128"/>
      <c r="B52" s="267" t="s">
        <v>32</v>
      </c>
      <c r="C52" s="263">
        <v>7.4999999999999997E-2</v>
      </c>
      <c r="D52" s="264"/>
      <c r="F52" s="121"/>
      <c r="G52" s="121"/>
      <c r="H52" s="121"/>
      <c r="I52" s="121"/>
      <c r="J52" s="250"/>
      <c r="K52" s="121"/>
      <c r="L52" s="121"/>
      <c r="M52" s="121"/>
      <c r="N52" s="121"/>
      <c r="O52" s="121"/>
      <c r="P52" s="121"/>
      <c r="Q52" s="121"/>
      <c r="Y52" s="259"/>
      <c r="Z52" s="260"/>
      <c r="AA52" s="260"/>
      <c r="AB52" s="261"/>
      <c r="AC52" s="260"/>
    </row>
    <row r="53" spans="1:29" ht="15.75" x14ac:dyDescent="0.25">
      <c r="A53" s="268" t="s">
        <v>19</v>
      </c>
      <c r="B53" s="269" t="s">
        <v>3</v>
      </c>
      <c r="C53" s="833" t="s">
        <v>208</v>
      </c>
      <c r="D53" s="833"/>
      <c r="E53" s="834" t="s">
        <v>209</v>
      </c>
      <c r="F53" s="834"/>
      <c r="G53" s="834"/>
      <c r="H53" s="270"/>
      <c r="I53" s="270"/>
      <c r="J53" s="231"/>
      <c r="K53" s="231"/>
      <c r="L53" s="121"/>
      <c r="M53" s="121"/>
      <c r="N53" s="121"/>
      <c r="O53" s="121"/>
      <c r="P53" s="121"/>
      <c r="Q53" s="121"/>
      <c r="S53" s="271"/>
      <c r="T53" s="271"/>
      <c r="U53" s="271"/>
      <c r="V53" s="271"/>
      <c r="W53" s="271"/>
      <c r="Y53" s="259"/>
      <c r="Z53" s="183"/>
      <c r="AA53" s="183"/>
      <c r="AB53" s="183"/>
      <c r="AC53" s="260"/>
    </row>
    <row r="54" spans="1:29" ht="22.5" customHeight="1" x14ac:dyDescent="0.25">
      <c r="A54" s="272"/>
      <c r="B54" s="273"/>
      <c r="C54" s="274" t="s">
        <v>210</v>
      </c>
      <c r="D54" s="275" t="s">
        <v>211</v>
      </c>
      <c r="E54" s="276" t="s">
        <v>212</v>
      </c>
      <c r="F54" s="276" t="s">
        <v>213</v>
      </c>
      <c r="G54" s="274" t="s">
        <v>214</v>
      </c>
      <c r="H54" s="277" t="s">
        <v>215</v>
      </c>
      <c r="I54" s="278" t="s">
        <v>4</v>
      </c>
      <c r="L54" s="121"/>
      <c r="M54" s="121"/>
      <c r="N54" s="121"/>
      <c r="O54" s="121"/>
      <c r="P54" s="121"/>
      <c r="Q54" s="121"/>
      <c r="S54" s="271"/>
      <c r="T54" s="271"/>
      <c r="U54" s="271"/>
      <c r="V54" s="271"/>
      <c r="W54" s="271"/>
      <c r="Y54" s="279"/>
      <c r="AC54" s="183"/>
    </row>
    <row r="55" spans="1:29" ht="15.75" x14ac:dyDescent="0.25">
      <c r="A55" s="272"/>
      <c r="B55" s="469">
        <v>7.4999999999999997E-2</v>
      </c>
      <c r="C55" s="280">
        <v>0</v>
      </c>
      <c r="D55" s="281">
        <f>(B55-C55)</f>
        <v>7.4999999999999997E-2</v>
      </c>
      <c r="E55" s="282">
        <v>0.18</v>
      </c>
      <c r="F55" s="282">
        <v>0.18</v>
      </c>
      <c r="G55" s="282">
        <v>0.18</v>
      </c>
      <c r="H55" s="283"/>
      <c r="I55" s="278"/>
      <c r="L55" s="121"/>
      <c r="M55" s="121"/>
      <c r="N55" s="121"/>
      <c r="O55" s="121"/>
      <c r="P55" s="121"/>
      <c r="Q55" s="121"/>
      <c r="S55" s="271"/>
      <c r="T55" s="271"/>
      <c r="U55" s="271"/>
      <c r="V55" s="271"/>
      <c r="W55" s="271"/>
      <c r="Y55" s="279"/>
      <c r="AC55" s="183"/>
    </row>
    <row r="56" spans="1:29" ht="15.75" x14ac:dyDescent="0.25">
      <c r="A56" s="238">
        <v>1</v>
      </c>
      <c r="B56" s="284" t="s">
        <v>216</v>
      </c>
      <c r="C56" s="285" t="e">
        <f>(SUM(D57:D67)+SUM(C57:C61)*1.07-C58*1.07-D58)*C55</f>
        <v>#REF!</v>
      </c>
      <c r="D56" s="674" t="e">
        <f>(SUM(D57:D67)+SUM(C57:C61)*1.07-C58*1.07-D58)*D55</f>
        <v>#REF!</v>
      </c>
      <c r="E56" s="287"/>
      <c r="F56" s="285" t="e">
        <f>D56*F55</f>
        <v>#REF!</v>
      </c>
      <c r="G56" s="287"/>
      <c r="H56" s="287"/>
      <c r="I56" s="288" t="e">
        <f>SUM(C56:H56)</f>
        <v>#REF!</v>
      </c>
      <c r="L56" s="121"/>
      <c r="M56" s="121"/>
      <c r="N56" s="121"/>
      <c r="O56" s="121"/>
      <c r="P56" s="121"/>
      <c r="Q56" s="121"/>
      <c r="S56" s="271"/>
      <c r="T56" s="271"/>
      <c r="U56" s="271"/>
      <c r="V56" s="271"/>
      <c r="W56" s="271"/>
    </row>
    <row r="57" spans="1:29" ht="15.75" x14ac:dyDescent="0.25">
      <c r="A57" s="289">
        <v>2</v>
      </c>
      <c r="B57" s="290" t="s">
        <v>217</v>
      </c>
      <c r="C57" s="255" t="e">
        <f>#REF!</f>
        <v>#REF!</v>
      </c>
      <c r="D57" s="255" t="e">
        <f>#REF!/100</f>
        <v>#REF!</v>
      </c>
      <c r="E57" s="291" t="e">
        <f>D57*$E$55</f>
        <v>#REF!</v>
      </c>
      <c r="F57" s="292" t="e">
        <f>(D57*0.02)*($F$55)</f>
        <v>#REF!</v>
      </c>
      <c r="G57" s="292" t="e">
        <f>(D57*0.02)</f>
        <v>#REF!</v>
      </c>
      <c r="H57" s="292"/>
      <c r="I57" s="288" t="e">
        <f t="shared" ref="I57:I74" si="1">SUM(C57:H57)</f>
        <v>#REF!</v>
      </c>
      <c r="L57" s="121"/>
      <c r="M57" s="121"/>
      <c r="N57" s="121"/>
      <c r="O57" s="121"/>
      <c r="P57" s="121"/>
      <c r="Q57" s="121"/>
      <c r="S57" s="271"/>
      <c r="T57" s="271"/>
      <c r="U57" s="271"/>
      <c r="V57" s="271"/>
      <c r="W57" s="271"/>
    </row>
    <row r="58" spans="1:29" ht="21" customHeight="1" x14ac:dyDescent="0.25">
      <c r="A58" s="289">
        <v>3</v>
      </c>
      <c r="B58" s="290" t="s">
        <v>218</v>
      </c>
      <c r="C58" s="255" t="e">
        <f>#REF!</f>
        <v>#REF!</v>
      </c>
      <c r="D58" s="255" t="e">
        <f>#REF!</f>
        <v>#REF!</v>
      </c>
      <c r="E58" s="291" t="e">
        <f>D58*E55</f>
        <v>#REF!</v>
      </c>
      <c r="F58" s="291"/>
      <c r="G58" s="292" t="e">
        <f>(D58*0.02)*(1+$G$55)*0</f>
        <v>#REF!</v>
      </c>
      <c r="H58" s="292"/>
      <c r="I58" s="288" t="e">
        <f t="shared" si="1"/>
        <v>#REF!</v>
      </c>
      <c r="L58" s="121"/>
      <c r="M58" s="121"/>
      <c r="N58" s="121"/>
      <c r="O58" s="121"/>
      <c r="P58" s="121"/>
      <c r="Q58" s="121"/>
      <c r="S58" s="271"/>
      <c r="T58" s="271"/>
      <c r="U58" s="271"/>
      <c r="V58" s="271"/>
      <c r="W58" s="271"/>
    </row>
    <row r="59" spans="1:29" ht="20.25" customHeight="1" x14ac:dyDescent="0.25">
      <c r="A59" s="289">
        <v>4</v>
      </c>
      <c r="B59" s="290" t="s">
        <v>219</v>
      </c>
      <c r="C59" s="255" t="e">
        <f>#REF!</f>
        <v>#REF!</v>
      </c>
      <c r="D59" s="255" t="e">
        <f>#REF!/100</f>
        <v>#REF!</v>
      </c>
      <c r="E59" s="291" t="e">
        <f>D59*E55</f>
        <v>#REF!</v>
      </c>
      <c r="F59" s="292" t="e">
        <f>(D59*0.09)*($F$55)</f>
        <v>#REF!</v>
      </c>
      <c r="G59" s="292" t="e">
        <f>(D59*0.09)</f>
        <v>#REF!</v>
      </c>
      <c r="H59" s="292"/>
      <c r="I59" s="288" t="e">
        <f t="shared" si="1"/>
        <v>#REF!</v>
      </c>
      <c r="L59" s="121"/>
      <c r="M59" s="121"/>
      <c r="N59" s="121"/>
      <c r="O59" s="121"/>
      <c r="P59" s="121"/>
      <c r="Q59" s="121"/>
    </row>
    <row r="60" spans="1:29" s="183" customFormat="1" ht="22.5" customHeight="1" x14ac:dyDescent="0.2">
      <c r="A60" s="238">
        <v>5</v>
      </c>
      <c r="B60" s="284" t="s">
        <v>220</v>
      </c>
      <c r="C60" s="285"/>
      <c r="D60" s="255" t="e">
        <f>#REF!/100</f>
        <v>#REF!</v>
      </c>
      <c r="E60" s="285" t="e">
        <f>D60*E55</f>
        <v>#REF!</v>
      </c>
      <c r="F60" s="660" t="e">
        <f>(D60*0.09)*($F$55)</f>
        <v>#REF!</v>
      </c>
      <c r="G60" s="292" t="e">
        <f>(D60*0.09)</f>
        <v>#REF!</v>
      </c>
      <c r="H60" s="288"/>
      <c r="I60" s="288" t="e">
        <f t="shared" si="1"/>
        <v>#REF!</v>
      </c>
      <c r="L60" s="124"/>
      <c r="M60" s="124"/>
      <c r="N60" s="124"/>
      <c r="O60" s="124"/>
      <c r="P60" s="124"/>
      <c r="Q60" s="124"/>
      <c r="U60" s="279"/>
      <c r="W60" s="279"/>
    </row>
    <row r="61" spans="1:29" s="183" customFormat="1" ht="33.75" customHeight="1" x14ac:dyDescent="0.2">
      <c r="A61" s="238">
        <v>6</v>
      </c>
      <c r="B61" s="284" t="s">
        <v>18</v>
      </c>
      <c r="C61" s="255" t="e">
        <f>#REF!</f>
        <v>#REF!</v>
      </c>
      <c r="D61" s="255" t="e">
        <f>#REF!/100</f>
        <v>#REF!</v>
      </c>
      <c r="E61" s="285" t="e">
        <f>D61*E55</f>
        <v>#REF!</v>
      </c>
      <c r="F61" s="292" t="e">
        <f>(D61*0.09)*($F$55)</f>
        <v>#REF!</v>
      </c>
      <c r="G61" s="292" t="e">
        <f>(D61*0.09)</f>
        <v>#REF!</v>
      </c>
      <c r="H61" s="288"/>
      <c r="I61" s="288" t="e">
        <f t="shared" si="1"/>
        <v>#REF!</v>
      </c>
      <c r="L61" s="124"/>
      <c r="M61" s="124"/>
      <c r="N61" s="124"/>
      <c r="O61" s="124"/>
      <c r="P61" s="124"/>
      <c r="Q61" s="124"/>
      <c r="S61" s="293"/>
      <c r="U61" s="294"/>
    </row>
    <row r="62" spans="1:29" s="183" customFormat="1" ht="20.25" customHeight="1" x14ac:dyDescent="0.2">
      <c r="A62" s="238">
        <v>7</v>
      </c>
      <c r="B62" s="295" t="s">
        <v>392</v>
      </c>
      <c r="C62" s="285"/>
      <c r="D62" s="255" t="e">
        <f>#REF!/100</f>
        <v>#REF!</v>
      </c>
      <c r="E62" s="285"/>
      <c r="F62" s="288" t="e">
        <f>D62*F55</f>
        <v>#REF!</v>
      </c>
      <c r="G62" s="285"/>
      <c r="H62" s="285"/>
      <c r="I62" s="288" t="e">
        <f t="shared" si="1"/>
        <v>#REF!</v>
      </c>
      <c r="L62" s="124"/>
      <c r="M62" s="124"/>
      <c r="N62" s="124"/>
      <c r="O62" s="124"/>
      <c r="P62" s="124"/>
      <c r="Q62" s="124"/>
      <c r="S62" s="293"/>
      <c r="U62" s="294"/>
    </row>
    <row r="63" spans="1:29" s="183" customFormat="1" ht="23.25" customHeight="1" x14ac:dyDescent="0.2">
      <c r="A63" s="238"/>
      <c r="B63" s="296" t="s">
        <v>393</v>
      </c>
      <c r="C63" s="285"/>
      <c r="D63" s="255" t="e">
        <f>#REF!</f>
        <v>#REF!</v>
      </c>
      <c r="E63" s="285"/>
      <c r="F63" s="288" t="e">
        <f>D63*F55</f>
        <v>#REF!</v>
      </c>
      <c r="G63" s="285"/>
      <c r="H63" s="285"/>
      <c r="I63" s="288" t="e">
        <f t="shared" si="1"/>
        <v>#REF!</v>
      </c>
      <c r="L63" s="124"/>
      <c r="M63" s="124"/>
      <c r="N63" s="124"/>
      <c r="O63" s="124"/>
      <c r="P63" s="124"/>
      <c r="Q63" s="124"/>
      <c r="S63" s="293"/>
      <c r="U63" s="294"/>
    </row>
    <row r="64" spans="1:29" s="183" customFormat="1" ht="23.25" customHeight="1" x14ac:dyDescent="0.2">
      <c r="A64" s="238">
        <v>8</v>
      </c>
      <c r="B64" s="297" t="s">
        <v>221</v>
      </c>
      <c r="C64" s="285"/>
      <c r="D64" s="298" t="e">
        <f>C57*1.07*C48+D57*C49</f>
        <v>#REF!</v>
      </c>
      <c r="E64" s="299"/>
      <c r="F64" s="288" t="e">
        <f>D64*F55</f>
        <v>#REF!</v>
      </c>
      <c r="G64" s="299"/>
      <c r="H64" s="299"/>
      <c r="I64" s="288" t="e">
        <f t="shared" si="1"/>
        <v>#REF!</v>
      </c>
      <c r="L64" s="124"/>
      <c r="M64" s="124"/>
      <c r="N64" s="124"/>
      <c r="O64" s="124"/>
      <c r="P64" s="124"/>
      <c r="Q64" s="124"/>
      <c r="S64" s="300"/>
    </row>
    <row r="65" spans="1:25" s="183" customFormat="1" ht="23.25" customHeight="1" x14ac:dyDescent="0.2">
      <c r="A65" s="238"/>
      <c r="B65" s="297" t="s">
        <v>222</v>
      </c>
      <c r="C65" s="285"/>
      <c r="D65" s="298" t="e">
        <f>C59*1.07*C50+D59*C50</f>
        <v>#REF!</v>
      </c>
      <c r="E65" s="299"/>
      <c r="F65" s="288" t="e">
        <f>D65*F55</f>
        <v>#REF!</v>
      </c>
      <c r="G65" s="299"/>
      <c r="H65" s="299"/>
      <c r="I65" s="288" t="e">
        <f t="shared" si="1"/>
        <v>#REF!</v>
      </c>
      <c r="L65" s="124"/>
      <c r="M65" s="124"/>
      <c r="N65" s="124"/>
      <c r="O65" s="124"/>
      <c r="P65" s="124"/>
      <c r="Q65" s="124"/>
      <c r="S65" s="300"/>
    </row>
    <row r="66" spans="1:25" s="183" customFormat="1" ht="23.25" customHeight="1" x14ac:dyDescent="0.2">
      <c r="A66" s="238"/>
      <c r="B66" s="297" t="s">
        <v>394</v>
      </c>
      <c r="C66" s="285"/>
      <c r="D66" s="298" t="e">
        <f>(C61*1.07*C51+D61*C51)*0+#REF!/100</f>
        <v>#REF!</v>
      </c>
      <c r="E66" s="299"/>
      <c r="F66" s="288" t="e">
        <f>D66*F55</f>
        <v>#REF!</v>
      </c>
      <c r="G66" s="299"/>
      <c r="H66" s="299"/>
      <c r="I66" s="288" t="e">
        <f t="shared" si="1"/>
        <v>#REF!</v>
      </c>
      <c r="L66" s="124"/>
      <c r="M66" s="124"/>
      <c r="N66" s="124"/>
      <c r="O66" s="124"/>
      <c r="P66" s="124"/>
      <c r="Q66" s="124"/>
      <c r="S66" s="300"/>
    </row>
    <row r="67" spans="1:25" s="183" customFormat="1" ht="24" customHeight="1" x14ac:dyDescent="0.2">
      <c r="A67" s="238"/>
      <c r="B67" s="297" t="s">
        <v>24</v>
      </c>
      <c r="C67" s="285"/>
      <c r="D67" s="470" t="e">
        <f>#REF!/100</f>
        <v>#REF!</v>
      </c>
      <c r="E67" s="299"/>
      <c r="F67" s="288" t="e">
        <f>D67*F55</f>
        <v>#REF!</v>
      </c>
      <c r="G67" s="299"/>
      <c r="H67" s="299"/>
      <c r="I67" s="288" t="e">
        <f t="shared" si="1"/>
        <v>#REF!</v>
      </c>
      <c r="L67" s="124"/>
      <c r="M67" s="124"/>
      <c r="N67" s="124"/>
      <c r="O67" s="124"/>
      <c r="P67" s="124"/>
      <c r="Q67" s="124"/>
      <c r="S67" s="300"/>
    </row>
    <row r="68" spans="1:25" s="183" customFormat="1" ht="20.25" customHeight="1" x14ac:dyDescent="0.2">
      <c r="A68" s="238"/>
      <c r="B68" s="297" t="s">
        <v>223</v>
      </c>
      <c r="C68" s="285"/>
      <c r="D68" s="298" t="e">
        <f>D60*C50</f>
        <v>#REF!</v>
      </c>
      <c r="E68" s="299"/>
      <c r="F68" s="288" t="e">
        <f>D68*F55</f>
        <v>#REF!</v>
      </c>
      <c r="G68" s="299"/>
      <c r="H68" s="299"/>
      <c r="I68" s="288" t="e">
        <f>SUM(C68:H68)</f>
        <v>#REF!</v>
      </c>
      <c r="L68" s="124"/>
      <c r="M68" s="124"/>
      <c r="N68" s="124"/>
      <c r="O68" s="124"/>
      <c r="P68" s="124"/>
      <c r="Q68" s="124"/>
      <c r="S68" s="300"/>
    </row>
    <row r="69" spans="1:25" s="183" customFormat="1" ht="20.25" customHeight="1" x14ac:dyDescent="0.2">
      <c r="A69" s="238">
        <v>9</v>
      </c>
      <c r="B69" s="284" t="s">
        <v>129</v>
      </c>
      <c r="C69" s="255"/>
      <c r="D69" s="286"/>
      <c r="E69" s="301"/>
      <c r="F69" s="301"/>
      <c r="G69" s="301"/>
      <c r="H69" s="301"/>
      <c r="I69" s="288">
        <f t="shared" si="1"/>
        <v>0</v>
      </c>
      <c r="L69" s="124"/>
      <c r="M69" s="124"/>
      <c r="N69" s="124"/>
      <c r="O69" s="124"/>
      <c r="P69" s="124"/>
      <c r="Q69" s="124"/>
      <c r="S69" s="302"/>
    </row>
    <row r="70" spans="1:25" s="183" customFormat="1" ht="21.75" customHeight="1" x14ac:dyDescent="0.2">
      <c r="A70" s="238">
        <v>10</v>
      </c>
      <c r="B70" s="284" t="s">
        <v>224</v>
      </c>
      <c r="C70" s="255" t="e">
        <f>#REF!</f>
        <v>#REF!</v>
      </c>
      <c r="D70" s="286" t="e">
        <f>#REF!</f>
        <v>#REF!</v>
      </c>
      <c r="E70" s="301"/>
      <c r="F70" s="301"/>
      <c r="G70" s="301"/>
      <c r="H70" s="301"/>
      <c r="I70" s="288" t="e">
        <f t="shared" si="1"/>
        <v>#REF!</v>
      </c>
      <c r="L70" s="124"/>
      <c r="M70" s="124"/>
      <c r="N70" s="124"/>
      <c r="O70" s="124"/>
      <c r="P70" s="124"/>
      <c r="Q70" s="124"/>
      <c r="S70" s="293"/>
    </row>
    <row r="71" spans="1:25" ht="23.25" customHeight="1" x14ac:dyDescent="0.25">
      <c r="A71" s="289">
        <v>11</v>
      </c>
      <c r="B71" s="303" t="s">
        <v>225</v>
      </c>
      <c r="C71" s="285" t="e">
        <f>+(C57+C59+C61+C73)*0.07</f>
        <v>#REF!</v>
      </c>
      <c r="D71" s="304"/>
      <c r="E71" s="305"/>
      <c r="F71" s="305"/>
      <c r="G71" s="471"/>
      <c r="H71" s="305"/>
      <c r="I71" s="288" t="e">
        <f t="shared" si="1"/>
        <v>#REF!</v>
      </c>
      <c r="L71" s="121"/>
      <c r="M71" s="121"/>
      <c r="N71" s="121"/>
      <c r="O71" s="121"/>
      <c r="P71" s="121"/>
      <c r="Q71" s="121"/>
      <c r="S71" s="293"/>
      <c r="T71" s="183"/>
      <c r="V71" s="183"/>
      <c r="W71" s="183"/>
    </row>
    <row r="72" spans="1:25" s="183" customFormat="1" ht="18.75" customHeight="1" x14ac:dyDescent="0.2">
      <c r="A72" s="238"/>
      <c r="B72" s="307" t="s">
        <v>226</v>
      </c>
      <c r="C72" s="285"/>
      <c r="D72" s="286"/>
      <c r="E72" s="308"/>
      <c r="F72" s="306" t="e">
        <f>((C57+C58)*1.07*0.03+(C59+C61)*1.07*0.1)*($G$55)</f>
        <v>#REF!</v>
      </c>
      <c r="G72" s="472" t="e">
        <f>((C57+C58)*1.07*0.03+(C59+C61)*1.07*0.1)</f>
        <v>#REF!</v>
      </c>
      <c r="H72" s="288" t="e">
        <f>((C57*1.07)*0.03+(C59+C61)*1.07*0.1)*(1+C52)*0</f>
        <v>#REF!</v>
      </c>
      <c r="I72" s="288" t="e">
        <f t="shared" si="1"/>
        <v>#REF!</v>
      </c>
      <c r="L72" s="124"/>
      <c r="M72" s="124"/>
      <c r="N72" s="124"/>
      <c r="O72" s="124"/>
      <c r="P72" s="124"/>
      <c r="Q72" s="124"/>
      <c r="S72" s="293"/>
    </row>
    <row r="73" spans="1:25" s="183" customFormat="1" ht="19.5" customHeight="1" x14ac:dyDescent="0.2">
      <c r="A73" s="238">
        <v>12</v>
      </c>
      <c r="B73" s="309" t="s">
        <v>395</v>
      </c>
      <c r="C73" s="285" t="e">
        <f>#REF!</f>
        <v>#REF!</v>
      </c>
      <c r="D73" s="286" t="e">
        <f>#REF!/100</f>
        <v>#REF!</v>
      </c>
      <c r="E73" s="285" t="e">
        <f>D73*$E$55</f>
        <v>#REF!</v>
      </c>
      <c r="F73" s="288" t="e">
        <f>(D73*0.02)*($F$55)</f>
        <v>#REF!</v>
      </c>
      <c r="G73" s="288" t="e">
        <f>(D73*0.02)</f>
        <v>#REF!</v>
      </c>
      <c r="H73" s="473"/>
      <c r="I73" s="288" t="e">
        <f t="shared" si="1"/>
        <v>#REF!</v>
      </c>
      <c r="L73" s="124"/>
      <c r="M73" s="124"/>
      <c r="N73" s="124"/>
      <c r="O73" s="124"/>
      <c r="P73" s="124"/>
      <c r="Q73" s="124"/>
      <c r="S73" s="293"/>
    </row>
    <row r="74" spans="1:25" s="183" customFormat="1" ht="21" customHeight="1" x14ac:dyDescent="0.2">
      <c r="A74" s="238">
        <v>13</v>
      </c>
      <c r="B74" s="309" t="s">
        <v>215</v>
      </c>
      <c r="C74" s="285"/>
      <c r="D74" s="286"/>
      <c r="E74" s="308"/>
      <c r="F74" s="308"/>
      <c r="G74" s="288"/>
      <c r="H74" s="474" t="e">
        <f>E35</f>
        <v>#REF!</v>
      </c>
      <c r="I74" s="288" t="e">
        <f t="shared" si="1"/>
        <v>#REF!</v>
      </c>
      <c r="L74" s="124"/>
      <c r="M74" s="124"/>
      <c r="N74" s="124"/>
      <c r="O74" s="124"/>
      <c r="P74" s="124"/>
      <c r="Q74" s="124"/>
      <c r="S74" s="293"/>
    </row>
    <row r="75" spans="1:25" ht="15.75" x14ac:dyDescent="0.25">
      <c r="A75" s="289"/>
      <c r="B75" s="310" t="s">
        <v>4</v>
      </c>
      <c r="C75" s="311" t="e">
        <f t="shared" ref="C75:I75" si="2">SUM(C56:C74)</f>
        <v>#REF!</v>
      </c>
      <c r="D75" s="311" t="e">
        <f t="shared" si="2"/>
        <v>#REF!</v>
      </c>
      <c r="E75" s="311" t="e">
        <f t="shared" si="2"/>
        <v>#REF!</v>
      </c>
      <c r="F75" s="311" t="e">
        <f t="shared" si="2"/>
        <v>#REF!</v>
      </c>
      <c r="G75" s="311" t="e">
        <f t="shared" si="2"/>
        <v>#REF!</v>
      </c>
      <c r="H75" s="311" t="e">
        <f t="shared" si="2"/>
        <v>#REF!</v>
      </c>
      <c r="I75" s="311" t="e">
        <f t="shared" si="2"/>
        <v>#REF!</v>
      </c>
      <c r="K75" s="312"/>
      <c r="L75" s="121"/>
      <c r="M75" s="121"/>
      <c r="N75" s="121"/>
      <c r="O75" s="121"/>
      <c r="P75" s="121"/>
      <c r="Q75" s="121"/>
      <c r="S75" s="293"/>
      <c r="T75" s="183"/>
      <c r="V75" s="183"/>
      <c r="W75" s="183"/>
    </row>
    <row r="76" spans="1:25" ht="15" customHeight="1" x14ac:dyDescent="0.25">
      <c r="A76" s="289"/>
      <c r="B76" s="269" t="s">
        <v>396</v>
      </c>
      <c r="C76" s="291"/>
      <c r="D76" s="304"/>
      <c r="E76" s="291" t="e">
        <f>E57+E58+E59+E61+E73</f>
        <v>#REF!</v>
      </c>
      <c r="F76" s="661" t="e">
        <f>F56+F57+F58+F59+F61+F62+F64+F65+F66+F72+F73</f>
        <v>#REF!</v>
      </c>
      <c r="G76" s="291"/>
      <c r="H76" s="291" t="e">
        <f>D32+D34</f>
        <v>#REF!</v>
      </c>
      <c r="I76" s="292" t="e">
        <f>SUM(C76:H76)</f>
        <v>#REF!</v>
      </c>
      <c r="K76" s="312"/>
      <c r="L76" s="121"/>
      <c r="M76" s="121"/>
      <c r="N76" s="121"/>
      <c r="O76" s="121"/>
      <c r="P76" s="121"/>
      <c r="Q76" s="121"/>
      <c r="S76" s="293"/>
      <c r="T76" s="183"/>
      <c r="V76" s="183"/>
      <c r="W76" s="183"/>
    </row>
    <row r="77" spans="1:25" ht="15.75" x14ac:dyDescent="0.25">
      <c r="A77" s="313"/>
      <c r="B77" s="138"/>
      <c r="C77" s="138"/>
      <c r="D77" s="138"/>
      <c r="E77" s="138"/>
      <c r="F77" s="138"/>
      <c r="G77" s="138"/>
      <c r="H77" s="138"/>
      <c r="I77" s="138" t="e">
        <f>I75-I76</f>
        <v>#REF!</v>
      </c>
      <c r="J77" s="138"/>
      <c r="K77" s="312"/>
      <c r="L77" s="121"/>
      <c r="M77" s="121"/>
      <c r="N77" s="121"/>
      <c r="O77" s="121"/>
      <c r="P77" s="121"/>
      <c r="Q77" s="121"/>
      <c r="S77" s="293"/>
      <c r="T77" s="183"/>
      <c r="V77" s="183"/>
      <c r="W77" s="183"/>
    </row>
    <row r="78" spans="1:25" x14ac:dyDescent="0.25">
      <c r="A78" s="227"/>
      <c r="I78" s="475">
        <v>43.489407999914846</v>
      </c>
      <c r="J78" s="475" t="s">
        <v>405</v>
      </c>
      <c r="P78" s="138"/>
      <c r="Q78" s="314"/>
      <c r="R78" s="138"/>
      <c r="X78" s="138"/>
      <c r="Y78" s="138"/>
    </row>
    <row r="79" spans="1:25" ht="15.75" x14ac:dyDescent="0.25">
      <c r="A79" s="137"/>
      <c r="B79" s="315"/>
      <c r="C79" s="138"/>
      <c r="D79" s="139"/>
      <c r="E79" s="138"/>
      <c r="F79" s="138"/>
      <c r="G79" s="138"/>
      <c r="H79" s="138"/>
      <c r="I79" s="138" t="e">
        <f>I77-I78</f>
        <v>#REF!</v>
      </c>
      <c r="J79" s="476" t="s">
        <v>406</v>
      </c>
      <c r="K79" s="138"/>
      <c r="P79" s="138"/>
      <c r="Q79" s="314"/>
      <c r="R79" s="138"/>
      <c r="X79" s="138"/>
      <c r="Y79" s="138"/>
    </row>
    <row r="80" spans="1:25" ht="15.75" x14ac:dyDescent="0.25">
      <c r="A80" s="147"/>
      <c r="B80" s="138"/>
      <c r="C80" s="138"/>
      <c r="D80" s="138"/>
      <c r="E80" s="138"/>
      <c r="F80" s="149"/>
      <c r="G80" s="138"/>
      <c r="H80" s="138"/>
      <c r="I80" s="138"/>
      <c r="J80" s="138"/>
      <c r="K80" s="138"/>
      <c r="P80" s="171"/>
      <c r="Q80" s="138"/>
      <c r="R80" s="138"/>
      <c r="X80" s="138"/>
      <c r="Y80" s="138"/>
    </row>
    <row r="81" spans="1:25" ht="15.75" x14ac:dyDescent="0.25">
      <c r="A81" s="160"/>
      <c r="B81" s="138"/>
      <c r="C81" s="138"/>
      <c r="D81" s="138"/>
      <c r="E81" s="138"/>
      <c r="F81" s="161"/>
      <c r="G81" s="162"/>
      <c r="H81" s="138"/>
      <c r="I81" s="138"/>
      <c r="J81" s="138"/>
      <c r="K81" s="138"/>
      <c r="P81" s="138"/>
      <c r="Q81" s="138"/>
      <c r="R81" s="138"/>
      <c r="X81" s="138"/>
      <c r="Y81" s="138"/>
    </row>
    <row r="82" spans="1:25" x14ac:dyDescent="0.25">
      <c r="A82" s="180"/>
      <c r="B82" s="180"/>
      <c r="C82" s="179"/>
      <c r="D82" s="179"/>
      <c r="E82" s="179"/>
      <c r="F82" s="179"/>
      <c r="G82" s="179"/>
      <c r="H82" s="169"/>
      <c r="J82" s="138"/>
      <c r="K82" s="138"/>
      <c r="P82" s="138"/>
      <c r="Q82" s="138"/>
      <c r="R82" s="138"/>
      <c r="X82" s="138"/>
      <c r="Y82" s="138"/>
    </row>
    <row r="83" spans="1:25" x14ac:dyDescent="0.25">
      <c r="A83" s="138"/>
      <c r="B83" s="138"/>
      <c r="C83" s="138"/>
      <c r="D83" s="138"/>
      <c r="E83" s="179"/>
      <c r="F83" s="179"/>
      <c r="G83" s="179"/>
      <c r="H83" s="182"/>
      <c r="J83" s="138"/>
      <c r="K83" s="138"/>
      <c r="P83" s="138"/>
      <c r="Q83" s="138"/>
      <c r="R83" s="138"/>
      <c r="X83" s="138"/>
      <c r="Y83" s="138"/>
    </row>
  </sheetData>
  <mergeCells count="7">
    <mergeCell ref="C53:D53"/>
    <mergeCell ref="E53:G53"/>
    <mergeCell ref="A6:E6"/>
    <mergeCell ref="A7:E7"/>
    <mergeCell ref="A8:E8"/>
    <mergeCell ref="A9:E9"/>
    <mergeCell ref="A10:E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E8:G14"/>
  <sheetViews>
    <sheetView topLeftCell="A7" workbookViewId="0">
      <selection activeCell="F21" sqref="F21"/>
    </sheetView>
  </sheetViews>
  <sheetFormatPr defaultRowHeight="15" x14ac:dyDescent="0.2"/>
  <cols>
    <col min="5" max="5" width="7.109375" customWidth="1"/>
    <col min="6" max="6" width="27.44140625" customWidth="1"/>
  </cols>
  <sheetData>
    <row r="8" spans="5:7" x14ac:dyDescent="0.2">
      <c r="E8">
        <v>1</v>
      </c>
      <c r="F8" s="4" t="s">
        <v>229</v>
      </c>
      <c r="G8" t="e">
        <f>#REF!/100</f>
        <v>#REF!</v>
      </c>
    </row>
    <row r="9" spans="5:7" x14ac:dyDescent="0.2">
      <c r="F9" t="s">
        <v>230</v>
      </c>
      <c r="G9" t="e">
        <f>#REF!/100</f>
        <v>#REF!</v>
      </c>
    </row>
    <row r="10" spans="5:7" x14ac:dyDescent="0.2">
      <c r="F10" s="4" t="s">
        <v>371</v>
      </c>
      <c r="G10" t="e">
        <f>(#REF!+#REF!)/100</f>
        <v>#REF!</v>
      </c>
    </row>
    <row r="11" spans="5:7" x14ac:dyDescent="0.2">
      <c r="F11" s="4" t="s">
        <v>23</v>
      </c>
      <c r="G11" t="e">
        <f>(#REF!+#REF!)/100</f>
        <v>#REF!</v>
      </c>
    </row>
    <row r="12" spans="5:7" x14ac:dyDescent="0.2">
      <c r="F12" s="4" t="s">
        <v>228</v>
      </c>
      <c r="G12" t="e">
        <f>#REF!/100</f>
        <v>#REF!</v>
      </c>
    </row>
    <row r="13" spans="5:7" x14ac:dyDescent="0.2">
      <c r="F13" s="4" t="s">
        <v>17</v>
      </c>
      <c r="G13" t="e">
        <f>#REF!/100</f>
        <v>#REF!</v>
      </c>
    </row>
    <row r="14" spans="5:7" x14ac:dyDescent="0.2">
      <c r="F14" s="4" t="s">
        <v>370</v>
      </c>
      <c r="G14" t="e">
        <f>#REF!/100</f>
        <v>#REF!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GM</vt:lpstr>
      <vt:lpstr>cash flow</vt:lpstr>
      <vt:lpstr>FA</vt:lpstr>
      <vt:lpstr>Pkgcost_4308</vt:lpstr>
      <vt:lpstr>PBE</vt:lpstr>
      <vt:lpstr>Pkg Cost (Garish)</vt:lpstr>
      <vt:lpstr>Pi Chart</vt:lpstr>
      <vt:lpstr>FA!Print_Area</vt:lpstr>
      <vt:lpstr>PBE!Print_Area</vt:lpstr>
    </vt:vector>
  </TitlesOfParts>
  <Company>CET Sub Centre Bhilai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PC-3</dc:creator>
  <cp:lastModifiedBy>Manoj Mishra</cp:lastModifiedBy>
  <cp:lastPrinted>2023-04-01T07:13:16Z</cp:lastPrinted>
  <dcterms:created xsi:type="dcterms:W3CDTF">2001-02-20T07:04:51Z</dcterms:created>
  <dcterms:modified xsi:type="dcterms:W3CDTF">2026-02-09T06:36:01Z</dcterms:modified>
</cp:coreProperties>
</file>